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10_Val de Seine-Normandie\La Marette\"/>
    </mc:Choice>
  </mc:AlternateContent>
  <xr:revisionPtr revIDLastSave="0" documentId="13_ncr:1_{59C71757-E768-440C-8847-DF28426EE8CC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201" i="1" l="1"/>
  <c r="D201" i="1" s="1"/>
  <c r="B225" i="1"/>
  <c r="D225" i="1" s="1"/>
  <c r="D224" i="1"/>
  <c r="D223" i="1"/>
  <c r="D222" i="1"/>
  <c r="D221" i="1"/>
  <c r="D220" i="1"/>
  <c r="D219" i="1"/>
  <c r="D72" i="1" l="1"/>
  <c r="B72" i="1"/>
  <c r="D71" i="1"/>
  <c r="D70" i="1"/>
  <c r="D69" i="1"/>
  <c r="D68" i="1"/>
  <c r="D67" i="1"/>
  <c r="D66" i="1"/>
  <c r="D65" i="1"/>
  <c r="D64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B12" i="4"/>
  <c r="B7" i="4"/>
  <c r="U11" i="6"/>
  <c r="V11" i="6" s="1"/>
  <c r="B11" i="4"/>
  <c r="B10" i="4"/>
  <c r="U14" i="6"/>
  <c r="V14" i="6" s="1"/>
  <c r="B9" i="4"/>
  <c r="U13" i="6"/>
  <c r="D19" i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W155" i="2"/>
  <c r="ED154" i="2"/>
  <c r="DI154" i="2"/>
  <c r="HH155" i="2"/>
  <c r="HG155" i="2"/>
  <c r="EA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HG156" i="2"/>
  <c r="HH156" i="2"/>
  <c r="FS156" i="2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A157" i="2"/>
  <c r="CN156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HI160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A161" i="2"/>
  <c r="AB161" i="2"/>
  <c r="EB161" i="2"/>
  <c r="ED161" i="2" s="1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HH163" i="2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HG164" i="2"/>
  <c r="HH164" i="2"/>
  <c r="FS164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A167" i="2"/>
  <c r="HI167" i="2"/>
  <c r="FR167" i="2"/>
  <c r="EX167" i="2"/>
  <c r="EY166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W168" i="2"/>
  <c r="EB168" i="2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EY171" i="2"/>
  <c r="EB172" i="2"/>
  <c r="EA172" i="2"/>
  <c r="HI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FQ178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G180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D184" i="2"/>
  <c r="HI185" i="2"/>
  <c r="EA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HH186" i="2"/>
  <c r="HG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HH190" i="2"/>
  <c r="HG190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HG192" i="2"/>
  <c r="HI192" i="2"/>
  <c r="EV192" i="2"/>
  <c r="EY192" i="2" s="1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HI193" i="2"/>
  <c r="FQ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G194" i="2"/>
  <c r="FQ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HG195" i="2"/>
  <c r="FQ195" i="2"/>
  <c r="EY194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G197" i="2"/>
  <c r="HH197" i="2"/>
  <c r="FS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V199" i="2"/>
  <c r="FS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D200" i="2"/>
  <c r="DI200" i="2"/>
  <c r="HH201" i="2"/>
  <c r="HG201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6" i="2" a="1"/>
  <c r="FY186" i="2" s="1"/>
  <c r="AH92" i="2" a="1"/>
  <c r="AH92" i="2" s="1"/>
  <c r="FY34" i="2" a="1"/>
  <c r="FY34" i="2" s="1"/>
  <c r="FY104" i="2" a="1"/>
  <c r="FY104" i="2" s="1"/>
  <c r="FD21" i="2" a="1"/>
  <c r="FD21" i="2" s="1"/>
  <c r="FD59" i="2" a="1"/>
  <c r="FD59" i="2" s="1"/>
  <c r="BC82" i="2" a="1"/>
  <c r="BC82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86" i="2" a="1"/>
  <c r="FY86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64" i="2" a="1"/>
  <c r="BC164" i="2" s="1"/>
  <c r="BC32" i="2" a="1"/>
  <c r="BC32" i="2" s="1"/>
  <c r="BC31" i="2" a="1"/>
  <c r="BC31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EI198" i="2" a="1"/>
  <c r="EI198" i="2" s="1"/>
  <c r="EI145" i="2" a="1"/>
  <c r="EI145" i="2" s="1"/>
  <c r="FD144" i="2" a="1"/>
  <c r="FD144" i="2" s="1"/>
  <c r="FY42" i="2" a="1"/>
  <c r="FY42" i="2" s="1"/>
  <c r="FY167" i="2" a="1"/>
  <c r="FY167" i="2" s="1"/>
  <c r="FY80" i="2" a="1"/>
  <c r="FY80" i="2" s="1"/>
  <c r="FY30" i="2" a="1"/>
  <c r="FY30" i="2" s="1"/>
  <c r="FY78" i="2" a="1"/>
  <c r="FY78" i="2" s="1"/>
  <c r="FY69" i="2" a="1"/>
  <c r="FY69" i="2" s="1"/>
  <c r="FY35" i="2" a="1"/>
  <c r="FY35" i="2" s="1"/>
  <c r="FY50" i="2" a="1"/>
  <c r="FY50" i="2" s="1"/>
  <c r="FY190" i="2" a="1"/>
  <c r="FY190" i="2" s="1"/>
  <c r="FY72" i="2" a="1"/>
  <c r="FY72" i="2" s="1"/>
  <c r="FY142" i="2" a="1"/>
  <c r="FY142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R203" i="2"/>
  <c r="BC192" i="2" a="1"/>
  <c r="BC192" i="2" s="1"/>
  <c r="BC47" i="2" a="1"/>
  <c r="BC47" i="2" s="1"/>
  <c r="BC68" i="2" a="1"/>
  <c r="BC68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65" i="2" a="1"/>
  <c r="BC65" i="2" s="1"/>
  <c r="BC84" i="2" a="1"/>
  <c r="BC84" i="2" s="1"/>
  <c r="BC114" i="2" a="1"/>
  <c r="BC11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182" i="2"/>
  <c r="GE135" i="2"/>
  <c r="GE105" i="2"/>
  <c r="GE79" i="2"/>
  <c r="GE30" i="2"/>
  <c r="GE54" i="2"/>
  <c r="GE96" i="2"/>
  <c r="GE62" i="2"/>
  <c r="GE161" i="2"/>
  <c r="GE86" i="2"/>
  <c r="GE28" i="2"/>
  <c r="GE125" i="2"/>
  <c r="GE127" i="2"/>
  <c r="GE68" i="2"/>
  <c r="GE7" i="2"/>
  <c r="GE26" i="2"/>
  <c r="GE124" i="2"/>
  <c r="GE47" i="2"/>
  <c r="GE118" i="2"/>
  <c r="GE193" i="2"/>
  <c r="GE15" i="2"/>
  <c r="GE177" i="2"/>
  <c r="GE109" i="2"/>
  <c r="GE144" i="2"/>
  <c r="GE142" i="2"/>
  <c r="GE94" i="2"/>
  <c r="GE39" i="2"/>
  <c r="GE201" i="2"/>
  <c r="GE13" i="2"/>
  <c r="GE164" i="2"/>
  <c r="GE181" i="2"/>
  <c r="GE112" i="2"/>
  <c r="GE176" i="2"/>
  <c r="GE20" i="2"/>
  <c r="GE133" i="2"/>
  <c r="GE60" i="2"/>
  <c r="GE21" i="2"/>
  <c r="GE115" i="2"/>
  <c r="GE202" i="2"/>
  <c r="GE107" i="2"/>
  <c r="GE106" i="2"/>
  <c r="GE10" i="2"/>
  <c r="GE199" i="2"/>
  <c r="GE69" i="2"/>
  <c r="GE169" i="2"/>
  <c r="GE63" i="2"/>
  <c r="GE44" i="2"/>
  <c r="GE78" i="2"/>
  <c r="GE121" i="2"/>
  <c r="GE140" i="2"/>
  <c r="GE191" i="2"/>
  <c r="GE91" i="2"/>
  <c r="GE195" i="2"/>
  <c r="GE183" i="2"/>
  <c r="GE189" i="2"/>
  <c r="GE67" i="2"/>
  <c r="GE149" i="2"/>
  <c r="GE192" i="2"/>
  <c r="GE95" i="2"/>
  <c r="GE57" i="2"/>
  <c r="GE179" i="2"/>
  <c r="GE71" i="2"/>
  <c r="GE151" i="2"/>
  <c r="GE56" i="2"/>
  <c r="GE25" i="2"/>
  <c r="GE75" i="2"/>
  <c r="GE18" i="2"/>
  <c r="GE132" i="2"/>
  <c r="GE122" i="2"/>
  <c r="GE162" i="2"/>
  <c r="GE197" i="2"/>
  <c r="GE200" i="2"/>
  <c r="GE43" i="2"/>
  <c r="GE66" i="2"/>
  <c r="GE120" i="2"/>
  <c r="GE136" i="2"/>
  <c r="GE4" i="2"/>
  <c r="GE178" i="2"/>
  <c r="GE97" i="2"/>
  <c r="GE130" i="2"/>
  <c r="GE128" i="2"/>
  <c r="GE90" i="2"/>
  <c r="GE81" i="2"/>
  <c r="GE58" i="2"/>
  <c r="GE152" i="2"/>
  <c r="GE196" i="2"/>
  <c r="GE8" i="2"/>
  <c r="GE175" i="2"/>
  <c r="GE34" i="2"/>
  <c r="GE35" i="2"/>
  <c r="GE119" i="2"/>
  <c r="GE19" i="2"/>
  <c r="GE22" i="2"/>
  <c r="GE61" i="2"/>
  <c r="GE138" i="2"/>
  <c r="GE76" i="2"/>
  <c r="GE74" i="2"/>
  <c r="GE131" i="2"/>
  <c r="GE102" i="2"/>
  <c r="GE194" i="2"/>
  <c r="GE46" i="2"/>
  <c r="GE160" i="2"/>
  <c r="GE101" i="2"/>
  <c r="GE141" i="2"/>
  <c r="GE143" i="2"/>
  <c r="GE171" i="2"/>
  <c r="GE146" i="2"/>
  <c r="GE5" i="2"/>
  <c r="GE52" i="2"/>
  <c r="GE159" i="2"/>
  <c r="GE172" i="2"/>
  <c r="GE3" i="2"/>
  <c r="C14" i="4" s="1"/>
  <c r="E14" i="4" s="1"/>
  <c r="F14" i="4" s="1"/>
  <c r="G14" i="4" s="1"/>
  <c r="L14" i="4" s="1"/>
  <c r="GE84" i="2"/>
  <c r="GE27" i="2"/>
  <c r="GE153" i="2"/>
  <c r="GE129" i="2"/>
  <c r="GE150" i="2"/>
  <c r="GE108" i="2"/>
  <c r="GE180" i="2"/>
  <c r="GE134" i="2"/>
  <c r="GE117" i="2"/>
  <c r="GE73" i="2"/>
  <c r="GE38" i="2"/>
  <c r="GE33" i="2"/>
  <c r="GE185" i="2"/>
  <c r="GE65" i="2"/>
  <c r="GE165" i="2"/>
  <c r="GE37" i="2"/>
  <c r="GE186" i="2"/>
  <c r="GE103" i="2"/>
  <c r="GE85" i="2"/>
  <c r="GE198" i="2"/>
  <c r="GE24" i="2"/>
  <c r="GE88" i="2"/>
  <c r="GE147" i="2"/>
  <c r="GE145" i="2"/>
  <c r="GE6" i="2"/>
  <c r="GE92" i="2"/>
  <c r="GE48" i="2"/>
  <c r="GE36" i="2"/>
  <c r="GE203" i="2"/>
  <c r="GE114" i="2"/>
  <c r="GE173" i="2"/>
  <c r="GE116" i="2"/>
  <c r="GE111" i="2"/>
  <c r="GE59" i="2"/>
  <c r="GE110" i="2"/>
  <c r="GE104" i="2"/>
  <c r="GE187" i="2"/>
  <c r="GE190" i="2"/>
  <c r="GE174" i="2"/>
  <c r="GE72" i="2"/>
  <c r="GE12" i="2"/>
  <c r="GE49" i="2"/>
  <c r="GE167" i="2"/>
  <c r="GE50" i="2"/>
  <c r="GE154" i="2"/>
  <c r="GE70" i="2"/>
  <c r="GE170" i="2"/>
  <c r="GE82" i="2"/>
  <c r="GE113" i="2"/>
  <c r="GE83" i="2"/>
  <c r="GE126" i="2"/>
  <c r="GE16" i="2"/>
  <c r="GE163" i="2"/>
  <c r="GE157" i="2"/>
  <c r="GE29" i="2"/>
  <c r="GE99" i="2"/>
  <c r="GE148" i="2"/>
  <c r="GE53" i="2"/>
  <c r="GE14" i="2"/>
  <c r="GE42" i="2"/>
  <c r="GE45" i="2"/>
  <c r="GE17" i="2"/>
  <c r="GE168" i="2"/>
  <c r="GE9" i="2"/>
  <c r="GE77" i="2"/>
  <c r="GE55" i="2"/>
  <c r="GE80" i="2"/>
  <c r="GE32" i="2"/>
  <c r="GE40" i="2"/>
  <c r="GE41" i="2"/>
  <c r="GE89" i="2"/>
  <c r="GE93" i="2"/>
  <c r="GE156" i="2"/>
  <c r="GE98" i="2"/>
  <c r="GE123" i="2"/>
  <c r="GE188" i="2"/>
  <c r="GE51" i="2"/>
  <c r="GE100" i="2"/>
  <c r="GE166" i="2"/>
  <c r="GE64" i="2"/>
  <c r="GE158" i="2"/>
  <c r="GE87" i="2"/>
  <c r="GE155" i="2"/>
  <c r="GE139" i="2"/>
  <c r="GE23" i="2"/>
  <c r="GE184" i="2"/>
  <c r="GE137" i="2"/>
  <c r="GE31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T12" i="6" l="1"/>
  <c r="V12" i="6" s="1"/>
  <c r="T13" i="6" l="1"/>
  <c r="V13" i="6" s="1"/>
  <c r="T10" i="6"/>
  <c r="V10" i="6" s="1"/>
  <c r="T23" i="6" l="1"/>
  <c r="T25" i="6" s="1"/>
  <c r="T26" i="6" s="1"/>
</calcChain>
</file>

<file path=xl/sharedStrings.xml><?xml version="1.0" encoding="utf-8"?>
<sst xmlns="http://schemas.openxmlformats.org/spreadsheetml/2006/main" count="1186" uniqueCount="330">
  <si>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</si>
  <si>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</si>
  <si>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</si>
  <si>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</si>
  <si>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</si>
  <si>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</si>
  <si>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</si>
  <si>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</si>
  <si>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</si>
  <si>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</si>
  <si>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</si>
  <si>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</si>
  <si>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</si>
  <si>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</si>
  <si>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</si>
  <si>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</si>
  <si>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</si>
  <si>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</si>
  <si>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</si>
  <si>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</si>
  <si>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</si>
  <si>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</si>
  <si>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</si>
  <si>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</si>
  <si>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</si>
  <si>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</si>
  <si>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</si>
  <si>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</si>
  <si>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</si>
  <si>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</si>
  <si>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</si>
  <si>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</si>
  <si>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</si>
  <si>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</si>
  <si>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</si>
  <si>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</si>
  <si>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</si>
  <si>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</si>
  <si>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</si>
  <si>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</si>
  <si>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</si>
  <si>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</si>
  <si>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</si>
  <si>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</si>
  <si>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</si>
  <si>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</si>
  <si>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</si>
  <si>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</si>
  <si>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</si>
  <si>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</si>
  <si>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</si>
  <si>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</si>
  <si>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</si>
  <si>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</si>
  <si>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</si>
  <si>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</si>
  <si>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</si>
  <si>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</si>
  <si>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</si>
  <si>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</si>
  <si>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</si>
  <si>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</si>
  <si>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</si>
  <si>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</si>
  <si>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</si>
  <si>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</si>
  <si>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</si>
  <si>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</si>
  <si>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</si>
  <si>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</si>
  <si>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</si>
  <si>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</si>
  <si>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</si>
  <si>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</si>
  <si>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</si>
  <si>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</si>
  <si>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</si>
  <si>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</si>
  <si>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</si>
  <si>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</si>
  <si>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</si>
  <si>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</si>
  <si>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</si>
  <si>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</si>
  <si>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</si>
  <si>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</si>
  <si>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</si>
  <si>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</si>
  <si>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</si>
  <si>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</si>
  <si>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</si>
  <si>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</si>
  <si>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</si>
  <si>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</si>
  <si>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</si>
  <si>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</si>
  <si>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</si>
  <si>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</si>
  <si>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</si>
  <si>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</si>
  <si>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</si>
  <si>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</si>
  <si>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</si>
  <si>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</si>
  <si>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</si>
  <si>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</si>
  <si>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</si>
  <si>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</si>
  <si>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</si>
  <si>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</si>
  <si>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</si>
  <si>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</si>
  <si>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</si>
  <si>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</si>
  <si>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</si>
  <si>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</si>
  <si>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</si>
  <si>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</si>
  <si>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</si>
  <si>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</si>
  <si>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</si>
  <si>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</si>
  <si>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</si>
  <si>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</si>
  <si>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</si>
  <si>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</si>
  <si>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</si>
  <si>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</si>
  <si>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</si>
  <si>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</si>
  <si>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</si>
  <si>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</si>
  <si>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</si>
  <si>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</si>
  <si>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</si>
  <si>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</si>
  <si>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</si>
  <si>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</si>
  <si>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</si>
  <si>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</si>
  <si>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</si>
  <si>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</si>
  <si>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</si>
  <si>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</si>
  <si>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</si>
  <si>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</si>
  <si>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</si>
  <si>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</si>
  <si>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</si>
  <si>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</si>
  <si>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</si>
  <si>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</si>
  <si>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</si>
  <si>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</si>
  <si>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</si>
  <si>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</si>
  <si>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</si>
  <si>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</si>
  <si>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</si>
  <si>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</si>
  <si>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</si>
  <si>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</si>
  <si>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</si>
  <si>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</si>
  <si>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</si>
  <si>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</si>
  <si>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</si>
  <si>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</si>
  <si>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</si>
  <si>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</si>
  <si>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</si>
  <si>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</si>
  <si>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</si>
  <si>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</si>
  <si>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</si>
  <si>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</si>
  <si>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</si>
  <si>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</si>
  <si>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</si>
  <si>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</si>
  <si>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</si>
  <si>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</si>
  <si>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</si>
  <si>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</si>
  <si>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</si>
  <si>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</si>
  <si>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</si>
  <si>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</si>
  <si>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</si>
  <si>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</si>
  <si>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</si>
  <si>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</si>
  <si>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</si>
  <si>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</si>
  <si>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</si>
  <si>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</si>
  <si>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</si>
  <si>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</si>
  <si>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</si>
  <si>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</si>
  <si>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</si>
  <si>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</si>
  <si>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</si>
  <si>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</si>
  <si>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</si>
  <si>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</si>
  <si>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</si>
  <si>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</si>
  <si>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</si>
  <si>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</si>
  <si>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</si>
  <si>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</si>
  <si>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</si>
  <si>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</si>
  <si>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</si>
  <si>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</si>
  <si>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</si>
  <si>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</si>
  <si>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</si>
  <si>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</si>
  <si>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</si>
  <si>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</si>
  <si>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</si>
  <si>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</si>
  <si>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</si>
  <si>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</si>
  <si>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</si>
  <si>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</si>
  <si>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</si>
  <si>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</si>
  <si>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</si>
  <si>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</si>
  <si>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</si>
  <si>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</si>
  <si>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</si>
  <si>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</si>
  <si>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</si>
  <si>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</si>
  <si>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</si>
  <si>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</si>
  <si>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</si>
  <si>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</si>
  <si>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</si>
  <si>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</si>
  <si>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</si>
  <si>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</si>
  <si>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</si>
  <si>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</si>
  <si>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</si>
  <si>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</si>
  <si>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</si>
  <si>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</si>
  <si>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</si>
  <si>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</si>
  <si>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</si>
  <si>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</si>
  <si>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</si>
  <si>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</si>
  <si>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</si>
  <si>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</si>
  <si>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</si>
  <si>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</si>
  <si>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</si>
  <si>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</si>
  <si>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</si>
  <si>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</si>
  <si>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</si>
  <si>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</si>
  <si>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</si>
  <si>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</si>
  <si>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</si>
  <si>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</si>
  <si>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</si>
  <si>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</si>
  <si>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</si>
  <si>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</si>
  <si>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</si>
  <si>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</si>
  <si>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</si>
  <si>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</si>
  <si>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</si>
  <si>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</si>
  <si>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</si>
  <si>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</si>
  <si>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</si>
  <si>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</si>
  <si>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</si>
  <si>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</si>
  <si>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</si>
  <si>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</si>
  <si>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</si>
  <si>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</si>
  <si>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</si>
  <si>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</si>
  <si>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</si>
  <si>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</si>
  <si>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</si>
  <si>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</si>
  <si>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</si>
  <si>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</si>
  <si>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</si>
  <si>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</si>
  <si>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</si>
  <si>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</si>
  <si>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</si>
  <si>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</si>
  <si>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</si>
  <si>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</si>
  <si>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</si>
  <si>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</si>
  <si>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</si>
  <si>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</si>
  <si>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</si>
  <si>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</si>
  <si>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</si>
  <si>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</si>
  <si>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</si>
  <si>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</si>
  <si>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</si>
  <si>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</si>
  <si>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</si>
  <si>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</si>
  <si>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</si>
  <si>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</si>
  <si>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cloture + trico</t>
  </si>
  <si>
    <t>mo</t>
  </si>
  <si>
    <t>plant</t>
  </si>
  <si>
    <t>reg + deg</t>
  </si>
  <si>
    <t>prepa</t>
  </si>
  <si>
    <t>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</si>
</sst>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1.9933916441581754</c:v>
                </c:pt>
                <c:pt idx="2">
                  <c:v>2.5623261721581314</c:v>
                </c:pt>
                <c:pt idx="3">
                  <c:v>3.2942955119098722</c:v>
                </c:pt>
                <c:pt idx="4">
                  <c:v>4.23619633043461</c:v>
                </c:pt>
                <c:pt idx="5">
                  <c:v>5.4484627492651603</c:v>
                </c:pt>
                <c:pt idx="6">
                  <c:v>7.0089869449314071</c:v>
                </c:pt>
                <c:pt idx="7">
                  <c:v>9.0181786232062908</c:v>
                </c:pt>
                <c:pt idx="8">
                  <c:v>11.605495104681887</c:v>
                </c:pt>
                <c:pt idx="9">
                  <c:v>14.937870632061715</c:v>
                </c:pt>
                <c:pt idx="10">
                  <c:v>19.230598735063261</c:v>
                </c:pt>
                <c:pt idx="11">
                  <c:v>24.761383382256227</c:v>
                </c:pt>
                <c:pt idx="12">
                  <c:v>31.888483968904367</c:v>
                </c:pt>
                <c:pt idx="13">
                  <c:v>41.074149856495346</c:v>
                </c:pt>
                <c:pt idx="14">
                  <c:v>52.914890206805474</c:v>
                </c:pt>
                <c:pt idx="15">
                  <c:v>68.180577553228503</c:v>
                </c:pt>
                <c:pt idx="16">
                  <c:v>87.864969096236052</c:v>
                </c:pt>
                <c:pt idx="17">
                  <c:v>113.2509871504281</c:v>
                </c:pt>
                <c:pt idx="18">
                  <c:v>145.99508005823589</c:v>
                </c:pt>
                <c:pt idx="19">
                  <c:v>188.23625265919645</c:v>
                </c:pt>
                <c:pt idx="20">
                  <c:v>242.73699578294506</c:v>
                </c:pt>
                <c:pt idx="21">
                  <c:v>192.29003045267413</c:v>
                </c:pt>
                <c:pt idx="22">
                  <c:v>219.28874729858379</c:v>
                </c:pt>
                <c:pt idx="23">
                  <c:v>246.21105711862242</c:v>
                </c:pt>
                <c:pt idx="24">
                  <c:v>273.06648912870259</c:v>
                </c:pt>
                <c:pt idx="25">
                  <c:v>299.86254273698586</c:v>
                </c:pt>
                <c:pt idx="26">
                  <c:v>326.60526674391025</c:v>
                </c:pt>
                <c:pt idx="27">
                  <c:v>353.29963832825246</c:v>
                </c:pt>
                <c:pt idx="28">
                  <c:v>379.94982125073926</c:v>
                </c:pt>
                <c:pt idx="29">
                  <c:v>406.55934771731046</c:v>
                </c:pt>
                <c:pt idx="30">
                  <c:v>433.13125009429899</c:v>
                </c:pt>
                <c:pt idx="31">
                  <c:v>317.65398661193501</c:v>
                </c:pt>
                <c:pt idx="32">
                  <c:v>345.00247647890689</c:v>
                </c:pt>
                <c:pt idx="33">
                  <c:v>372.30335622549779</c:v>
                </c:pt>
                <c:pt idx="34">
                  <c:v>399.56060449432636</c:v>
                </c:pt>
                <c:pt idx="35">
                  <c:v>426.77761307453511</c:v>
                </c:pt>
                <c:pt idx="36">
                  <c:v>453.95730613830068</c:v>
                </c:pt>
                <c:pt idx="37">
                  <c:v>481.10222941810247</c:v>
                </c:pt>
                <c:pt idx="38">
                  <c:v>508.21461820459371</c:v>
                </c:pt>
                <c:pt idx="39">
                  <c:v>535.29645007879674</c:v>
                </c:pt>
                <c:pt idx="40">
                  <c:v>562.34948641975632</c:v>
                </c:pt>
                <c:pt idx="41">
                  <c:v>444.43579354849908</c:v>
                </c:pt>
                <c:pt idx="42">
                  <c:v>468.42186475434511</c:v>
                </c:pt>
                <c:pt idx="43">
                  <c:v>492.38177551856029</c:v>
                </c:pt>
                <c:pt idx="44">
                  <c:v>516.31697660260215</c:v>
                </c:pt>
                <c:pt idx="45">
                  <c:v>540.22877341525373</c:v>
                </c:pt>
                <c:pt idx="46">
                  <c:v>564.11834649389664</c:v>
                </c:pt>
                <c:pt idx="47">
                  <c:v>587.98676833759816</c:v>
                </c:pt>
                <c:pt idx="48">
                  <c:v>611.83501736640767</c:v>
                </c:pt>
                <c:pt idx="49">
                  <c:v>635.66398959253263</c:v>
                </c:pt>
                <c:pt idx="50">
                  <c:v>659.47450845181311</c:v>
                </c:pt>
                <c:pt idx="51">
                  <c:v>549.83777157347788</c:v>
                </c:pt>
                <c:pt idx="52">
                  <c:v>570.18213138838905</c:v>
                </c:pt>
                <c:pt idx="53">
                  <c:v>590.51133070234414</c:v>
                </c:pt>
                <c:pt idx="54">
                  <c:v>610.82596442485919</c:v>
                </c:pt>
                <c:pt idx="55">
                  <c:v>631.12658470504709</c:v>
                </c:pt>
                <c:pt idx="56">
                  <c:v>651.41370530942902</c:v>
                </c:pt>
                <c:pt idx="57">
                  <c:v>671.68780542646584</c:v>
                </c:pt>
                <c:pt idx="58">
                  <c:v>691.94933298825333</c:v>
                </c:pt>
                <c:pt idx="59">
                  <c:v>712.19870758327704</c:v>
                </c:pt>
                <c:pt idx="60">
                  <c:v>732.43632302099616</c:v>
                </c:pt>
                <c:pt idx="61">
                  <c:v>651.16177221536145</c:v>
                </c:pt>
                <c:pt idx="62">
                  <c:v>668.0368898585059</c:v>
                </c:pt>
                <c:pt idx="63">
                  <c:v>684.90324436365006</c:v>
                </c:pt>
                <c:pt idx="64">
                  <c:v>701.76108174829403</c:v>
                </c:pt>
                <c:pt idx="65">
                  <c:v>718.61063525657755</c:v>
                </c:pt>
                <c:pt idx="66">
                  <c:v>735.45212631254537</c:v>
                </c:pt>
                <c:pt idx="67">
                  <c:v>752.28576538162952</c:v>
                </c:pt>
                <c:pt idx="68">
                  <c:v>769.11175275108883</c:v>
                </c:pt>
                <c:pt idx="69">
                  <c:v>785.93027923866612</c:v>
                </c:pt>
                <c:pt idx="70">
                  <c:v>802.74152683749219</c:v>
                </c:pt>
                <c:pt idx="71">
                  <c:v>740.60354161515352</c:v>
                </c:pt>
                <c:pt idx="72">
                  <c:v>753.79287926214704</c:v>
                </c:pt>
                <c:pt idx="73">
                  <c:v>766.9775296674934</c:v>
                </c:pt>
                <c:pt idx="74">
                  <c:v>780.15758470453568</c:v>
                </c:pt>
                <c:pt idx="75">
                  <c:v>793.33313289155137</c:v>
                </c:pt>
                <c:pt idx="76">
                  <c:v>806.5042595691117</c:v>
                </c:pt>
                <c:pt idx="77">
                  <c:v>819.67104706526504</c:v>
                </c:pt>
                <c:pt idx="78">
                  <c:v>832.83357484956321</c:v>
                </c:pt>
                <c:pt idx="79">
                  <c:v>845.99191967685238</c:v>
                </c:pt>
                <c:pt idx="80">
                  <c:v>859.14615572166258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609.91120610652558</c:v>
                </c:pt>
                <c:pt idx="112">
                  <c:v>620.21540909579812</c:v>
                </c:pt>
                <c:pt idx="113">
                  <c:v>630.51606604803237</c:v>
                </c:pt>
                <c:pt idx="114">
                  <c:v>640.81324304839393</c:v>
                </c:pt>
                <c:pt idx="115">
                  <c:v>651.10700388552448</c:v>
                </c:pt>
                <c:pt idx="116">
                  <c:v>661.39741016716164</c:v>
                </c:pt>
                <c:pt idx="117">
                  <c:v>671.68452142819569</c:v>
                </c:pt>
                <c:pt idx="118">
                  <c:v>681.96839523176038</c:v>
                </c:pt>
                <c:pt idx="119">
                  <c:v>692.24908726391561</c:v>
                </c:pt>
                <c:pt idx="120">
                  <c:v>702.52665142241358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2.0745631571652896</c:v>
                </c:pt>
                <c:pt idx="2">
                  <c:v>3.0297422110396059</c:v>
                </c:pt>
                <c:pt idx="3">
                  <c:v>4.426694796399576</c:v>
                </c:pt>
                <c:pt idx="4">
                  <c:v>6.4706057550725733</c:v>
                </c:pt>
                <c:pt idx="5">
                  <c:v>9.462332887170275</c:v>
                </c:pt>
                <c:pt idx="6">
                  <c:v>13.843177914710504</c:v>
                </c:pt>
                <c:pt idx="7">
                  <c:v>20.260677428574223</c:v>
                </c:pt>
                <c:pt idx="8">
                  <c:v>29.665312227503268</c:v>
                </c:pt>
                <c:pt idx="9">
                  <c:v>43.452707245633206</c:v>
                </c:pt>
                <c:pt idx="10">
                  <c:v>63.672780247520365</c:v>
                </c:pt>
                <c:pt idx="11">
                  <c:v>74.211914277304729</c:v>
                </c:pt>
                <c:pt idx="12">
                  <c:v>94.339696661064423</c:v>
                </c:pt>
                <c:pt idx="13">
                  <c:v>114.35988002843902</c:v>
                </c:pt>
                <c:pt idx="14">
                  <c:v>134.29404570864804</c:v>
                </c:pt>
                <c:pt idx="15">
                  <c:v>154.15679349366337</c:v>
                </c:pt>
                <c:pt idx="16">
                  <c:v>173.95863427802908</c:v>
                </c:pt>
                <c:pt idx="17">
                  <c:v>193.70748241961215</c:v>
                </c:pt>
                <c:pt idx="18">
                  <c:v>213.40950296894428</c:v>
                </c:pt>
                <c:pt idx="19">
                  <c:v>233.06962789410557</c:v>
                </c:pt>
                <c:pt idx="20">
                  <c:v>252.69188827494611</c:v>
                </c:pt>
                <c:pt idx="21">
                  <c:v>158.90496348262437</c:v>
                </c:pt>
                <c:pt idx="22">
                  <c:v>180.82317750350458</c:v>
                </c:pt>
                <c:pt idx="23">
                  <c:v>202.67915683996458</c:v>
                </c:pt>
                <c:pt idx="24">
                  <c:v>224.48055915021379</c:v>
                </c:pt>
                <c:pt idx="25">
                  <c:v>246.23343069700653</c:v>
                </c:pt>
                <c:pt idx="26">
                  <c:v>267.942661077026</c:v>
                </c:pt>
                <c:pt idx="27">
                  <c:v>289.61228235764639</c:v>
                </c:pt>
                <c:pt idx="28">
                  <c:v>311.24567377041313</c:v>
                </c:pt>
                <c:pt idx="29">
                  <c:v>332.84570640959026</c:v>
                </c:pt>
                <c:pt idx="30">
                  <c:v>354.41484835314122</c:v>
                </c:pt>
                <c:pt idx="31">
                  <c:v>258.20796683564902</c:v>
                </c:pt>
                <c:pt idx="32">
                  <c:v>276.61506059958816</c:v>
                </c:pt>
                <c:pt idx="33">
                  <c:v>294.99466081803865</c:v>
                </c:pt>
                <c:pt idx="34">
                  <c:v>313.34872108947019</c:v>
                </c:pt>
                <c:pt idx="35">
                  <c:v>331.67894746173437</c:v>
                </c:pt>
                <c:pt idx="36">
                  <c:v>349.98684203459584</c:v>
                </c:pt>
                <c:pt idx="37">
                  <c:v>368.27373695629672</c:v>
                </c:pt>
                <c:pt idx="38">
                  <c:v>386.54082131190904</c:v>
                </c:pt>
                <c:pt idx="39">
                  <c:v>404.78916266210507</c:v>
                </c:pt>
                <c:pt idx="40">
                  <c:v>423.01972449465916</c:v>
                </c:pt>
                <c:pt idx="41">
                  <c:v>331.21221855116193</c:v>
                </c:pt>
                <c:pt idx="42">
                  <c:v>346.49017993514076</c:v>
                </c:pt>
                <c:pt idx="43">
                  <c:v>361.7533546354652</c:v>
                </c:pt>
                <c:pt idx="44">
                  <c:v>377.00245431440914</c:v>
                </c:pt>
                <c:pt idx="45">
                  <c:v>392.2381283696534</c:v>
                </c:pt>
                <c:pt idx="46">
                  <c:v>407.46097163939231</c:v>
                </c:pt>
                <c:pt idx="47">
                  <c:v>422.67153089581711</c:v>
                </c:pt>
                <c:pt idx="48">
                  <c:v>437.87031035511899</c:v>
                </c:pt>
                <c:pt idx="49">
                  <c:v>453.05777638262111</c:v>
                </c:pt>
                <c:pt idx="50">
                  <c:v>468.23436153418692</c:v>
                </c:pt>
                <c:pt idx="51">
                  <c:v>394.33056437804663</c:v>
                </c:pt>
                <c:pt idx="52">
                  <c:v>407.46097163939248</c:v>
                </c:pt>
                <c:pt idx="53">
                  <c:v>420.5822393983571</c:v>
                </c:pt>
                <c:pt idx="54">
                  <c:v>433.69469295434129</c:v>
                </c:pt>
                <c:pt idx="55">
                  <c:v>446.79863633235749</c:v>
                </c:pt>
                <c:pt idx="56">
                  <c:v>459.89435427063654</c:v>
                </c:pt>
                <c:pt idx="57">
                  <c:v>472.98211397005889</c:v>
                </c:pt>
                <c:pt idx="58">
                  <c:v>486.06216663988494</c:v>
                </c:pt>
                <c:pt idx="59">
                  <c:v>499.13474886845819</c:v>
                </c:pt>
                <c:pt idx="60">
                  <c:v>512.20008384285632</c:v>
                </c:pt>
                <c:pt idx="61">
                  <c:v>445.98712945328037</c:v>
                </c:pt>
                <c:pt idx="62">
                  <c:v>457.3453774458365</c:v>
                </c:pt>
                <c:pt idx="63">
                  <c:v>468.69760187850301</c:v>
                </c:pt>
                <c:pt idx="64">
                  <c:v>480.04396921749617</c:v>
                </c:pt>
                <c:pt idx="65">
                  <c:v>491.38463741771352</c:v>
                </c:pt>
                <c:pt idx="66">
                  <c:v>502.71975654847256</c:v>
                </c:pt>
                <c:pt idx="67">
                  <c:v>514.04946935988221</c:v>
                </c:pt>
                <c:pt idx="68">
                  <c:v>525.37391179668555</c:v>
                </c:pt>
                <c:pt idx="69">
                  <c:v>536.69321346550237</c:v>
                </c:pt>
                <c:pt idx="70">
                  <c:v>548.00749806060537</c:v>
                </c:pt>
                <c:pt idx="71">
                  <c:v>485.13639362991449</c:v>
                </c:pt>
                <c:pt idx="72">
                  <c:v>495.08650386656171</c:v>
                </c:pt>
                <c:pt idx="73">
                  <c:v>505.03237738917477</c:v>
                </c:pt>
                <c:pt idx="74">
                  <c:v>514.974109405685</c:v>
                </c:pt>
                <c:pt idx="75">
                  <c:v>524.91179114784131</c:v>
                </c:pt>
                <c:pt idx="76">
                  <c:v>534.84551011101053</c:v>
                </c:pt>
                <c:pt idx="77">
                  <c:v>544.77535027524038</c:v>
                </c:pt>
                <c:pt idx="78">
                  <c:v>554.70139230936479</c:v>
                </c:pt>
                <c:pt idx="79">
                  <c:v>564.62371375974271</c:v>
                </c:pt>
                <c:pt idx="80">
                  <c:v>574.54238922504044</c:v>
                </c:pt>
                <c:pt idx="81">
                  <c:v>7.6581912194083782E-12</c:v>
                </c:pt>
                <c:pt idx="82">
                  <c:v>7.6581912194083782E-12</c:v>
                </c:pt>
                <c:pt idx="83">
                  <c:v>7.6581912194083782E-12</c:v>
                </c:pt>
                <c:pt idx="84">
                  <c:v>7.6581912194083782E-12</c:v>
                </c:pt>
                <c:pt idx="85">
                  <c:v>7.6581912194083782E-12</c:v>
                </c:pt>
                <c:pt idx="86">
                  <c:v>7.6581912194083782E-12</c:v>
                </c:pt>
                <c:pt idx="87">
                  <c:v>7.6581912194083782E-12</c:v>
                </c:pt>
                <c:pt idx="88">
                  <c:v>7.6581912194083782E-12</c:v>
                </c:pt>
                <c:pt idx="89">
                  <c:v>7.6581912194083782E-12</c:v>
                </c:pt>
                <c:pt idx="90">
                  <c:v>7.6581912194083782E-12</c:v>
                </c:pt>
                <c:pt idx="91">
                  <c:v>7.6581912194083782E-12</c:v>
                </c:pt>
                <c:pt idx="92">
                  <c:v>7.6581912194083782E-12</c:v>
                </c:pt>
                <c:pt idx="93">
                  <c:v>7.6581912194083782E-12</c:v>
                </c:pt>
                <c:pt idx="94">
                  <c:v>7.6581912194083782E-12</c:v>
                </c:pt>
                <c:pt idx="95">
                  <c:v>7.6581912194083782E-12</c:v>
                </c:pt>
                <c:pt idx="96">
                  <c:v>7.6581912194083782E-12</c:v>
                </c:pt>
                <c:pt idx="97">
                  <c:v>7.6581912194083782E-12</c:v>
                </c:pt>
                <c:pt idx="98">
                  <c:v>7.6581912194083782E-12</c:v>
                </c:pt>
                <c:pt idx="99">
                  <c:v>7.6581912194083782E-12</c:v>
                </c:pt>
                <c:pt idx="100">
                  <c:v>7.6581912194083782E-12</c:v>
                </c:pt>
                <c:pt idx="101">
                  <c:v>7.6581912194083782E-12</c:v>
                </c:pt>
                <c:pt idx="102">
                  <c:v>7.6581912194083782E-12</c:v>
                </c:pt>
                <c:pt idx="103">
                  <c:v>7.6581912194083782E-12</c:v>
                </c:pt>
                <c:pt idx="104">
                  <c:v>7.6581912194083782E-12</c:v>
                </c:pt>
                <c:pt idx="105">
                  <c:v>7.6581912194083782E-12</c:v>
                </c:pt>
                <c:pt idx="106">
                  <c:v>7.6581912194083782E-12</c:v>
                </c:pt>
                <c:pt idx="107">
                  <c:v>7.6581912194083782E-12</c:v>
                </c:pt>
                <c:pt idx="108">
                  <c:v>7.6581912194083782E-12</c:v>
                </c:pt>
                <c:pt idx="109">
                  <c:v>7.6581912194083782E-12</c:v>
                </c:pt>
                <c:pt idx="110">
                  <c:v>7.6581912194083782E-12</c:v>
                </c:pt>
                <c:pt idx="111">
                  <c:v>7.6581912194083782E-12</c:v>
                </c:pt>
                <c:pt idx="112">
                  <c:v>7.6581912194083782E-12</c:v>
                </c:pt>
                <c:pt idx="113">
                  <c:v>7.6581912194083782E-12</c:v>
                </c:pt>
                <c:pt idx="114">
                  <c:v>7.6581912194083782E-12</c:v>
                </c:pt>
                <c:pt idx="115">
                  <c:v>7.6581912194083782E-12</c:v>
                </c:pt>
                <c:pt idx="116">
                  <c:v>7.6581912194083782E-12</c:v>
                </c:pt>
                <c:pt idx="117">
                  <c:v>7.6581912194083782E-12</c:v>
                </c:pt>
                <c:pt idx="118">
                  <c:v>7.6581912194083782E-12</c:v>
                </c:pt>
                <c:pt idx="119">
                  <c:v>7.6581912194083782E-12</c:v>
                </c:pt>
                <c:pt idx="120">
                  <c:v>7.6581912194083782E-12</c:v>
                </c:pt>
                <c:pt idx="121">
                  <c:v>7.6581912194083782E-12</c:v>
                </c:pt>
                <c:pt idx="122">
                  <c:v>7.6581912194083782E-12</c:v>
                </c:pt>
                <c:pt idx="123">
                  <c:v>7.6581912194083782E-12</c:v>
                </c:pt>
                <c:pt idx="124">
                  <c:v>7.6581912194083782E-12</c:v>
                </c:pt>
                <c:pt idx="125">
                  <c:v>7.6581912194083782E-12</c:v>
                </c:pt>
                <c:pt idx="126">
                  <c:v>7.6581912194083782E-12</c:v>
                </c:pt>
                <c:pt idx="127">
                  <c:v>7.6581912194083782E-12</c:v>
                </c:pt>
                <c:pt idx="128">
                  <c:v>7.6581912194083782E-12</c:v>
                </c:pt>
                <c:pt idx="129">
                  <c:v>7.6581912194083782E-12</c:v>
                </c:pt>
                <c:pt idx="130">
                  <c:v>7.6581912194083782E-12</c:v>
                </c:pt>
                <c:pt idx="131">
                  <c:v>7.6581912194083782E-12</c:v>
                </c:pt>
                <c:pt idx="132">
                  <c:v>7.6581912194083782E-12</c:v>
                </c:pt>
                <c:pt idx="133">
                  <c:v>7.6581912194083782E-12</c:v>
                </c:pt>
                <c:pt idx="134">
                  <c:v>7.6581912194083782E-12</c:v>
                </c:pt>
                <c:pt idx="135">
                  <c:v>7.6581912194083782E-12</c:v>
                </c:pt>
                <c:pt idx="136">
                  <c:v>7.6581912194083782E-12</c:v>
                </c:pt>
                <c:pt idx="137">
                  <c:v>7.6581912194083782E-12</c:v>
                </c:pt>
                <c:pt idx="138">
                  <c:v>7.6581912194083782E-12</c:v>
                </c:pt>
                <c:pt idx="139">
                  <c:v>7.6581912194083782E-12</c:v>
                </c:pt>
                <c:pt idx="140">
                  <c:v>7.6581912194083782E-12</c:v>
                </c:pt>
                <c:pt idx="141">
                  <c:v>7.6581912194083782E-12</c:v>
                </c:pt>
                <c:pt idx="142">
                  <c:v>7.6581912194083782E-12</c:v>
                </c:pt>
                <c:pt idx="143">
                  <c:v>7.6581912194083782E-12</c:v>
                </c:pt>
                <c:pt idx="144">
                  <c:v>7.6581912194083782E-12</c:v>
                </c:pt>
                <c:pt idx="145">
                  <c:v>7.6581912194083782E-12</c:v>
                </c:pt>
                <c:pt idx="146">
                  <c:v>7.6581912194083782E-12</c:v>
                </c:pt>
                <c:pt idx="147">
                  <c:v>7.6581912194083782E-12</c:v>
                </c:pt>
                <c:pt idx="148">
                  <c:v>7.6581912194083782E-12</c:v>
                </c:pt>
                <c:pt idx="149">
                  <c:v>7.6581912194083782E-12</c:v>
                </c:pt>
                <c:pt idx="150">
                  <c:v>7.6581912194083782E-12</c:v>
                </c:pt>
                <c:pt idx="151">
                  <c:v>7.6581912194083782E-12</c:v>
                </c:pt>
                <c:pt idx="152">
                  <c:v>7.6581912194083782E-12</c:v>
                </c:pt>
                <c:pt idx="153">
                  <c:v>7.6581912194083782E-12</c:v>
                </c:pt>
                <c:pt idx="154">
                  <c:v>7.6581912194083782E-12</c:v>
                </c:pt>
                <c:pt idx="155">
                  <c:v>7.6581912194083782E-12</c:v>
                </c:pt>
                <c:pt idx="156">
                  <c:v>7.6581912194083782E-12</c:v>
                </c:pt>
                <c:pt idx="157">
                  <c:v>7.6581912194083782E-12</c:v>
                </c:pt>
                <c:pt idx="158">
                  <c:v>7.6581912194083782E-12</c:v>
                </c:pt>
                <c:pt idx="159">
                  <c:v>7.6581912194083782E-12</c:v>
                </c:pt>
                <c:pt idx="160">
                  <c:v>7.6581912194083782E-12</c:v>
                </c:pt>
                <c:pt idx="161">
                  <c:v>7.6581912194083782E-12</c:v>
                </c:pt>
                <c:pt idx="162">
                  <c:v>7.6581912194083782E-12</c:v>
                </c:pt>
                <c:pt idx="163">
                  <c:v>7.6581912194083782E-12</c:v>
                </c:pt>
                <c:pt idx="164">
                  <c:v>7.6581912194083782E-12</c:v>
                </c:pt>
                <c:pt idx="165">
                  <c:v>7.6581912194083782E-12</c:v>
                </c:pt>
                <c:pt idx="166">
                  <c:v>7.6581912194083782E-12</c:v>
                </c:pt>
                <c:pt idx="167">
                  <c:v>7.6581912194083782E-12</c:v>
                </c:pt>
                <c:pt idx="168">
                  <c:v>7.6581912194083782E-12</c:v>
                </c:pt>
                <c:pt idx="169">
                  <c:v>7.6581912194083782E-12</c:v>
                </c:pt>
                <c:pt idx="170">
                  <c:v>7.6581912194083782E-12</c:v>
                </c:pt>
                <c:pt idx="171">
                  <c:v>7.6581912194083782E-12</c:v>
                </c:pt>
                <c:pt idx="172">
                  <c:v>7.6581912194083782E-12</c:v>
                </c:pt>
                <c:pt idx="173">
                  <c:v>7.6581912194083782E-12</c:v>
                </c:pt>
                <c:pt idx="174">
                  <c:v>7.6581912194083782E-12</c:v>
                </c:pt>
                <c:pt idx="175">
                  <c:v>7.6581912194083782E-12</c:v>
                </c:pt>
                <c:pt idx="176">
                  <c:v>7.6581912194083782E-12</c:v>
                </c:pt>
                <c:pt idx="177">
                  <c:v>7.6581912194083782E-12</c:v>
                </c:pt>
                <c:pt idx="178">
                  <c:v>7.6581912194083782E-12</c:v>
                </c:pt>
                <c:pt idx="179">
                  <c:v>7.6581912194083782E-12</c:v>
                </c:pt>
                <c:pt idx="180">
                  <c:v>7.6581912194083782E-12</c:v>
                </c:pt>
                <c:pt idx="181">
                  <c:v>7.6581912194083782E-12</c:v>
                </c:pt>
                <c:pt idx="182">
                  <c:v>7.6581912194083782E-12</c:v>
                </c:pt>
                <c:pt idx="183">
                  <c:v>7.6581912194083782E-12</c:v>
                </c:pt>
                <c:pt idx="184">
                  <c:v>7.6581912194083782E-12</c:v>
                </c:pt>
                <c:pt idx="185">
                  <c:v>7.6581912194083782E-12</c:v>
                </c:pt>
                <c:pt idx="186">
                  <c:v>7.6581912194083782E-12</c:v>
                </c:pt>
                <c:pt idx="187">
                  <c:v>7.6581912194083782E-12</c:v>
                </c:pt>
                <c:pt idx="188">
                  <c:v>7.6581912194083782E-12</c:v>
                </c:pt>
                <c:pt idx="189">
                  <c:v>7.6581912194083782E-12</c:v>
                </c:pt>
                <c:pt idx="190">
                  <c:v>7.6581912194083782E-12</c:v>
                </c:pt>
                <c:pt idx="191">
                  <c:v>7.6581912194083782E-12</c:v>
                </c:pt>
                <c:pt idx="192">
                  <c:v>7.6581912194083782E-12</c:v>
                </c:pt>
                <c:pt idx="193">
                  <c:v>7.6581912194083782E-12</c:v>
                </c:pt>
                <c:pt idx="194">
                  <c:v>7.6581912194083782E-12</c:v>
                </c:pt>
                <c:pt idx="195">
                  <c:v>7.6581912194083782E-12</c:v>
                </c:pt>
                <c:pt idx="196">
                  <c:v>7.6581912194083782E-12</c:v>
                </c:pt>
                <c:pt idx="197">
                  <c:v>7.6581912194083782E-12</c:v>
                </c:pt>
                <c:pt idx="198">
                  <c:v>7.6581912194083782E-12</c:v>
                </c:pt>
                <c:pt idx="199">
                  <c:v>7.6581912194083782E-12</c:v>
                </c:pt>
                <c:pt idx="200">
                  <c:v>7.6581912194083782E-12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207.79830222105878</c:v>
                </c:pt>
                <c:pt idx="22">
                  <c:v>233.04610621025813</c:v>
                </c:pt>
                <c:pt idx="23">
                  <c:v>258.2314337725993</c:v>
                </c:pt>
                <c:pt idx="24">
                  <c:v>283.36123337871362</c:v>
                </c:pt>
                <c:pt idx="25">
                  <c:v>308.44111949657554</c:v>
                </c:pt>
                <c:pt idx="26">
                  <c:v>333.47571872180373</c:v>
                </c:pt>
                <c:pt idx="27">
                  <c:v>358.46890629665114</c:v>
                </c:pt>
                <c:pt idx="28">
                  <c:v>383.42397311131054</c:v>
                </c:pt>
                <c:pt idx="29">
                  <c:v>408.34374690780311</c:v>
                </c:pt>
                <c:pt idx="30">
                  <c:v>433.2306823305874</c:v>
                </c:pt>
                <c:pt idx="31">
                  <c:v>290.66553097703115</c:v>
                </c:pt>
                <c:pt idx="32">
                  <c:v>312.18040027213084</c:v>
                </c:pt>
                <c:pt idx="33">
                  <c:v>333.66238399485127</c:v>
                </c:pt>
                <c:pt idx="34">
                  <c:v>355.11389600890448</c:v>
                </c:pt>
                <c:pt idx="35">
                  <c:v>376.53703482084643</c:v>
                </c:pt>
                <c:pt idx="36">
                  <c:v>397.93364074958509</c:v>
                </c:pt>
                <c:pt idx="37">
                  <c:v>419.30534015273292</c:v>
                </c:pt>
                <c:pt idx="38">
                  <c:v>440.65358016358806</c:v>
                </c:pt>
                <c:pt idx="39">
                  <c:v>461.9796563449915</c:v>
                </c:pt>
                <c:pt idx="40">
                  <c:v>483.28473497109502</c:v>
                </c:pt>
                <c:pt idx="41">
                  <c:v>350.26654178094645</c:v>
                </c:pt>
                <c:pt idx="42">
                  <c:v>367.78479630486146</c:v>
                </c:pt>
                <c:pt idx="43">
                  <c:v>385.28484395959777</c:v>
                </c:pt>
                <c:pt idx="44">
                  <c:v>402.76762782233146</c:v>
                </c:pt>
                <c:pt idx="45">
                  <c:v>420.23400244347687</c:v>
                </c:pt>
                <c:pt idx="46">
                  <c:v>437.68474556682287</c:v>
                </c:pt>
                <c:pt idx="47">
                  <c:v>455.12056788314362</c:v>
                </c:pt>
                <c:pt idx="48">
                  <c:v>472.54212121143911</c:v>
                </c:pt>
                <c:pt idx="49">
                  <c:v>489.95000541105492</c:v>
                </c:pt>
                <c:pt idx="50">
                  <c:v>507.34477426054764</c:v>
                </c:pt>
                <c:pt idx="51">
                  <c:v>392.72638504489879</c:v>
                </c:pt>
                <c:pt idx="52">
                  <c:v>406.11349808426439</c:v>
                </c:pt>
                <c:pt idx="53">
                  <c:v>419.49107615312863</c:v>
                </c:pt>
                <c:pt idx="54">
                  <c:v>432.85946614650538</c:v>
                </c:pt>
                <c:pt idx="55">
                  <c:v>446.21899178570385</c:v>
                </c:pt>
                <c:pt idx="56">
                  <c:v>459.56995582844667</c:v>
                </c:pt>
                <c:pt idx="57">
                  <c:v>472.9126420088009</c:v>
                </c:pt>
                <c:pt idx="58">
                  <c:v>486.24731674679327</c:v>
                </c:pt>
                <c:pt idx="59">
                  <c:v>499.57423066075063</c:v>
                </c:pt>
                <c:pt idx="60">
                  <c:v>512.89361990988994</c:v>
                </c:pt>
                <c:pt idx="61">
                  <c:v>421.34833884363485</c:v>
                </c:pt>
                <c:pt idx="62">
                  <c:v>431.74577653680234</c:v>
                </c:pt>
                <c:pt idx="63">
                  <c:v>442.1378364455864</c:v>
                </c:pt>
                <c:pt idx="64">
                  <c:v>452.5246628164245</c:v>
                </c:pt>
                <c:pt idx="65">
                  <c:v>462.90639273248468</c:v>
                </c:pt>
                <c:pt idx="66">
                  <c:v>473.28315662550813</c:v>
                </c:pt>
                <c:pt idx="67">
                  <c:v>483.65507874042174</c:v>
                </c:pt>
                <c:pt idx="68">
                  <c:v>494.02227755801908</c:v>
                </c:pt>
                <c:pt idx="69">
                  <c:v>504.38486618031328</c:v>
                </c:pt>
                <c:pt idx="70">
                  <c:v>514.74295268257481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39.608112078537687</c:v>
                </c:pt>
                <c:pt idx="12">
                  <c:v>59.792252839405712</c:v>
                </c:pt>
                <c:pt idx="13">
                  <c:v>79.796073969285615</c:v>
                </c:pt>
                <c:pt idx="14">
                  <c:v>99.671872945964807</c:v>
                </c:pt>
                <c:pt idx="15">
                  <c:v>119.44897015523419</c:v>
                </c:pt>
                <c:pt idx="16">
                  <c:v>139.14607470447081</c:v>
                </c:pt>
                <c:pt idx="17">
                  <c:v>158.77612951723384</c:v>
                </c:pt>
                <c:pt idx="18">
                  <c:v>178.34860130742405</c:v>
                </c:pt>
                <c:pt idx="19">
                  <c:v>197.87070296515913</c:v>
                </c:pt>
                <c:pt idx="20">
                  <c:v>217.34810492356107</c:v>
                </c:pt>
                <c:pt idx="21">
                  <c:v>133.86852837675002</c:v>
                </c:pt>
                <c:pt idx="22">
                  <c:v>157.02306213368757</c:v>
                </c:pt>
                <c:pt idx="23">
                  <c:v>180.09643806867584</c:v>
                </c:pt>
                <c:pt idx="24">
                  <c:v>203.10052831260927</c:v>
                </c:pt>
                <c:pt idx="25">
                  <c:v>226.04428793703948</c:v>
                </c:pt>
                <c:pt idx="26">
                  <c:v>248.93470217300015</c:v>
                </c:pt>
                <c:pt idx="27">
                  <c:v>271.77736518267238</c:v>
                </c:pt>
                <c:pt idx="28">
                  <c:v>294.57685332640881</c:v>
                </c:pt>
                <c:pt idx="29">
                  <c:v>317.33697649989301</c:v>
                </c:pt>
                <c:pt idx="30">
                  <c:v>340.06095344521384</c:v>
                </c:pt>
                <c:pt idx="31">
                  <c:v>249.0923955297977</c:v>
                </c:pt>
                <c:pt idx="32">
                  <c:v>268.15703506620378</c:v>
                </c:pt>
                <c:pt idx="33">
                  <c:v>287.19115712325663</c:v>
                </c:pt>
                <c:pt idx="34">
                  <c:v>306.19706833197506</c:v>
                </c:pt>
                <c:pt idx="35">
                  <c:v>325.17676557494707</c:v>
                </c:pt>
                <c:pt idx="36">
                  <c:v>344.13199361263992</c:v>
                </c:pt>
                <c:pt idx="37">
                  <c:v>363.06428933973513</c:v>
                </c:pt>
                <c:pt idx="38">
                  <c:v>381.97501632295251</c:v>
                </c:pt>
                <c:pt idx="39">
                  <c:v>400.86539213963152</c:v>
                </c:pt>
                <c:pt idx="40">
                  <c:v>419.73651029301618</c:v>
                </c:pt>
                <c:pt idx="41">
                  <c:v>324.70649713481191</c:v>
                </c:pt>
                <c:pt idx="42">
                  <c:v>339.12133083817071</c:v>
                </c:pt>
                <c:pt idx="43">
                  <c:v>353.52268649784691</c:v>
                </c:pt>
                <c:pt idx="44">
                  <c:v>367.91119048558335</c:v>
                </c:pt>
                <c:pt idx="45">
                  <c:v>382.28741618096211</c:v>
                </c:pt>
                <c:pt idx="46">
                  <c:v>396.65189032068633</c:v>
                </c:pt>
                <c:pt idx="47">
                  <c:v>411.00509838000477</c:v>
                </c:pt>
                <c:pt idx="48">
                  <c:v>425.34748916314453</c:v>
                </c:pt>
                <c:pt idx="49">
                  <c:v>439.67947874230293</c:v>
                </c:pt>
                <c:pt idx="50">
                  <c:v>454.00145385629543</c:v>
                </c:pt>
                <c:pt idx="51">
                  <c:v>397.58830747990646</c:v>
                </c:pt>
                <c:pt idx="52">
                  <c:v>408.19772677982763</c:v>
                </c:pt>
                <c:pt idx="53">
                  <c:v>418.80119064069623</c:v>
                </c:pt>
                <c:pt idx="54">
                  <c:v>429.39887113927813</c:v>
                </c:pt>
                <c:pt idx="55">
                  <c:v>439.9909311636232</c:v>
                </c:pt>
                <c:pt idx="56">
                  <c:v>450.57752511785958</c:v>
                </c:pt>
                <c:pt idx="57">
                  <c:v>461.15879955729133</c:v>
                </c:pt>
                <c:pt idx="58">
                  <c:v>471.73489376216497</c:v>
                </c:pt>
                <c:pt idx="59">
                  <c:v>482.3059402572992</c:v>
                </c:pt>
                <c:pt idx="60">
                  <c:v>492.87206528378402</c:v>
                </c:pt>
                <c:pt idx="61">
                  <c:v>453.84583274186275</c:v>
                </c:pt>
                <c:pt idx="62">
                  <c:v>461.46993442600098</c:v>
                </c:pt>
                <c:pt idx="63">
                  <c:v>469.09134849962794</c:v>
                </c:pt>
                <c:pt idx="64">
                  <c:v>476.71012480781616</c:v>
                </c:pt>
                <c:pt idx="65">
                  <c:v>484.32631147171105</c:v>
                </c:pt>
                <c:pt idx="66">
                  <c:v>491.93995497491869</c:v>
                </c:pt>
                <c:pt idx="67">
                  <c:v>499.55110024426494</c:v>
                </c:pt>
                <c:pt idx="68">
                  <c:v>507.15979072537556</c:v>
                </c:pt>
                <c:pt idx="69">
                  <c:v>514.76606845348317</c:v>
                </c:pt>
                <c:pt idx="70">
                  <c:v>522.36997411983293</c:v>
                </c:pt>
                <c:pt idx="71">
                  <c:v>488.05575792294297</c:v>
                </c:pt>
                <c:pt idx="72">
                  <c:v>494.11482090374903</c:v>
                </c:pt>
                <c:pt idx="73">
                  <c:v>500.17230927372475</c:v>
                </c:pt>
                <c:pt idx="74">
                  <c:v>506.22824480345389</c:v>
                </c:pt>
                <c:pt idx="75">
                  <c:v>512.28264869987095</c:v>
                </c:pt>
                <c:pt idx="76">
                  <c:v>518.33554162748874</c:v>
                </c:pt>
                <c:pt idx="77">
                  <c:v>524.38694372858561</c:v>
                </c:pt>
                <c:pt idx="78">
                  <c:v>530.43687464240918</c:v>
                </c:pt>
                <c:pt idx="79">
                  <c:v>536.48535352346028</c:v>
                </c:pt>
                <c:pt idx="80">
                  <c:v>542.53239905890825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46.234119941610061</c:v>
                </c:pt>
                <c:pt idx="14">
                  <c:v>57.595727469096431</c:v>
                </c:pt>
                <c:pt idx="15">
                  <c:v>68.898503230689343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1.9933916441581754</c:v>
                </c:pt>
                <c:pt idx="2">
                  <c:v>2.5623261721581314</c:v>
                </c:pt>
                <c:pt idx="3">
                  <c:v>3.2942955119098722</c:v>
                </c:pt>
                <c:pt idx="4">
                  <c:v>4.23619633043461</c:v>
                </c:pt>
                <c:pt idx="5">
                  <c:v>5.4484627492651603</c:v>
                </c:pt>
                <c:pt idx="6">
                  <c:v>7.0089869449314071</c:v>
                </c:pt>
                <c:pt idx="7">
                  <c:v>9.0181786232062908</c:v>
                </c:pt>
                <c:pt idx="8">
                  <c:v>11.605495104681887</c:v>
                </c:pt>
                <c:pt idx="9">
                  <c:v>14.937870632061715</c:v>
                </c:pt>
                <c:pt idx="10">
                  <c:v>19.230598735063261</c:v>
                </c:pt>
                <c:pt idx="11">
                  <c:v>24.761383382256227</c:v>
                </c:pt>
                <c:pt idx="12">
                  <c:v>31.888483968904367</c:v>
                </c:pt>
                <c:pt idx="13">
                  <c:v>41.074149856495346</c:v>
                </c:pt>
                <c:pt idx="14">
                  <c:v>52.914890206805474</c:v>
                </c:pt>
                <c:pt idx="15">
                  <c:v>68.180577553228503</c:v>
                </c:pt>
                <c:pt idx="16">
                  <c:v>87.864969096236052</c:v>
                </c:pt>
                <c:pt idx="17">
                  <c:v>113.2509871504281</c:v>
                </c:pt>
                <c:pt idx="18">
                  <c:v>145.99508005823589</c:v>
                </c:pt>
                <c:pt idx="19">
                  <c:v>188.23625265919645</c:v>
                </c:pt>
                <c:pt idx="20">
                  <c:v>242.73699578294506</c:v>
                </c:pt>
                <c:pt idx="21">
                  <c:v>192.29003045267413</c:v>
                </c:pt>
                <c:pt idx="22">
                  <c:v>219.28874729858379</c:v>
                </c:pt>
                <c:pt idx="23">
                  <c:v>246.21105711862242</c:v>
                </c:pt>
                <c:pt idx="24">
                  <c:v>273.06648912870259</c:v>
                </c:pt>
                <c:pt idx="25">
                  <c:v>299.86254273698586</c:v>
                </c:pt>
                <c:pt idx="26">
                  <c:v>326.60526674391025</c:v>
                </c:pt>
                <c:pt idx="27">
                  <c:v>353.29963832825246</c:v>
                </c:pt>
                <c:pt idx="28">
                  <c:v>379.94982125073926</c:v>
                </c:pt>
                <c:pt idx="29">
                  <c:v>406.55934771731046</c:v>
                </c:pt>
                <c:pt idx="30">
                  <c:v>433.13125009429899</c:v>
                </c:pt>
                <c:pt idx="31">
                  <c:v>317.65398661193501</c:v>
                </c:pt>
                <c:pt idx="32">
                  <c:v>345.00247647890689</c:v>
                </c:pt>
                <c:pt idx="33">
                  <c:v>372.30335622549779</c:v>
                </c:pt>
                <c:pt idx="34">
                  <c:v>399.56060449432636</c:v>
                </c:pt>
                <c:pt idx="35">
                  <c:v>426.77761307453511</c:v>
                </c:pt>
                <c:pt idx="36">
                  <c:v>453.95730613830068</c:v>
                </c:pt>
                <c:pt idx="37">
                  <c:v>481.10222941810247</c:v>
                </c:pt>
                <c:pt idx="38">
                  <c:v>508.21461820459371</c:v>
                </c:pt>
                <c:pt idx="39">
                  <c:v>535.29645007879674</c:v>
                </c:pt>
                <c:pt idx="40">
                  <c:v>562.34948641975632</c:v>
                </c:pt>
                <c:pt idx="41">
                  <c:v>444.43579354849908</c:v>
                </c:pt>
                <c:pt idx="42">
                  <c:v>468.42186475434511</c:v>
                </c:pt>
                <c:pt idx="43">
                  <c:v>492.38177551856029</c:v>
                </c:pt>
                <c:pt idx="44">
                  <c:v>516.31697660260215</c:v>
                </c:pt>
                <c:pt idx="45">
                  <c:v>540.22877341525373</c:v>
                </c:pt>
                <c:pt idx="46">
                  <c:v>564.11834649389664</c:v>
                </c:pt>
                <c:pt idx="47">
                  <c:v>587.98676833759816</c:v>
                </c:pt>
                <c:pt idx="48">
                  <c:v>611.83501736640767</c:v>
                </c:pt>
                <c:pt idx="49">
                  <c:v>635.66398959253263</c:v>
                </c:pt>
                <c:pt idx="50">
                  <c:v>659.47450845181311</c:v>
                </c:pt>
                <c:pt idx="51">
                  <c:v>549.83777157347788</c:v>
                </c:pt>
                <c:pt idx="52">
                  <c:v>570.18213138838905</c:v>
                </c:pt>
                <c:pt idx="53">
                  <c:v>590.51133070234414</c:v>
                </c:pt>
                <c:pt idx="54">
                  <c:v>610.82596442485919</c:v>
                </c:pt>
                <c:pt idx="55">
                  <c:v>631.12658470504709</c:v>
                </c:pt>
                <c:pt idx="56">
                  <c:v>651.41370530942902</c:v>
                </c:pt>
                <c:pt idx="57">
                  <c:v>671.68780542646584</c:v>
                </c:pt>
                <c:pt idx="58">
                  <c:v>691.94933298825333</c:v>
                </c:pt>
                <c:pt idx="59">
                  <c:v>712.19870758327704</c:v>
                </c:pt>
                <c:pt idx="60">
                  <c:v>732.43632302099616</c:v>
                </c:pt>
                <c:pt idx="61">
                  <c:v>651.16177221536145</c:v>
                </c:pt>
                <c:pt idx="62">
                  <c:v>668.0368898585059</c:v>
                </c:pt>
                <c:pt idx="63">
                  <c:v>684.90324436365006</c:v>
                </c:pt>
                <c:pt idx="64">
                  <c:v>701.76108174829403</c:v>
                </c:pt>
                <c:pt idx="65">
                  <c:v>718.61063525657755</c:v>
                </c:pt>
                <c:pt idx="66">
                  <c:v>735.45212631254537</c:v>
                </c:pt>
                <c:pt idx="67">
                  <c:v>752.28576538162952</c:v>
                </c:pt>
                <c:pt idx="68">
                  <c:v>769.11175275108883</c:v>
                </c:pt>
                <c:pt idx="69">
                  <c:v>785.93027923866612</c:v>
                </c:pt>
                <c:pt idx="70">
                  <c:v>802.74152683749219</c:v>
                </c:pt>
                <c:pt idx="71">
                  <c:v>740.60354161515352</c:v>
                </c:pt>
                <c:pt idx="72">
                  <c:v>753.79287926214704</c:v>
                </c:pt>
                <c:pt idx="73">
                  <c:v>766.9775296674934</c:v>
                </c:pt>
                <c:pt idx="74">
                  <c:v>780.15758470453568</c:v>
                </c:pt>
                <c:pt idx="75">
                  <c:v>793.33313289155137</c:v>
                </c:pt>
                <c:pt idx="76">
                  <c:v>806.5042595691117</c:v>
                </c:pt>
                <c:pt idx="77">
                  <c:v>819.67104706526504</c:v>
                </c:pt>
                <c:pt idx="78">
                  <c:v>832.83357484956321</c:v>
                </c:pt>
                <c:pt idx="79">
                  <c:v>845.99191967685238</c:v>
                </c:pt>
                <c:pt idx="80">
                  <c:v>859.14615572166258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6" zoomScale="55" zoomScaleNormal="55" workbookViewId="0">
      <selection activeCell="A270" sqref="A270:H27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8.6999999999999993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0.1</v>
      </c>
      <c r="D9" s="33">
        <f t="shared" ref="D9:D18" si="0">C9*$C$5</f>
        <v>0.87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0.33</v>
      </c>
      <c r="D10" s="33">
        <f t="shared" si="0"/>
        <v>2.871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23</v>
      </c>
      <c r="C11" s="32">
        <v>0.08</v>
      </c>
      <c r="D11" s="33">
        <f t="shared" si="0"/>
        <v>0.69599999999999995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81</v>
      </c>
      <c r="C12" s="32">
        <v>0.17</v>
      </c>
      <c r="D12" s="33">
        <f t="shared" si="0"/>
        <v>1.4790000000000001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13</v>
      </c>
      <c r="C13" s="32">
        <v>0.11</v>
      </c>
      <c r="D13" s="33">
        <f t="shared" si="0"/>
        <v>0.95699999999999996</v>
      </c>
      <c r="E13" s="34">
        <v>70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0.03</v>
      </c>
      <c r="D14" s="33">
        <f t="shared" si="0"/>
        <v>0.26099999999999995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36</v>
      </c>
      <c r="C15" s="32">
        <v>0.03</v>
      </c>
      <c r="D15" s="33">
        <f t="shared" si="0"/>
        <v>0.26099999999999995</v>
      </c>
      <c r="E15" s="34">
        <v>62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18</v>
      </c>
      <c r="C16" s="32">
        <v>3.5000000000000003E-2</v>
      </c>
      <c r="D16" s="33">
        <f t="shared" si="0"/>
        <v>0.30449999999999999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35</v>
      </c>
      <c r="C17" s="32">
        <v>0.08</v>
      </c>
      <c r="D17" s="33">
        <f t="shared" si="0"/>
        <v>0.69599999999999995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138</v>
      </c>
      <c r="C18" s="32">
        <v>0.03</v>
      </c>
      <c r="D18" s="33">
        <f t="shared" si="0"/>
        <v>0.26099999999999995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0.99500000000000011</v>
      </c>
      <c r="D19" s="38">
        <f>SUM(D9:D18)</f>
        <v>8.6564999999999994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12.5</v>
      </c>
      <c r="E36" s="51"/>
      <c r="F36" s="51">
        <v>0.5</v>
      </c>
      <c r="G36" s="51">
        <v>0.5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237.5</v>
      </c>
      <c r="C37" s="60">
        <v>2</v>
      </c>
      <c r="D37" s="60">
        <v>45.9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291.60000000000002</v>
      </c>
      <c r="C38" s="60">
        <v>3</v>
      </c>
      <c r="D38" s="60">
        <v>83.4</v>
      </c>
      <c r="E38" s="51"/>
      <c r="F38" s="51"/>
      <c r="G38" s="51"/>
      <c r="H38" s="51"/>
      <c r="I38" s="53">
        <f t="shared" si="1"/>
        <v>10.000000000000004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323.2</v>
      </c>
      <c r="C39" s="60">
        <v>4</v>
      </c>
      <c r="D39" s="60">
        <v>83.4</v>
      </c>
      <c r="E39" s="51"/>
      <c r="F39" s="51"/>
      <c r="G39" s="51"/>
      <c r="H39" s="51"/>
      <c r="I39" s="49">
        <f t="shared" si="1"/>
        <v>11.499999999999996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374.79999999999995</v>
      </c>
      <c r="C40" s="60">
        <v>5</v>
      </c>
      <c r="D40" s="60">
        <v>83.4</v>
      </c>
      <c r="E40" s="51"/>
      <c r="F40" s="51"/>
      <c r="G40" s="51"/>
      <c r="H40" s="51"/>
      <c r="I40" s="49">
        <f t="shared" si="1"/>
        <v>13.499999999999996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446.4</v>
      </c>
      <c r="C41" s="60">
        <v>6</v>
      </c>
      <c r="D41" s="60">
        <v>83.4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533</v>
      </c>
      <c r="C42" s="60">
        <v>7</v>
      </c>
      <c r="D42" s="60">
        <v>83.4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624.6</v>
      </c>
      <c r="C43" s="60">
        <v>8</v>
      </c>
      <c r="D43" s="60">
        <v>83.4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726.2</v>
      </c>
      <c r="C44" s="60">
        <v>9</v>
      </c>
      <c r="D44" s="60">
        <v>726.2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149</v>
      </c>
      <c r="C63" s="60">
        <v>2</v>
      </c>
      <c r="D63" s="60">
        <f>28+28</f>
        <v>56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203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259</v>
      </c>
      <c r="C65" s="60">
        <v>4</v>
      </c>
      <c r="D65" s="60">
        <f>28+28</f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301</v>
      </c>
      <c r="C66" s="60">
        <v>5</v>
      </c>
      <c r="D66" s="60">
        <f t="shared" ref="D66:D69" si="2">28+28</f>
        <v>56</v>
      </c>
      <c r="E66" s="51"/>
      <c r="F66" s="51"/>
      <c r="G66" s="51"/>
      <c r="H66" s="51"/>
      <c r="I66" s="49">
        <f t="shared" ref="I66:I81" si="3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330</v>
      </c>
      <c r="C67" s="60">
        <v>6</v>
      </c>
      <c r="D67" s="60">
        <f t="shared" si="2"/>
        <v>56</v>
      </c>
      <c r="E67" s="51"/>
      <c r="F67" s="51"/>
      <c r="G67" s="51"/>
      <c r="H67" s="51"/>
      <c r="I67" s="49">
        <f t="shared" si="3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348</v>
      </c>
      <c r="C68" s="60">
        <v>7</v>
      </c>
      <c r="D68" s="60">
        <f t="shared" si="2"/>
        <v>56</v>
      </c>
      <c r="E68" s="51"/>
      <c r="F68" s="51"/>
      <c r="G68" s="51"/>
      <c r="H68" s="51"/>
      <c r="I68" s="49">
        <f t="shared" si="3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358</v>
      </c>
      <c r="C69" s="50">
        <v>8</v>
      </c>
      <c r="D69" s="50">
        <f t="shared" si="2"/>
        <v>56</v>
      </c>
      <c r="E69" s="51"/>
      <c r="F69" s="51"/>
      <c r="G69" s="51"/>
      <c r="H69" s="51"/>
      <c r="I69" s="49">
        <f t="shared" si="3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361</v>
      </c>
      <c r="C70" s="50">
        <v>9</v>
      </c>
      <c r="D70" s="50">
        <f>28+27</f>
        <v>55</v>
      </c>
      <c r="E70" s="51"/>
      <c r="F70" s="51"/>
      <c r="G70" s="51"/>
      <c r="H70" s="51"/>
      <c r="I70" s="49">
        <f t="shared" si="3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358</v>
      </c>
      <c r="C71" s="50">
        <v>10</v>
      </c>
      <c r="D71" s="50">
        <f>26+25</f>
        <v>51</v>
      </c>
      <c r="E71" s="51"/>
      <c r="F71" s="51"/>
      <c r="G71" s="51"/>
      <c r="H71" s="51"/>
      <c r="I71" s="49">
        <f t="shared" si="3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306+27+28</f>
        <v>361</v>
      </c>
      <c r="C72" s="50">
        <v>11</v>
      </c>
      <c r="D72" s="50">
        <f>B72</f>
        <v>361</v>
      </c>
      <c r="E72" s="51"/>
      <c r="F72" s="51"/>
      <c r="G72" s="51"/>
      <c r="H72" s="51"/>
      <c r="I72" s="49">
        <f t="shared" si="3"/>
        <v>5.4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11</v>
      </c>
      <c r="C88" s="60">
        <v>1</v>
      </c>
      <c r="D88" s="60">
        <v>0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134</v>
      </c>
      <c r="C89" s="60">
        <v>2</v>
      </c>
      <c r="D89" s="60">
        <v>67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212</v>
      </c>
      <c r="C90" s="60">
        <v>3</v>
      </c>
      <c r="D90" s="60">
        <v>70</v>
      </c>
      <c r="E90" s="87">
        <v>0.1</v>
      </c>
      <c r="F90" s="87">
        <v>0.45</v>
      </c>
      <c r="G90" s="87">
        <v>0.45</v>
      </c>
      <c r="H90" s="87"/>
      <c r="I90" s="53">
        <f t="shared" si="4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40</v>
      </c>
      <c r="B91" s="60">
        <v>263</v>
      </c>
      <c r="C91" s="60">
        <v>4</v>
      </c>
      <c r="D91" s="60">
        <v>70</v>
      </c>
      <c r="E91" s="87"/>
      <c r="F91" s="87"/>
      <c r="G91" s="87"/>
      <c r="H91" s="87"/>
      <c r="I91" s="53">
        <f t="shared" si="4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285</v>
      </c>
      <c r="C92" s="60">
        <v>5</v>
      </c>
      <c r="D92" s="60">
        <v>43</v>
      </c>
      <c r="E92" s="87"/>
      <c r="F92" s="87"/>
      <c r="G92" s="87"/>
      <c r="H92" s="87"/>
      <c r="I92" s="53">
        <f t="shared" si="4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310</v>
      </c>
      <c r="C93" s="60">
        <v>6</v>
      </c>
      <c r="D93" s="60">
        <v>30</v>
      </c>
      <c r="E93" s="87"/>
      <c r="F93" s="87"/>
      <c r="G93" s="87"/>
      <c r="H93" s="87"/>
      <c r="I93" s="53">
        <f t="shared" si="4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329</v>
      </c>
      <c r="C94" s="60">
        <v>7</v>
      </c>
      <c r="D94" s="60">
        <v>26</v>
      </c>
      <c r="E94" s="87"/>
      <c r="F94" s="87"/>
      <c r="G94" s="87"/>
      <c r="H94" s="87"/>
      <c r="I94" s="53">
        <f t="shared" si="4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v>342</v>
      </c>
      <c r="C95" s="60">
        <v>8</v>
      </c>
      <c r="D95" s="60">
        <v>342</v>
      </c>
      <c r="E95" s="87"/>
      <c r="F95" s="87"/>
      <c r="G95" s="87"/>
      <c r="H95" s="87"/>
      <c r="I95" s="53">
        <f t="shared" si="4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51</v>
      </c>
      <c r="C114" s="50">
        <v>1</v>
      </c>
      <c r="D114" s="60">
        <v>8</v>
      </c>
      <c r="E114" s="51"/>
      <c r="F114" s="51">
        <v>0.5</v>
      </c>
      <c r="G114" s="51">
        <v>0.5</v>
      </c>
      <c r="H114" s="51"/>
      <c r="I114" s="53">
        <f>IFERROR(B114/A114,"")</f>
        <v>5.0999999999999996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210</v>
      </c>
      <c r="C115" s="50">
        <v>2</v>
      </c>
      <c r="D115" s="60">
        <v>98</v>
      </c>
      <c r="E115" s="51"/>
      <c r="F115" s="51">
        <v>0.5</v>
      </c>
      <c r="G115" s="51">
        <v>0.5</v>
      </c>
      <c r="H115" s="51"/>
      <c r="I115" s="53">
        <f t="shared" ref="I115:I133" si="5">IF(A115&lt;&gt;0,(B115-(B114-D114))/(A115-A114),"")</f>
        <v>16.7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297</v>
      </c>
      <c r="C116" s="50">
        <v>3</v>
      </c>
      <c r="D116" s="60">
        <v>98</v>
      </c>
      <c r="E116" s="51">
        <v>0.2</v>
      </c>
      <c r="F116" s="51">
        <v>0.4</v>
      </c>
      <c r="G116" s="51">
        <v>0.4</v>
      </c>
      <c r="H116" s="51"/>
      <c r="I116" s="53">
        <f t="shared" si="5"/>
        <v>18.5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356</v>
      </c>
      <c r="C117" s="50">
        <v>4</v>
      </c>
      <c r="D117" s="60">
        <v>92</v>
      </c>
      <c r="E117" s="51"/>
      <c r="F117" s="51"/>
      <c r="G117" s="51"/>
      <c r="H117" s="51"/>
      <c r="I117" s="53">
        <f t="shared" si="5"/>
        <v>15.7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v>395</v>
      </c>
      <c r="C118" s="50">
        <v>5</v>
      </c>
      <c r="D118" s="60">
        <v>75</v>
      </c>
      <c r="E118" s="51"/>
      <c r="F118" s="51"/>
      <c r="G118" s="51"/>
      <c r="H118" s="51"/>
      <c r="I118" s="53">
        <f t="shared" si="5"/>
        <v>13.1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60</v>
      </c>
      <c r="B119" s="60">
        <v>433</v>
      </c>
      <c r="C119" s="50">
        <v>6</v>
      </c>
      <c r="D119" s="60">
        <v>67</v>
      </c>
      <c r="E119" s="51"/>
      <c r="F119" s="51"/>
      <c r="G119" s="51"/>
      <c r="H119" s="51"/>
      <c r="I119" s="53">
        <f t="shared" si="5"/>
        <v>11.3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70</v>
      </c>
      <c r="B120" s="60">
        <v>464</v>
      </c>
      <c r="C120" s="60">
        <v>7</v>
      </c>
      <c r="D120" s="60">
        <v>63</v>
      </c>
      <c r="E120" s="87"/>
      <c r="F120" s="87"/>
      <c r="G120" s="87"/>
      <c r="H120" s="87"/>
      <c r="I120" s="53">
        <f t="shared" si="5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80</v>
      </c>
      <c r="B121" s="60">
        <v>487</v>
      </c>
      <c r="C121" s="60">
        <v>8</v>
      </c>
      <c r="D121" s="60">
        <v>487</v>
      </c>
      <c r="E121" s="87"/>
      <c r="F121" s="87"/>
      <c r="G121" s="87"/>
      <c r="H121" s="87"/>
      <c r="I121" s="53">
        <f t="shared" si="5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rouge d'Amérique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87</v>
      </c>
      <c r="C140" s="50">
        <v>1</v>
      </c>
      <c r="D140" s="60">
        <v>21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5.8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137</v>
      </c>
      <c r="C141" s="50">
        <v>2</v>
      </c>
      <c r="D141" s="60">
        <v>43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6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228</v>
      </c>
      <c r="C142" s="50">
        <v>3</v>
      </c>
      <c r="D142" s="60">
        <v>88</v>
      </c>
      <c r="E142" s="51">
        <v>0.2</v>
      </c>
      <c r="F142" s="51">
        <v>0.4</v>
      </c>
      <c r="G142" s="51">
        <v>0.4</v>
      </c>
      <c r="H142" s="51"/>
      <c r="I142" s="57">
        <f t="shared" si="6"/>
        <v>13.4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40</v>
      </c>
      <c r="B143" s="60">
        <v>255</v>
      </c>
      <c r="C143" s="50">
        <v>4</v>
      </c>
      <c r="D143" s="60">
        <v>81</v>
      </c>
      <c r="E143" s="51"/>
      <c r="F143" s="51"/>
      <c r="G143" s="51"/>
      <c r="H143" s="51"/>
      <c r="I143" s="57">
        <f t="shared" si="6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50</v>
      </c>
      <c r="B144" s="60">
        <v>268</v>
      </c>
      <c r="C144" s="50">
        <v>5</v>
      </c>
      <c r="D144" s="60">
        <v>69</v>
      </c>
      <c r="E144" s="51"/>
      <c r="F144" s="51"/>
      <c r="G144" s="51"/>
      <c r="H144" s="51"/>
      <c r="I144" s="57">
        <f t="shared" si="6"/>
        <v>9.4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60</v>
      </c>
      <c r="B145" s="60">
        <v>271</v>
      </c>
      <c r="C145" s="50">
        <v>6</v>
      </c>
      <c r="D145" s="60">
        <v>55</v>
      </c>
      <c r="E145" s="51"/>
      <c r="F145" s="51"/>
      <c r="G145" s="51"/>
      <c r="H145" s="51"/>
      <c r="I145" s="57">
        <f t="shared" si="6"/>
        <v>7.2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70</v>
      </c>
      <c r="B146" s="60">
        <v>272</v>
      </c>
      <c r="C146" s="50">
        <v>7</v>
      </c>
      <c r="D146" s="60">
        <v>272</v>
      </c>
      <c r="E146" s="51"/>
      <c r="F146" s="51"/>
      <c r="G146" s="51"/>
      <c r="H146" s="51"/>
      <c r="I146" s="57">
        <f t="shared" si="6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</v>
      </c>
      <c r="C166" s="60">
        <v>1</v>
      </c>
      <c r="D166" s="60">
        <v>0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134</v>
      </c>
      <c r="C167" s="60">
        <v>2</v>
      </c>
      <c r="D167" s="60"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7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212</v>
      </c>
      <c r="C168" s="60">
        <v>3</v>
      </c>
      <c r="D168" s="60"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7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40</v>
      </c>
      <c r="B169" s="60">
        <v>263</v>
      </c>
      <c r="C169" s="60">
        <v>4</v>
      </c>
      <c r="D169" s="60">
        <v>70</v>
      </c>
      <c r="E169" s="51"/>
      <c r="F169" s="51"/>
      <c r="G169" s="51"/>
      <c r="H169" s="51"/>
      <c r="I169" s="49">
        <f t="shared" si="7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50</v>
      </c>
      <c r="B170" s="60">
        <v>285</v>
      </c>
      <c r="C170" s="60">
        <v>5</v>
      </c>
      <c r="D170" s="60">
        <v>43</v>
      </c>
      <c r="E170" s="51"/>
      <c r="F170" s="51"/>
      <c r="G170" s="51"/>
      <c r="H170" s="51"/>
      <c r="I170" s="49">
        <f t="shared" si="7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60</v>
      </c>
      <c r="B171" s="60">
        <v>310</v>
      </c>
      <c r="C171" s="60">
        <v>6</v>
      </c>
      <c r="D171" s="60">
        <v>30</v>
      </c>
      <c r="E171" s="51"/>
      <c r="F171" s="51"/>
      <c r="G171" s="51"/>
      <c r="H171" s="51"/>
      <c r="I171" s="49">
        <f t="shared" si="7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70</v>
      </c>
      <c r="B172" s="60">
        <v>329</v>
      </c>
      <c r="C172" s="60">
        <v>7</v>
      </c>
      <c r="D172" s="60">
        <v>26</v>
      </c>
      <c r="E172" s="51"/>
      <c r="F172" s="51"/>
      <c r="G172" s="51"/>
      <c r="H172" s="51"/>
      <c r="I172" s="49">
        <f t="shared" si="7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v>342</v>
      </c>
      <c r="C173" s="50">
        <v>8</v>
      </c>
      <c r="D173" s="50">
        <v>342</v>
      </c>
      <c r="E173" s="51"/>
      <c r="F173" s="51"/>
      <c r="G173" s="51"/>
      <c r="H173" s="51"/>
      <c r="I173" s="49">
        <f t="shared" si="7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maritime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12</v>
      </c>
      <c r="B192" s="60">
        <v>25</v>
      </c>
      <c r="C192" s="60"/>
      <c r="D192" s="60">
        <v>0</v>
      </c>
      <c r="E192" s="51"/>
      <c r="F192" s="51"/>
      <c r="G192" s="51"/>
      <c r="H192" s="51"/>
      <c r="I192" s="49">
        <f>IFERROR(B192/A192,"")</f>
        <v>2.0833333333333335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16</v>
      </c>
      <c r="B193" s="60">
        <v>59</v>
      </c>
      <c r="C193" s="60">
        <v>1</v>
      </c>
      <c r="D193" s="60">
        <v>8</v>
      </c>
      <c r="E193" s="51"/>
      <c r="F193" s="51">
        <v>0.5</v>
      </c>
      <c r="G193" s="51">
        <v>0.5</v>
      </c>
      <c r="H193" s="51"/>
      <c r="I193" s="49">
        <f t="shared" ref="I193:I211" si="8">IF(A193&lt;&gt;0,(B193-(B192-D192))/(A193-A192),"")</f>
        <v>8.5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20</v>
      </c>
      <c r="B194" s="60">
        <v>91</v>
      </c>
      <c r="C194" s="60">
        <v>2</v>
      </c>
      <c r="D194" s="60">
        <v>14</v>
      </c>
      <c r="E194" s="51"/>
      <c r="F194" s="51">
        <v>0.5</v>
      </c>
      <c r="G194" s="51">
        <v>0.5</v>
      </c>
      <c r="H194" s="51"/>
      <c r="I194" s="49">
        <f t="shared" si="8"/>
        <v>10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24</v>
      </c>
      <c r="B195" s="60">
        <v>121</v>
      </c>
      <c r="C195" s="60">
        <v>3</v>
      </c>
      <c r="D195" s="60">
        <v>20</v>
      </c>
      <c r="E195" s="51">
        <v>0.1</v>
      </c>
      <c r="F195" s="51">
        <v>0.45</v>
      </c>
      <c r="G195" s="51">
        <v>0.45</v>
      </c>
      <c r="H195" s="51"/>
      <c r="I195" s="49">
        <f t="shared" si="8"/>
        <v>11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28</v>
      </c>
      <c r="B196" s="60">
        <v>146</v>
      </c>
      <c r="C196" s="60">
        <v>4</v>
      </c>
      <c r="D196" s="60">
        <v>23</v>
      </c>
      <c r="E196" s="51">
        <v>0.2</v>
      </c>
      <c r="F196" s="51">
        <v>0.4</v>
      </c>
      <c r="G196" s="51">
        <v>0.4</v>
      </c>
      <c r="H196" s="51"/>
      <c r="I196" s="49">
        <f t="shared" si="8"/>
        <v>11.25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34</v>
      </c>
      <c r="B197" s="60">
        <v>193</v>
      </c>
      <c r="C197" s="60">
        <v>5</v>
      </c>
      <c r="D197" s="60">
        <v>38</v>
      </c>
      <c r="E197" s="51"/>
      <c r="F197" s="51"/>
      <c r="G197" s="51"/>
      <c r="H197" s="51"/>
      <c r="I197" s="49">
        <f t="shared" si="8"/>
        <v>11.666666666666666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40</v>
      </c>
      <c r="B198" s="60">
        <v>215</v>
      </c>
      <c r="C198" s="60">
        <v>6</v>
      </c>
      <c r="D198" s="60">
        <v>31</v>
      </c>
      <c r="E198" s="51"/>
      <c r="F198" s="51"/>
      <c r="G198" s="51"/>
      <c r="H198" s="51"/>
      <c r="I198" s="49">
        <f t="shared" si="8"/>
        <v>10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46</v>
      </c>
      <c r="B199" s="50">
        <v>228</v>
      </c>
      <c r="C199" s="50">
        <v>7</v>
      </c>
      <c r="D199" s="50">
        <v>23</v>
      </c>
      <c r="E199" s="51"/>
      <c r="F199" s="51"/>
      <c r="G199" s="51"/>
      <c r="H199" s="51"/>
      <c r="I199" s="49">
        <f t="shared" si="8"/>
        <v>7.333333333333333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54</v>
      </c>
      <c r="B200" s="50">
        <v>246</v>
      </c>
      <c r="C200" s="50">
        <v>8</v>
      </c>
      <c r="D200" s="50">
        <v>22</v>
      </c>
      <c r="E200" s="51"/>
      <c r="F200" s="51"/>
      <c r="G200" s="51"/>
      <c r="H200" s="51"/>
      <c r="I200" s="49">
        <f t="shared" si="8"/>
        <v>5.125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62</v>
      </c>
      <c r="B201" s="50">
        <f>232+9</f>
        <v>241</v>
      </c>
      <c r="C201" s="50">
        <v>9</v>
      </c>
      <c r="D201" s="50">
        <f>B201</f>
        <v>241</v>
      </c>
      <c r="E201" s="51"/>
      <c r="F201" s="51"/>
      <c r="G201" s="51"/>
      <c r="H201" s="51"/>
      <c r="I201" s="49">
        <f t="shared" si="8"/>
        <v>2.125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Douglas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10</v>
      </c>
      <c r="B218" s="60">
        <v>27</v>
      </c>
      <c r="C218" s="50"/>
      <c r="D218" s="60">
        <v>0</v>
      </c>
      <c r="E218" s="63"/>
      <c r="F218" s="63"/>
      <c r="G218" s="63"/>
      <c r="H218" s="63"/>
      <c r="I218" s="53">
        <f>IFERROR(B218/A218,"")</f>
        <v>2.7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20</v>
      </c>
      <c r="B219" s="60">
        <v>228</v>
      </c>
      <c r="C219" s="50">
        <v>1</v>
      </c>
      <c r="D219" s="60">
        <f>34+70</f>
        <v>104</v>
      </c>
      <c r="E219" s="63"/>
      <c r="F219" s="63">
        <v>0.5</v>
      </c>
      <c r="G219" s="63">
        <v>0.5</v>
      </c>
      <c r="H219" s="63"/>
      <c r="I219" s="53">
        <f t="shared" ref="I219:I237" si="9">IF(A219&lt;&gt;0,(B219-(B218-D218))/(A219-A218),"")</f>
        <v>20.100000000000001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30</v>
      </c>
      <c r="B220" s="60">
        <v>399</v>
      </c>
      <c r="C220" s="50">
        <v>2</v>
      </c>
      <c r="D220" s="60">
        <f>70+70</f>
        <v>140</v>
      </c>
      <c r="E220" s="63">
        <v>0.2</v>
      </c>
      <c r="F220" s="63">
        <v>0.4</v>
      </c>
      <c r="G220" s="63">
        <v>0.4</v>
      </c>
      <c r="H220" s="63"/>
      <c r="I220" s="53">
        <f t="shared" si="9"/>
        <v>27.5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40</v>
      </c>
      <c r="B221" s="55">
        <v>527</v>
      </c>
      <c r="C221" s="55">
        <v>3</v>
      </c>
      <c r="D221" s="55">
        <f>70+70</f>
        <v>140</v>
      </c>
      <c r="E221" s="63"/>
      <c r="F221" s="63"/>
      <c r="G221" s="63"/>
      <c r="H221" s="63"/>
      <c r="I221" s="53">
        <f t="shared" si="9"/>
        <v>26.8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50</v>
      </c>
      <c r="B222" s="55">
        <v>615</v>
      </c>
      <c r="C222" s="55">
        <v>4</v>
      </c>
      <c r="D222" s="55">
        <f>70+59</f>
        <v>129</v>
      </c>
      <c r="E222" s="63"/>
      <c r="F222" s="63"/>
      <c r="G222" s="63"/>
      <c r="H222" s="63"/>
      <c r="I222" s="53">
        <f t="shared" si="9"/>
        <v>22.8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60</v>
      </c>
      <c r="B223" s="55">
        <v>679</v>
      </c>
      <c r="C223" s="55">
        <v>5</v>
      </c>
      <c r="D223" s="55">
        <f>51+45</f>
        <v>96</v>
      </c>
      <c r="E223" s="63"/>
      <c r="F223" s="63"/>
      <c r="G223" s="63"/>
      <c r="H223" s="63"/>
      <c r="I223" s="53">
        <f t="shared" si="9"/>
        <v>19.3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70</v>
      </c>
      <c r="B224" s="55">
        <v>741</v>
      </c>
      <c r="C224" s="55">
        <v>6</v>
      </c>
      <c r="D224" s="55">
        <f>41+39</f>
        <v>80</v>
      </c>
      <c r="E224" s="63"/>
      <c r="F224" s="63"/>
      <c r="G224" s="63"/>
      <c r="H224" s="63"/>
      <c r="I224" s="53">
        <f t="shared" si="9"/>
        <v>15.8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80</v>
      </c>
      <c r="B225" s="55">
        <f>719+71</f>
        <v>790</v>
      </c>
      <c r="C225" s="55">
        <v>7</v>
      </c>
      <c r="D225" s="55">
        <f>B225</f>
        <v>790</v>
      </c>
      <c r="E225" s="63"/>
      <c r="F225" s="63"/>
      <c r="G225" s="63"/>
      <c r="H225" s="63"/>
      <c r="I225" s="53">
        <f t="shared" si="9"/>
        <v>12.9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laricio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20</v>
      </c>
      <c r="B244" s="60">
        <v>184</v>
      </c>
      <c r="C244" s="60">
        <v>1</v>
      </c>
      <c r="D244" s="60">
        <v>60</v>
      </c>
      <c r="E244" s="51"/>
      <c r="F244" s="51">
        <v>0.5</v>
      </c>
      <c r="G244" s="51">
        <v>0.5</v>
      </c>
      <c r="H244" s="63"/>
      <c r="I244" s="53">
        <f>IFERROR(B244/A244,"")</f>
        <v>9.1999999999999993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30</v>
      </c>
      <c r="B245" s="60">
        <v>333</v>
      </c>
      <c r="C245" s="60">
        <v>2</v>
      </c>
      <c r="D245" s="60">
        <v>112</v>
      </c>
      <c r="E245" s="63">
        <v>0.1</v>
      </c>
      <c r="F245" s="63">
        <v>0.45</v>
      </c>
      <c r="G245" s="63">
        <v>0.45</v>
      </c>
      <c r="H245" s="63"/>
      <c r="I245" s="53">
        <f>IF(A245&lt;&gt;0,(B245-(B244-D244))/(A245-A244),"")</f>
        <v>20.9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40</v>
      </c>
      <c r="B246" s="60">
        <v>435</v>
      </c>
      <c r="C246" s="60">
        <v>3</v>
      </c>
      <c r="D246" s="60">
        <v>112</v>
      </c>
      <c r="E246" s="63"/>
      <c r="F246" s="63"/>
      <c r="G246" s="63"/>
      <c r="H246" s="63"/>
      <c r="I246" s="53">
        <f>IF(A246&lt;&gt;0,(B246-(B245-D245))/(A246-A245),"")</f>
        <v>21.4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50</v>
      </c>
      <c r="B247" s="60">
        <v>512</v>
      </c>
      <c r="C247" s="60">
        <v>4</v>
      </c>
      <c r="D247" s="60">
        <v>103</v>
      </c>
      <c r="E247" s="63"/>
      <c r="F247" s="63"/>
      <c r="G247" s="63"/>
      <c r="H247" s="63"/>
      <c r="I247" s="53">
        <f t="shared" ref="I247:I263" si="10">IF(A247&lt;&gt;0,(B247-(B246-D246))/(A247-A246),"")</f>
        <v>18.899999999999999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60</v>
      </c>
      <c r="B248" s="60">
        <v>570</v>
      </c>
      <c r="C248" s="60">
        <v>5</v>
      </c>
      <c r="D248" s="60">
        <v>78</v>
      </c>
      <c r="E248" s="63"/>
      <c r="F248" s="63"/>
      <c r="G248" s="63"/>
      <c r="H248" s="63"/>
      <c r="I248" s="53">
        <f t="shared" si="10"/>
        <v>16.100000000000001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70</v>
      </c>
      <c r="B249" s="60">
        <v>626</v>
      </c>
      <c r="C249" s="60">
        <v>6</v>
      </c>
      <c r="D249" s="60">
        <v>60</v>
      </c>
      <c r="E249" s="63"/>
      <c r="F249" s="63"/>
      <c r="G249" s="63"/>
      <c r="H249" s="63"/>
      <c r="I249" s="53">
        <f t="shared" si="10"/>
        <v>13.4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80</v>
      </c>
      <c r="B250" s="60">
        <v>671</v>
      </c>
      <c r="C250" s="60">
        <v>7</v>
      </c>
      <c r="D250" s="60">
        <v>671</v>
      </c>
      <c r="E250" s="63"/>
      <c r="F250" s="63"/>
      <c r="G250" s="63"/>
      <c r="H250" s="63"/>
      <c r="I250" s="53">
        <f t="shared" si="10"/>
        <v>10.5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taeda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20</v>
      </c>
      <c r="B270" s="60">
        <v>184</v>
      </c>
      <c r="C270" s="50">
        <v>1</v>
      </c>
      <c r="D270" s="60">
        <v>60</v>
      </c>
      <c r="E270" s="51"/>
      <c r="F270" s="51">
        <v>0.5</v>
      </c>
      <c r="G270" s="51">
        <v>0.5</v>
      </c>
      <c r="H270" s="51"/>
      <c r="I270" s="53">
        <f>IFERROR(B270/A270,"")</f>
        <v>9.1999999999999993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30</v>
      </c>
      <c r="B271" s="60">
        <v>333</v>
      </c>
      <c r="C271" s="50">
        <v>2</v>
      </c>
      <c r="D271" s="60">
        <v>112</v>
      </c>
      <c r="E271" s="51">
        <v>0.1</v>
      </c>
      <c r="F271" s="51">
        <v>0.45</v>
      </c>
      <c r="G271" s="51">
        <v>0.45</v>
      </c>
      <c r="H271" s="51"/>
      <c r="I271" s="53">
        <f>IF(A271&lt;&gt;0,(B271-(B270-D270))/(A271-A270),"")</f>
        <v>20.9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40</v>
      </c>
      <c r="B272" s="60">
        <v>435</v>
      </c>
      <c r="C272" s="50">
        <v>3</v>
      </c>
      <c r="D272" s="60">
        <v>112</v>
      </c>
      <c r="E272" s="51"/>
      <c r="F272" s="51"/>
      <c r="G272" s="51"/>
      <c r="H272" s="51"/>
      <c r="I272" s="53">
        <f t="shared" ref="I272:I289" si="11">IF(A272&lt;&gt;0,(B272-(B271-D271))/(A272-A271),"")</f>
        <v>21.4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50</v>
      </c>
      <c r="B273" s="60">
        <v>512</v>
      </c>
      <c r="C273" s="50">
        <v>4</v>
      </c>
      <c r="D273" s="60">
        <v>103</v>
      </c>
      <c r="E273" s="51"/>
      <c r="F273" s="51"/>
      <c r="G273" s="51"/>
      <c r="H273" s="51"/>
      <c r="I273" s="53">
        <f t="shared" si="11"/>
        <v>18.899999999999999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60</v>
      </c>
      <c r="B274" s="60">
        <v>570</v>
      </c>
      <c r="C274" s="50">
        <v>5</v>
      </c>
      <c r="D274" s="60">
        <v>78</v>
      </c>
      <c r="E274" s="51"/>
      <c r="F274" s="51"/>
      <c r="G274" s="51"/>
      <c r="H274" s="51"/>
      <c r="I274" s="53">
        <f t="shared" si="11"/>
        <v>16.100000000000001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70</v>
      </c>
      <c r="B275" s="60">
        <v>626</v>
      </c>
      <c r="C275" s="50">
        <v>6</v>
      </c>
      <c r="D275" s="60">
        <v>60</v>
      </c>
      <c r="E275" s="63"/>
      <c r="F275" s="63"/>
      <c r="G275" s="63"/>
      <c r="H275" s="63"/>
      <c r="I275" s="53">
        <f t="shared" si="11"/>
        <v>13.4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80</v>
      </c>
      <c r="B276" s="60">
        <v>671</v>
      </c>
      <c r="C276" s="50">
        <v>7</v>
      </c>
      <c r="D276" s="60">
        <v>671</v>
      </c>
      <c r="E276" s="63"/>
      <c r="F276" s="63"/>
      <c r="G276" s="63"/>
      <c r="H276" s="63"/>
      <c r="I276" s="53">
        <f t="shared" si="11"/>
        <v>10.5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rouge d'Amérique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Châtaignier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Douglas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Pin laricio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Pin taeda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376.11581547534814</v>
      </c>
      <c r="T3" s="59">
        <f>IF('Données projet'!E9&gt;30,$R$33-$H$33,LOOKUP('Données projet'!$E$9,$A$3:$A$203,R3:R203)-LOOKUP('Données projet'!$E$9,$A$3:$A$203,$H$3:$H$203))</f>
        <v>300.91675649863294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505.38595282220405</v>
      </c>
      <c r="AO3" s="59">
        <f>IF('Données projet'!E10&gt;30,$AM$33-$H$33,LOOKUP('Données projet'!$E$10,$A$3:$A$203,AM3:AM203)-LOOKUP('Données projet'!$E$10,$A$3:$A$203,$H$3:$H$203))</f>
        <v>351.72130415456365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394.14657090341535</v>
      </c>
      <c r="BJ3" s="59">
        <f>IF('Données projet'!E11&gt;30,$BH$33-$H$33,LOOKUP('Données projet'!$E$11,$A$3:$A$203,BH3:BH203)-LOOKUP('Données projet'!$E$11,$A$3:$A$203,$H$3:$H$203))</f>
        <v>424.06445894109982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382.09004346384319</v>
      </c>
      <c r="CE3" s="59">
        <f>IF('Données projet'!E12&gt;30,$CC$33-$H$33,LOOKUP('Données projet'!$E$12,$A$3:$A$203,CC3:CC203)-LOOKUP('Données projet'!$E$12,$A$3:$A$203,$H$3:$H$203))</f>
        <v>410.18893995284986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363.02374534486341</v>
      </c>
      <c r="CZ3" s="59">
        <f>IF('Données projet'!E13&gt;30,$CX$33-$H$33,LOOKUP('Données projet'!$E$13,$A$3:$A$203,CX3:CX203)-LOOKUP('Données projet'!$E$13,$A$3:$A$203,$H$3:$H$203))</f>
        <v>489.00477393029598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368.03281986807173</v>
      </c>
      <c r="DU3" s="59">
        <f>IF('Données projet'!E14&gt;30,$DS$33-$H$33,LOOKUP('Données projet'!$E$14,$A$3:$A$203,DS3:DS203)-LOOKUP('Données projet'!$E$14,$A$3:$A$203,$H$3:$H$203))</f>
        <v>395.83504504492248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225.2264820414552</v>
      </c>
      <c r="EP3" s="59">
        <f>IF('Données projet'!E15&gt;30,$EN$33-$H$33,LOOKUP('Données projet'!$E$15,$A$3:$A$203,EN3:EN203)-LOOKUP('Données projet'!$E$15,$A$3:$A$203,$H$3:$H$203))</f>
        <v>249.91838548328681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549.85684198202534</v>
      </c>
      <c r="FK3" s="59">
        <f>IF('Données projet'!E16&gt;30,$FI$33-$H$33,LOOKUP('Données projet'!$E$16,$A$3:$A$203,FI3:FI203)-LOOKUP('Données projet'!$E$16,$A$3:$A$203,$H$3:$H$203))</f>
        <v>539.63748606275431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495.6641415122013</v>
      </c>
      <c r="GF3" s="59">
        <f>IF('Données projet'!E17&gt;30,$GD$33-$H$33,LOOKUP('Données projet'!$E$17,$A$3:$A$203,GD3:GD203)-LOOKUP('Données projet'!$E$17,$A$3:$A$203,$H$3:$H$203))</f>
        <v>488.90534169400757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165</v>
      </c>
      <c r="GZ3" s="59">
        <f ca="1">AVERAGE(OFFSET($GY$3,0,0,'Données projet'!$E$18+1,1))-AVERAGE(OFFSET($H$3,0,0,'Données projet'!$E$18+1,1))</f>
        <v>-18.333333333333343</v>
      </c>
      <c r="HA3" s="59">
        <f>IF('Données projet'!E18&gt;30,$GY$33-$H$33,LOOKUP('Données projet'!$E$18,$A$3:$A$203,GY3:GY203)-LOOKUP('Données projet'!$E$18,$A$3:$A$203,$H$3:$H$203))</f>
        <v>-18.333333333333343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169.37551953033068</v>
      </c>
      <c r="S4" s="59">
        <f ca="1">AVERAGE(OFFSET($R$3,0,0,'Données projet'!$E$9+1,1))-AVERAGE(OFFSET($H$3,0,0,'Données projet'!$E$9+1,1))</f>
        <v>376.11581547534814</v>
      </c>
      <c r="T4" s="59">
        <f>$T$3</f>
        <v>300.91675649863294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9">
        <f t="shared" ref="AM4:AM67" si="5">AL4+(AD4+AE4)*44/12</f>
        <v>170.65342372509684</v>
      </c>
      <c r="AN4" s="59">
        <f ca="1">AVERAGE(OFFSET($AM$3,0,0,'Données projet'!$E$10+1,1))-AVERAGE(OFFSET($H$3,0,0,'Données projet'!$E$10+1,1))</f>
        <v>505.38595282220405</v>
      </c>
      <c r="AO4" s="59">
        <f>$AO$3</f>
        <v>351.72130415456365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170.38416120151462</v>
      </c>
      <c r="BI4" s="59">
        <f ca="1">AVERAGE(OFFSET($BH$3,0,0,'Données projet'!$E$11+1,1))-AVERAGE(OFFSET($H$3,0,0,'Données projet'!$E$11+1,1))</f>
        <v>394.14657090341535</v>
      </c>
      <c r="BJ4" s="59">
        <f>$BJ$3</f>
        <v>424.06445894109982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5.0999999999999996</v>
      </c>
      <c r="BY4" s="12">
        <f>IF('Données projet'!$A$114&gt;35,BY3+BX4-CG3,IF(A4&lt;'Données projet'!$A$114,$BV$205^A4,IF(A4='Données projet'!$A$114,'Données projet'!$B$114,BY3+BX4-CG3)))</f>
        <v>1.4816888666071193</v>
      </c>
      <c r="BZ4" s="13">
        <f>BY4*VLOOKUP('Données projet'!$B$12,Paramètres!$A$1:$I$89,3,0)*VLOOKUP('Données projet'!$B$12,Paramètres!$A$1:$I$89,5,0)</f>
        <v>0.80900212116748715</v>
      </c>
      <c r="CA4" s="13">
        <f>EXP(-1.0587+0.8836*LN(BZ4)+0.284)</f>
        <v>0.38213461978866009</v>
      </c>
      <c r="CB4" s="20">
        <f t="shared" ref="CB4:CB67" si="10">(BZ4+CA4)*0.475*44/12</f>
        <v>2.0745631571652896</v>
      </c>
      <c r="CC4" s="59">
        <f t="shared" ref="CC4:CC67" si="11">CB4+(BT4+BU4)*44/12</f>
        <v>169.88699711008914</v>
      </c>
      <c r="CD4" s="59">
        <f ca="1">AVERAGE(OFFSET($CC$3,0,0,'Données projet'!$E$12+1,1))-AVERAGE(OFFSET($H$3,0,0,'Données projet'!$E$12+1,1))</f>
        <v>382.09004346384319</v>
      </c>
      <c r="CE4" s="59">
        <f>$CE$3</f>
        <v>410.18893995284986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5.8</v>
      </c>
      <c r="CT4" s="12">
        <f>IF('Données projet'!$A$140&gt;35,CT3+CS4-DB3,IF(A4&lt;'Données projet'!$A$140,$CQ$205^A4,IF(A4='Données projet'!$A$140,'Données projet'!$B$140,CT3+CS4-DB3)))</f>
        <v>1.3467943429205997</v>
      </c>
      <c r="CU4" s="17">
        <f>CT4*VLOOKUP('Données projet'!$B$13,Paramètres!$A$1:$I$89,3,0)*VLOOKUP('Données projet'!$B$13,Paramètres!$A$1:$I$89,5,0)</f>
        <v>1.1765595379754361</v>
      </c>
      <c r="CV4" s="13">
        <f>EXP(-1.0587+0.8836*LN(CU4)+0.284)</f>
        <v>0.53204273185561757</v>
      </c>
      <c r="CW4" s="20">
        <f t="shared" ref="CW4:CW67" si="13">(CU4+CV4)*0.475*44/12</f>
        <v>2.9758156199557515</v>
      </c>
      <c r="CX4" s="59">
        <f t="shared" ref="CX4:CX67" si="14">CW4+(CO4+CP4)*44/12</f>
        <v>170.78824957287958</v>
      </c>
      <c r="CY4" s="59">
        <f ca="1">AVERAGE(OFFSET($CX$3,0,0,'Données projet'!$E$13+1,1))-AVERAGE(OFFSET($H$3,0,0,'Données projet'!$E$13+1,1))</f>
        <v>363.02374534486341</v>
      </c>
      <c r="CZ4" s="59">
        <f>$CZ$3</f>
        <v>489.00477393029598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0.93188372027207511</v>
      </c>
      <c r="DQ4" s="13">
        <f>EXP(-1.0587+0.8836*LN(DP4)+0.284)</f>
        <v>0.43299221190803017</v>
      </c>
      <c r="DR4" s="20">
        <f t="shared" ref="DR4:DR67" si="16">(DP4+DQ4)*0.475*44/12</f>
        <v>2.3771589152136832</v>
      </c>
      <c r="DS4" s="59">
        <f t="shared" ref="DS4:DS67" si="17">DR4+(DJ4+DK4)*44/12</f>
        <v>170.18959286813751</v>
      </c>
      <c r="DT4" s="59">
        <f ca="1">AVERAGE(OFFSET($DS$3,0,0,'Données projet'!$E$14+1,1))-AVERAGE(OFFSET($H$3,0,0,'Données projet'!$E$14+1,1))</f>
        <v>368.03281986807173</v>
      </c>
      <c r="DU4" s="59">
        <f>$DU$3</f>
        <v>395.83504504492248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2.0833333333333335</v>
      </c>
      <c r="EJ4" s="12">
        <f>IF('Données projet'!$A$192&gt;35,EJ3+EI4-ER3,IF(A4&lt;'Données projet'!$A$192,$EG$205^A4,IF(A4='Données projet'!$A$192,'Données projet'!$B$192,EJ3+EI4-ER3)))</f>
        <v>1.3076604860118306</v>
      </c>
      <c r="EK4" s="17">
        <f>EJ4*VLOOKUP('Données projet'!$B$15,Paramètres!$A$1:$I$89,3,0)*VLOOKUP('Données projet'!$B$15,Paramètres!$A$1:$I$89,5,0)</f>
        <v>0.78198097063507477</v>
      </c>
      <c r="EL4" s="13">
        <f>EXP(-1.0587+0.8836*LN(EK4)+0.284)</f>
        <v>0.37083457038464518</v>
      </c>
      <c r="EM4" s="20">
        <f t="shared" ref="EM4:EM67" si="19">(EK4+EL4)*0.475*44/12</f>
        <v>2.0078204006093454</v>
      </c>
      <c r="EN4" s="59">
        <f t="shared" ref="EN4:EN67" si="20">EM4+(EE4+EF4)*44/12</f>
        <v>169.82025435353319</v>
      </c>
      <c r="EO4" s="59">
        <f ca="1">AVERAGE(OFFSET($EN$3,0,0,'Données projet'!$E$15+1,1))-AVERAGE(OFFSET($H$3,0,0,'Données projet'!$E$15+1,1))</f>
        <v>225.2264820414552</v>
      </c>
      <c r="EP4" s="59">
        <f>$EP$3</f>
        <v>249.91838548328681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2.7</v>
      </c>
      <c r="FE4" s="12">
        <f>IF('Données projet'!$A$218&gt;35,FE3+FD4-FM3,IF(A4&lt;'Données projet'!$A$218,$FB$205^A4,IF(A4='Données projet'!$A$218,'Données projet'!$B$218,FE3+FD4-FM3)))</f>
        <v>1.3903891703159093</v>
      </c>
      <c r="FF4" s="17">
        <f>FE4*VLOOKUP('Données projet'!$B$16,Paramètres!$A$1:$I$89,3,0)*VLOOKUP('Données projet'!$B$16,Paramètres!$A$1:$I$89,5,0)</f>
        <v>0.77722754620659329</v>
      </c>
      <c r="FG4" s="13">
        <f>EXP(-1.0587+0.8836*LN(FF4)+0.284)</f>
        <v>0.36884206136494596</v>
      </c>
      <c r="FH4" s="20">
        <f t="shared" ref="FH4:FH67" si="22">(FF4+FG4)*0.475*44/12</f>
        <v>1.9960712331870976</v>
      </c>
      <c r="FI4" s="59">
        <f t="shared" ref="FI4:FI67" si="23">FH4+(EZ4+FA4)*44/12</f>
        <v>169.80850518611095</v>
      </c>
      <c r="FJ4" s="59">
        <f ca="1">AVERAGE(OFFSET($FI$3,0,0,'Données projet'!$E$16+1,1))-AVERAGE(OFFSET($H$3,0,0,'Données projet'!$E$16+1,1))</f>
        <v>549.85684198202534</v>
      </c>
      <c r="FK4" s="59">
        <f>$FK$3</f>
        <v>539.63748606275431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9.1999999999999993</v>
      </c>
      <c r="FZ4" s="12">
        <f>IF('Données projet'!$A$244&gt;35,FZ3+FY4-GH3,IF(A4&lt;'Données projet'!$A$244,$FW$205^A4,IF(A4='Données projet'!$A$244,'Données projet'!$B$244,FZ3+FY4-GH3)))</f>
        <v>1.297898980070181</v>
      </c>
      <c r="GA4" s="17">
        <f>FZ4*VLOOKUP('Données projet'!$B$17,Paramètres!$A$1:$I$89,3,0)*VLOOKUP('Données projet'!$B$17,Paramètres!$A$1:$I$89,5,0)</f>
        <v>0.77614359008196832</v>
      </c>
      <c r="GB4" s="13">
        <f>EXP(-1.0587+0.8836*LN(GA4)+0.284)</f>
        <v>0.36838749747296484</v>
      </c>
      <c r="GC4" s="20">
        <f t="shared" ref="GC4:GC67" si="25">(GA4+GB4)*0.475*44/12</f>
        <v>1.9933916441581754</v>
      </c>
      <c r="GD4" s="59">
        <f t="shared" ref="GD4:GD67" si="26">GC4+(FU4+FV4)*44/12</f>
        <v>169.80582559708202</v>
      </c>
      <c r="GE4" s="59">
        <f ca="1">AVERAGE(OFFSET($GD$3,0,0,'Données projet'!$E$17+1,1))-AVERAGE(OFFSET($H$3,0,0,'Données projet'!$E$17+1,1))</f>
        <v>495.6641415122013</v>
      </c>
      <c r="GF4" s="59">
        <f>$GF$3</f>
        <v>488.90534169400757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9.1999999999999993</v>
      </c>
      <c r="GU4" s="12">
        <f>IF('Données projet'!$A$270&gt;35,GU3+GT4-HC3,IF(A4&lt;'Données projet'!$A$270,$GR$205^A4,IF(A4='Données projet'!$A$270,'Données projet'!$B$270,GU3+GT4-HC3)))</f>
        <v>1.297898980070181</v>
      </c>
      <c r="GV4" s="17">
        <f>GU4*VLOOKUP('Données projet'!$B$18,Paramètres!$A$1:$I$89,3,0)*VLOOKUP('Données projet'!$B$18,Paramètres!$A$1:$I$89,5,0)</f>
        <v>0.77614359008196832</v>
      </c>
      <c r="GW4" s="13">
        <f>EXP(-1.0587+0.8836*LN(GV4)+0.284)</f>
        <v>0.36838749747296484</v>
      </c>
      <c r="GX4" s="20">
        <f t="shared" ref="GX4:GX67" si="28">(GV4+GW4)*0.475*44/12</f>
        <v>1.9933916441581754</v>
      </c>
      <c r="GY4" s="59">
        <f t="shared" ref="GY4:GY67" si="29">GX4+(GP4+GQ4)*44/12</f>
        <v>169.80582559708202</v>
      </c>
      <c r="GZ4" s="59">
        <f ca="1">AVERAGE(OFFSET($GY$3,0,0,'Données projet'!$E$18+1,1))-AVERAGE(OFFSET($H$3,0,0,'Données projet'!$E$18+1,1))</f>
        <v>-18.333333333333343</v>
      </c>
      <c r="HA4" s="59">
        <f>$HA$3</f>
        <v>-18.333333333333343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172.59142186291126</v>
      </c>
      <c r="S5" s="59">
        <f ca="1">AVERAGE(OFFSET($R$3,0,0,'Données projet'!$E$9+1,1))-AVERAGE(OFFSET($H$3,0,0,'Données projet'!$E$9+1,1))</f>
        <v>376.11581547534814</v>
      </c>
      <c r="T5" s="59">
        <f t="shared" ref="T5:T68" si="34">$T$3</f>
        <v>300.91675649863294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9">
        <f t="shared" si="5"/>
        <v>174.0908950642665</v>
      </c>
      <c r="AN5" s="59">
        <f ca="1">AVERAGE(OFFSET($AM$3,0,0,'Données projet'!$E$10+1,1))-AVERAGE(OFFSET($H$3,0,0,'Données projet'!$E$10+1,1))</f>
        <v>505.38595282220405</v>
      </c>
      <c r="AO5" s="59">
        <f t="shared" ref="AO5:AO68" si="36">$AO$3</f>
        <v>351.72130415456365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173.83754208943196</v>
      </c>
      <c r="BI5" s="59">
        <f ca="1">AVERAGE(OFFSET($BH$3,0,0,'Données projet'!$E$11+1,1))-AVERAGE(OFFSET($H$3,0,0,'Données projet'!$E$11+1,1))</f>
        <v>394.14657090341535</v>
      </c>
      <c r="BJ5" s="59">
        <f t="shared" ref="BJ5:BJ68" si="38">$BJ$3</f>
        <v>424.06445894109982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5.0999999999999996</v>
      </c>
      <c r="BY5" s="12">
        <f>IF('Données projet'!$A$114&gt;35,BY4+BX5-CG4,IF(A5&lt;'Données projet'!$A$114,$BV$205^A5,IF(A5='Données projet'!$A$114,'Données projet'!$B$114,BY4+BX5-CG4)))</f>
        <v>2.1954018974274896</v>
      </c>
      <c r="BZ5" s="13">
        <f>BY5*VLOOKUP('Données projet'!$B$12,Paramètres!$A$1:$I$89,3,0)*VLOOKUP('Données projet'!$B$12,Paramètres!$A$1:$I$89,5,0)</f>
        <v>1.1986894359954092</v>
      </c>
      <c r="CA5" s="13">
        <f t="shared" ref="CA5:CA68" si="39">EXP(-1.0587+0.8836*LN(BZ5)+0.284)</f>
        <v>0.54087546986465163</v>
      </c>
      <c r="CB5" s="20">
        <f t="shared" si="10"/>
        <v>3.0297422110396059</v>
      </c>
      <c r="CC5" s="59">
        <f t="shared" si="11"/>
        <v>173.62702349854044</v>
      </c>
      <c r="CD5" s="59">
        <f ca="1">AVERAGE(OFFSET($CC$3,0,0,'Données projet'!$E$12+1,1))-AVERAGE(OFFSET($H$3,0,0,'Données projet'!$E$12+1,1))</f>
        <v>382.09004346384319</v>
      </c>
      <c r="CE5" s="59">
        <f t="shared" ref="CE5:CE68" si="40">$CE$3</f>
        <v>410.18893995284986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5.8</v>
      </c>
      <c r="CT5" s="12">
        <f>IF('Données projet'!$A$140&gt;35,CT4+CS5-DB4,IF(A5&lt;'Données projet'!$A$140,$CQ$205^A5,IF(A5='Données projet'!$A$140,'Données projet'!$B$140,CT4+CS5-DB4)))</f>
        <v>1.81385500212293</v>
      </c>
      <c r="CU5" s="17">
        <f>CT5*VLOOKUP('Données projet'!$B$13,Paramètres!$A$1:$I$89,3,0)*VLOOKUP('Données projet'!$B$13,Paramètres!$A$1:$I$89,5,0)</f>
        <v>1.5845837298545919</v>
      </c>
      <c r="CV5" s="13">
        <f t="shared" ref="CV5:CV68" si="41">EXP(-1.0587+0.8836*LN(CU5)+0.284)</f>
        <v>0.69214506839939893</v>
      </c>
      <c r="CW5" s="20">
        <f t="shared" si="13"/>
        <v>3.9653026569590337</v>
      </c>
      <c r="CX5" s="59">
        <f t="shared" si="14"/>
        <v>174.56258394445987</v>
      </c>
      <c r="CY5" s="59">
        <f ca="1">AVERAGE(OFFSET($CX$3,0,0,'Données projet'!$E$13+1,1))-AVERAGE(OFFSET($H$3,0,0,'Données projet'!$E$13+1,1))</f>
        <v>363.02374534486341</v>
      </c>
      <c r="CZ5" s="59">
        <f t="shared" ref="CZ5:CZ68" si="42">$CZ$3</f>
        <v>489.00477393029598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1.1844070759794372</v>
      </c>
      <c r="DQ5" s="13">
        <f t="shared" ref="DQ5:DQ68" si="43">EXP(-1.0587+0.8836*LN(DP5)+0.284)</f>
        <v>0.53517712549257934</v>
      </c>
      <c r="DR5" s="20">
        <f t="shared" si="16"/>
        <v>2.9949424842304286</v>
      </c>
      <c r="DS5" s="59">
        <f t="shared" si="17"/>
        <v>173.59222377173126</v>
      </c>
      <c r="DT5" s="59">
        <f ca="1">AVERAGE(OFFSET($DS$3,0,0,'Données projet'!$E$14+1,1))-AVERAGE(OFFSET($H$3,0,0,'Données projet'!$E$14+1,1))</f>
        <v>368.03281986807173</v>
      </c>
      <c r="DU5" s="59">
        <f t="shared" ref="DU5:DU68" si="44">$DU$3</f>
        <v>395.83504504492248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2.0833333333333335</v>
      </c>
      <c r="EJ5" s="12">
        <f>IF('Données projet'!$A$192&gt;35,EJ4+EI5-ER4,IF(A5&lt;'Données projet'!$A$192,$EG$205^A5,IF(A5='Données projet'!$A$192,'Données projet'!$B$192,EJ4+EI5-ER4)))</f>
        <v>1.7099759466766971</v>
      </c>
      <c r="EK5" s="17">
        <f>EJ5*VLOOKUP('Données projet'!$B$15,Paramètres!$A$1:$I$89,3,0)*VLOOKUP('Données projet'!$B$15,Paramètres!$A$1:$I$89,5,0)</f>
        <v>1.0225656161126651</v>
      </c>
      <c r="EL5" s="13">
        <f t="shared" ref="EL5:EL68" si="45">EXP(-1.0587+0.8836*LN(EK5)+0.284)</f>
        <v>0.47001876423271316</v>
      </c>
      <c r="EM5" s="20">
        <f t="shared" si="19"/>
        <v>2.599584462434867</v>
      </c>
      <c r="EN5" s="59">
        <f t="shared" si="20"/>
        <v>173.19686574993571</v>
      </c>
      <c r="EO5" s="59">
        <f ca="1">AVERAGE(OFFSET($EN$3,0,0,'Données projet'!$E$15+1,1))-AVERAGE(OFFSET($H$3,0,0,'Données projet'!$E$15+1,1))</f>
        <v>225.2264820414552</v>
      </c>
      <c r="EP5" s="59">
        <f t="shared" ref="EP5:EP68" si="46">$EP$3</f>
        <v>249.91838548328681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2.7</v>
      </c>
      <c r="FE5" s="12">
        <f>IF('Données projet'!$A$218&gt;35,FE4+FD5-FM4,IF(A5&lt;'Données projet'!$A$218,$FB$205^A5,IF(A5='Données projet'!$A$218,'Données projet'!$B$218,FE4+FD5-FM4)))</f>
        <v>1.9331820449317625</v>
      </c>
      <c r="FF5" s="17">
        <f>FE5*VLOOKUP('Données projet'!$B$16,Paramètres!$A$1:$I$89,3,0)*VLOOKUP('Données projet'!$B$16,Paramètres!$A$1:$I$89,5,0)</f>
        <v>1.0806487631168553</v>
      </c>
      <c r="FG5" s="13">
        <f t="shared" ref="FG5:FG68" si="47">EXP(-1.0587+0.8836*LN(FF5)+0.284)</f>
        <v>0.49353248375234221</v>
      </c>
      <c r="FH5" s="20">
        <f t="shared" si="22"/>
        <v>2.7416990049638525</v>
      </c>
      <c r="FI5" s="59">
        <f t="shared" si="23"/>
        <v>173.3389802924647</v>
      </c>
      <c r="FJ5" s="59">
        <f ca="1">AVERAGE(OFFSET($FI$3,0,0,'Données projet'!$E$16+1,1))-AVERAGE(OFFSET($H$3,0,0,'Données projet'!$E$16+1,1))</f>
        <v>549.85684198202534</v>
      </c>
      <c r="FK5" s="59">
        <f t="shared" ref="FK5:FK68" si="48">$FK$3</f>
        <v>539.63748606275431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9.1999999999999993</v>
      </c>
      <c r="FZ5" s="12">
        <f>IF('Données projet'!$A$244&gt;35,FZ4+FY5-GH4,IF(A5&lt;'Données projet'!$A$244,$FW$205^A5,IF(A5='Données projet'!$A$244,'Données projet'!$B$244,FZ4+FY5-GH4)))</f>
        <v>1.6845417624672161</v>
      </c>
      <c r="GA5" s="17">
        <f>FZ5*VLOOKUP('Données projet'!$B$17,Paramètres!$A$1:$I$89,3,0)*VLOOKUP('Données projet'!$B$17,Paramètres!$A$1:$I$89,5,0)</f>
        <v>1.0073559739553952</v>
      </c>
      <c r="GB5" s="13">
        <f t="shared" ref="GB5:GB68" si="49">EXP(-1.0587+0.8836*LN(GA5)+0.284)</f>
        <v>0.46383608661386677</v>
      </c>
      <c r="GC5" s="20">
        <f t="shared" si="25"/>
        <v>2.5623261721581314</v>
      </c>
      <c r="GD5" s="59">
        <f t="shared" si="26"/>
        <v>173.15960745965896</v>
      </c>
      <c r="GE5" s="59">
        <f ca="1">AVERAGE(OFFSET($GD$3,0,0,'Données projet'!$E$17+1,1))-AVERAGE(OFFSET($H$3,0,0,'Données projet'!$E$17+1,1))</f>
        <v>495.6641415122013</v>
      </c>
      <c r="GF5" s="59">
        <f t="shared" ref="GF5:GF68" si="50">$GF$3</f>
        <v>488.90534169400757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9.1999999999999993</v>
      </c>
      <c r="GU5" s="12">
        <f>IF('Données projet'!$A$270&gt;35,GU4+GT5-HC4,IF(A5&lt;'Données projet'!$A$270,$GR$205^A5,IF(A5='Données projet'!$A$270,'Données projet'!$B$270,GU4+GT5-HC4)))</f>
        <v>1.6845417624672161</v>
      </c>
      <c r="GV5" s="17">
        <f>GU5*VLOOKUP('Données projet'!$B$18,Paramètres!$A$1:$I$89,3,0)*VLOOKUP('Données projet'!$B$18,Paramètres!$A$1:$I$89,5,0)</f>
        <v>1.0073559739553952</v>
      </c>
      <c r="GW5" s="13">
        <f t="shared" ref="GW5:GW68" si="51">EXP(-1.0587+0.8836*LN(GV5)+0.284)</f>
        <v>0.46383608661386677</v>
      </c>
      <c r="GX5" s="20">
        <f t="shared" si="28"/>
        <v>2.5623261721581314</v>
      </c>
      <c r="GY5" s="59">
        <f t="shared" si="29"/>
        <v>173.15960745965896</v>
      </c>
      <c r="GZ5" s="59">
        <f ca="1">AVERAGE(OFFSET($GY$3,0,0,'Données projet'!$E$18+1,1))-AVERAGE(OFFSET($H$3,0,0,'Données projet'!$E$18+1,1))</f>
        <v>-18.333333333333343</v>
      </c>
      <c r="HA5" s="59">
        <f t="shared" ref="HA5:HA68" si="52">$HA$3</f>
        <v>-18.333333333333343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175.8995710767951</v>
      </c>
      <c r="S6" s="59">
        <f ca="1">AVERAGE(OFFSET($R$3,0,0,'Données projet'!$E$9+1,1))-AVERAGE(OFFSET($H$3,0,0,'Données projet'!$E$9+1,1))</f>
        <v>376.11581547534814</v>
      </c>
      <c r="T6" s="59">
        <f t="shared" si="34"/>
        <v>300.91675649863294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9">
        <f t="shared" si="5"/>
        <v>177.65174746089073</v>
      </c>
      <c r="AN6" s="59">
        <f ca="1">AVERAGE(OFFSET($AM$3,0,0,'Données projet'!$E$10+1,1))-AVERAGE(OFFSET($H$3,0,0,'Données projet'!$E$10+1,1))</f>
        <v>505.38595282220405</v>
      </c>
      <c r="AO6" s="59">
        <f t="shared" si="36"/>
        <v>351.72130415456365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177.43828299793819</v>
      </c>
      <c r="BI6" s="59">
        <f ca="1">AVERAGE(OFFSET($BH$3,0,0,'Données projet'!$E$11+1,1))-AVERAGE(OFFSET($H$3,0,0,'Données projet'!$E$11+1,1))</f>
        <v>394.14657090341535</v>
      </c>
      <c r="BJ6" s="59">
        <f t="shared" si="38"/>
        <v>424.06445894109982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5.0999999999999996</v>
      </c>
      <c r="BY6" s="12">
        <f>IF('Données projet'!$A$114&gt;35,BY5+BX6-CG5,IF(A6&lt;'Données projet'!$A$114,$BV$205^A6,IF(A6='Données projet'!$A$114,'Données projet'!$B$114,BY5+BX6-CG5)))</f>
        <v>3.252902549146456</v>
      </c>
      <c r="BZ6" s="13">
        <f>BY6*VLOOKUP('Données projet'!$B$12,Paramètres!$A$1:$I$89,3,0)*VLOOKUP('Données projet'!$B$12,Paramètres!$A$1:$I$89,5,0)</f>
        <v>1.7760847918339648</v>
      </c>
      <c r="CA6" s="13">
        <f t="shared" si="39"/>
        <v>0.76555815346722778</v>
      </c>
      <c r="CB6" s="20">
        <f t="shared" si="10"/>
        <v>4.426694796399576</v>
      </c>
      <c r="CC6" s="59">
        <f t="shared" si="11"/>
        <v>177.78171536628446</v>
      </c>
      <c r="CD6" s="59">
        <f ca="1">AVERAGE(OFFSET($CC$3,0,0,'Données projet'!$E$12+1,1))-AVERAGE(OFFSET($H$3,0,0,'Données projet'!$E$12+1,1))</f>
        <v>382.09004346384319</v>
      </c>
      <c r="CE6" s="59">
        <f t="shared" si="40"/>
        <v>410.18893995284986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5.8</v>
      </c>
      <c r="CT6" s="12">
        <f>IF('Données projet'!$A$140&gt;35,CT5+CS6-DB5,IF(A6&lt;'Données projet'!$A$140,$CQ$205^A6,IF(A6='Données projet'!$A$140,'Données projet'!$B$140,CT5+CS6-DB5)))</f>
        <v>2.4428896557373947</v>
      </c>
      <c r="CU6" s="17">
        <f>CT6*VLOOKUP('Données projet'!$B$13,Paramètres!$A$1:$I$89,3,0)*VLOOKUP('Données projet'!$B$13,Paramètres!$A$1:$I$89,5,0)</f>
        <v>2.1341084032521884</v>
      </c>
      <c r="CV6" s="13">
        <f t="shared" si="41"/>
        <v>0.90042541139273424</v>
      </c>
      <c r="CW6" s="20">
        <f t="shared" si="13"/>
        <v>5.2851463938399075</v>
      </c>
      <c r="CX6" s="59">
        <f t="shared" si="14"/>
        <v>178.64016696372479</v>
      </c>
      <c r="CY6" s="59">
        <f ca="1">AVERAGE(OFFSET($CX$3,0,0,'Données projet'!$E$13+1,1))-AVERAGE(OFFSET($H$3,0,0,'Données projet'!$E$13+1,1))</f>
        <v>363.02374534486341</v>
      </c>
      <c r="CZ6" s="59">
        <f t="shared" si="42"/>
        <v>489.00477393029598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1.5053596184946649</v>
      </c>
      <c r="DQ6" s="13">
        <f t="shared" si="43"/>
        <v>0.66147738405820555</v>
      </c>
      <c r="DR6" s="20">
        <f t="shared" si="16"/>
        <v>3.7739077794462492</v>
      </c>
      <c r="DS6" s="59">
        <f t="shared" si="17"/>
        <v>177.12892834933115</v>
      </c>
      <c r="DT6" s="59">
        <f ca="1">AVERAGE(OFFSET($DS$3,0,0,'Données projet'!$E$14+1,1))-AVERAGE(OFFSET($H$3,0,0,'Données projet'!$E$14+1,1))</f>
        <v>368.03281986807173</v>
      </c>
      <c r="DU6" s="59">
        <f t="shared" si="44"/>
        <v>395.83504504492248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2.0833333333333335</v>
      </c>
      <c r="EJ6" s="12">
        <f>IF('Données projet'!$A$192&gt;35,EJ5+EI6-ER5,IF(A6&lt;'Données projet'!$A$192,$EG$205^A6,IF(A6='Données projet'!$A$192,'Données projet'!$B$192,EJ5+EI6-ER5)))</f>
        <v>2.2360679774997898</v>
      </c>
      <c r="EK6" s="17">
        <f>EJ6*VLOOKUP('Données projet'!$B$15,Paramètres!$A$1:$I$89,3,0)*VLOOKUP('Données projet'!$B$15,Paramètres!$A$1:$I$89,5,0)</f>
        <v>1.3371686505448743</v>
      </c>
      <c r="EL6" s="13">
        <f t="shared" si="45"/>
        <v>0.59573097109501338</v>
      </c>
      <c r="EM6" s="20">
        <f t="shared" si="19"/>
        <v>3.3664668410228042</v>
      </c>
      <c r="EN6" s="59">
        <f t="shared" si="20"/>
        <v>176.72148741090768</v>
      </c>
      <c r="EO6" s="59">
        <f ca="1">AVERAGE(OFFSET($EN$3,0,0,'Données projet'!$E$15+1,1))-AVERAGE(OFFSET($H$3,0,0,'Données projet'!$E$15+1,1))</f>
        <v>225.2264820414552</v>
      </c>
      <c r="EP6" s="59">
        <f t="shared" si="46"/>
        <v>249.91838548328681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2.7</v>
      </c>
      <c r="FE6" s="12">
        <f>IF('Données projet'!$A$218&gt;35,FE5+FD6-FM5,IF(A6&lt;'Données projet'!$A$218,$FB$205^A6,IF(A6='Données projet'!$A$218,'Données projet'!$B$218,FE5+FD6-FM5)))</f>
        <v>2.6878753795222861</v>
      </c>
      <c r="FF6" s="17">
        <f>FE6*VLOOKUP('Données projet'!$B$16,Paramètres!$A$1:$I$89,3,0)*VLOOKUP('Données projet'!$B$16,Paramètres!$A$1:$I$89,5,0)</f>
        <v>1.5025223371529579</v>
      </c>
      <c r="FG6" s="13">
        <f t="shared" si="47"/>
        <v>0.66037564050417386</v>
      </c>
      <c r="FH6" s="20">
        <f t="shared" si="22"/>
        <v>3.7670473110861704</v>
      </c>
      <c r="FI6" s="59">
        <f t="shared" si="23"/>
        <v>177.12206788097106</v>
      </c>
      <c r="FJ6" s="59">
        <f ca="1">AVERAGE(OFFSET($FI$3,0,0,'Données projet'!$E$16+1,1))-AVERAGE(OFFSET($H$3,0,0,'Données projet'!$E$16+1,1))</f>
        <v>549.85684198202534</v>
      </c>
      <c r="FK6" s="59">
        <f t="shared" si="48"/>
        <v>539.63748606275431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9.1999999999999993</v>
      </c>
      <c r="FZ6" s="12">
        <f>IF('Données projet'!$A$244&gt;35,FZ5+FY6-GH5,IF(A6&lt;'Données projet'!$A$244,$FW$205^A6,IF(A6='Données projet'!$A$244,'Données projet'!$B$244,FZ5+FY6-GH5)))</f>
        <v>2.1863650353918249</v>
      </c>
      <c r="GA6" s="17">
        <f>FZ6*VLOOKUP('Données projet'!$B$17,Paramètres!$A$1:$I$89,3,0)*VLOOKUP('Données projet'!$B$17,Paramètres!$A$1:$I$89,5,0)</f>
        <v>1.3074462911643114</v>
      </c>
      <c r="GB6" s="13">
        <f t="shared" si="49"/>
        <v>0.584015246774371</v>
      </c>
      <c r="GC6" s="20">
        <f t="shared" si="25"/>
        <v>3.2942955119098722</v>
      </c>
      <c r="GD6" s="59">
        <f t="shared" si="26"/>
        <v>176.64931608179475</v>
      </c>
      <c r="GE6" s="59">
        <f ca="1">AVERAGE(OFFSET($GD$3,0,0,'Données projet'!$E$17+1,1))-AVERAGE(OFFSET($H$3,0,0,'Données projet'!$E$17+1,1))</f>
        <v>495.6641415122013</v>
      </c>
      <c r="GF6" s="59">
        <f t="shared" si="50"/>
        <v>488.90534169400757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9.1999999999999993</v>
      </c>
      <c r="GU6" s="12">
        <f>IF('Données projet'!$A$270&gt;35,GU5+GT6-HC5,IF(A6&lt;'Données projet'!$A$270,$GR$205^A6,IF(A6='Données projet'!$A$270,'Données projet'!$B$270,GU5+GT6-HC5)))</f>
        <v>2.1863650353918249</v>
      </c>
      <c r="GV6" s="17">
        <f>GU6*VLOOKUP('Données projet'!$B$18,Paramètres!$A$1:$I$89,3,0)*VLOOKUP('Données projet'!$B$18,Paramètres!$A$1:$I$89,5,0)</f>
        <v>1.3074462911643114</v>
      </c>
      <c r="GW6" s="13">
        <f t="shared" si="51"/>
        <v>0.584015246774371</v>
      </c>
      <c r="GX6" s="20">
        <f t="shared" si="28"/>
        <v>3.2942955119098722</v>
      </c>
      <c r="GY6" s="59">
        <f t="shared" si="29"/>
        <v>176.64931608179475</v>
      </c>
      <c r="GZ6" s="59">
        <f ca="1">AVERAGE(OFFSET($GY$3,0,0,'Données projet'!$E$18+1,1))-AVERAGE(OFFSET($H$3,0,0,'Données projet'!$E$18+1,1))</f>
        <v>-18.333333333333343</v>
      </c>
      <c r="HA6" s="59">
        <f t="shared" si="52"/>
        <v>-18.333333333333343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179.33361187542249</v>
      </c>
      <c r="S7" s="59">
        <f ca="1">AVERAGE(OFFSET($R$3,0,0,'Données projet'!$E$9+1,1))-AVERAGE(OFFSET($H$3,0,0,'Données projet'!$E$9+1,1))</f>
        <v>376.11581547534814</v>
      </c>
      <c r="T7" s="59">
        <f t="shared" si="34"/>
        <v>300.91675649863294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9">
        <f t="shared" si="5"/>
        <v>181.37127654212841</v>
      </c>
      <c r="AN7" s="59">
        <f ca="1">AVERAGE(OFFSET($AM$3,0,0,'Données projet'!$E$10+1,1))-AVERAGE(OFFSET($H$3,0,0,'Données projet'!$E$10+1,1))</f>
        <v>505.38595282220405</v>
      </c>
      <c r="AO7" s="59">
        <f t="shared" si="36"/>
        <v>351.72130415456365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181.23255248447407</v>
      </c>
      <c r="BI7" s="59">
        <f ca="1">AVERAGE(OFFSET($BH$3,0,0,'Données projet'!$E$11+1,1))-AVERAGE(OFFSET($H$3,0,0,'Données projet'!$E$11+1,1))</f>
        <v>394.14657090341535</v>
      </c>
      <c r="BJ7" s="59">
        <f t="shared" si="38"/>
        <v>424.06445894109982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5.0999999999999996</v>
      </c>
      <c r="BY7" s="12">
        <f>IF('Données projet'!$A$114&gt;35,BY6+BX7-CG6,IF(A7&lt;'Données projet'!$A$114,$BV$205^A7,IF(A7='Données projet'!$A$114,'Données projet'!$B$114,BY6+BX7-CG6)))</f>
        <v>4.8197894912282218</v>
      </c>
      <c r="BZ7" s="13">
        <f>BY7*VLOOKUP('Données projet'!$B$12,Paramètres!$A$1:$I$89,3,0)*VLOOKUP('Données projet'!$B$12,Paramètres!$A$1:$I$89,5,0)</f>
        <v>2.6316050622106091</v>
      </c>
      <c r="CA7" s="13">
        <f t="shared" si="39"/>
        <v>1.0835752756301034</v>
      </c>
      <c r="CB7" s="20">
        <f t="shared" si="10"/>
        <v>6.4706057550725733</v>
      </c>
      <c r="CC7" s="59">
        <f t="shared" si="11"/>
        <v>182.55672781924952</v>
      </c>
      <c r="CD7" s="59">
        <f ca="1">AVERAGE(OFFSET($CC$3,0,0,'Données projet'!$E$12+1,1))-AVERAGE(OFFSET($H$3,0,0,'Données projet'!$E$12+1,1))</f>
        <v>382.09004346384319</v>
      </c>
      <c r="CE7" s="59">
        <f t="shared" si="40"/>
        <v>410.18893995284986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5.8</v>
      </c>
      <c r="CT7" s="12">
        <f>IF('Données projet'!$A$140&gt;35,CT6+CS7-DB6,IF(A7&lt;'Données projet'!$A$140,$CQ$205^A7,IF(A7='Données projet'!$A$140,'Données projet'!$B$140,CT6+CS7-DB6)))</f>
        <v>3.2900699687263746</v>
      </c>
      <c r="CU7" s="17">
        <f>CT7*VLOOKUP('Données projet'!$B$13,Paramètres!$A$1:$I$89,3,0)*VLOOKUP('Données projet'!$B$13,Paramètres!$A$1:$I$89,5,0)</f>
        <v>2.874205124679361</v>
      </c>
      <c r="CV7" s="13">
        <f t="shared" si="41"/>
        <v>1.1713814899478936</v>
      </c>
      <c r="CW7" s="20">
        <f t="shared" si="13"/>
        <v>7.0460633538091342</v>
      </c>
      <c r="CX7" s="59">
        <f t="shared" si="14"/>
        <v>183.13218541798608</v>
      </c>
      <c r="CY7" s="59">
        <f ca="1">AVERAGE(OFFSET($CX$3,0,0,'Données projet'!$E$13+1,1))-AVERAGE(OFFSET($H$3,0,0,'Données projet'!$E$13+1,1))</f>
        <v>363.02374534486341</v>
      </c>
      <c r="CZ7" s="59">
        <f t="shared" si="42"/>
        <v>489.00477393029598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1.9132843993864705</v>
      </c>
      <c r="DQ7" s="13">
        <f t="shared" si="43"/>
        <v>0.81758413948982178</v>
      </c>
      <c r="DR7" s="20">
        <f t="shared" si="16"/>
        <v>4.7562627052095419</v>
      </c>
      <c r="DS7" s="59">
        <f t="shared" si="17"/>
        <v>180.84238476938648</v>
      </c>
      <c r="DT7" s="59">
        <f ca="1">AVERAGE(OFFSET($DS$3,0,0,'Données projet'!$E$14+1,1))-AVERAGE(OFFSET($H$3,0,0,'Données projet'!$E$14+1,1))</f>
        <v>368.03281986807173</v>
      </c>
      <c r="DU7" s="59">
        <f t="shared" si="44"/>
        <v>395.83504504492248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2.0833333333333335</v>
      </c>
      <c r="EJ7" s="12">
        <f>IF('Données projet'!$A$192&gt;35,EJ6+EI7-ER6,IF(A7&lt;'Données projet'!$A$192,$EG$205^A7,IF(A7='Données projet'!$A$192,'Données projet'!$B$192,EJ6+EI7-ER6)))</f>
        <v>2.9240177382128665</v>
      </c>
      <c r="EK7" s="17">
        <f>EJ7*VLOOKUP('Données projet'!$B$15,Paramètres!$A$1:$I$89,3,0)*VLOOKUP('Données projet'!$B$15,Paramètres!$A$1:$I$89,5,0)</f>
        <v>1.7485626074512943</v>
      </c>
      <c r="EL7" s="13">
        <f t="shared" si="45"/>
        <v>0.75506642910557031</v>
      </c>
      <c r="EM7" s="20">
        <f t="shared" si="19"/>
        <v>4.3604872386698723</v>
      </c>
      <c r="EN7" s="59">
        <f t="shared" si="20"/>
        <v>180.44660930284681</v>
      </c>
      <c r="EO7" s="59">
        <f ca="1">AVERAGE(OFFSET($EN$3,0,0,'Données projet'!$E$15+1,1))-AVERAGE(OFFSET($H$3,0,0,'Données projet'!$E$15+1,1))</f>
        <v>225.2264820414552</v>
      </c>
      <c r="EP7" s="59">
        <f t="shared" si="46"/>
        <v>249.91838548328681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2.7</v>
      </c>
      <c r="FE7" s="12">
        <f>IF('Données projet'!$A$218&gt;35,FE6+FD7-FM6,IF(A7&lt;'Données projet'!$A$218,$FB$205^A7,IF(A7='Données projet'!$A$218,'Données projet'!$B$218,FE6+FD7-FM6)))</f>
        <v>3.7371928188465509</v>
      </c>
      <c r="FF7" s="17">
        <f>FE7*VLOOKUP('Données projet'!$B$16,Paramètres!$A$1:$I$89,3,0)*VLOOKUP('Données projet'!$B$16,Paramètres!$A$1:$I$89,5,0)</f>
        <v>2.0890907857352219</v>
      </c>
      <c r="FG7" s="13">
        <f t="shared" si="47"/>
        <v>0.88362164787137598</v>
      </c>
      <c r="FH7" s="20">
        <f t="shared" si="22"/>
        <v>5.1774741551981576</v>
      </c>
      <c r="FI7" s="59">
        <f t="shared" si="23"/>
        <v>181.2635962193751</v>
      </c>
      <c r="FJ7" s="59">
        <f ca="1">AVERAGE(OFFSET($FI$3,0,0,'Données projet'!$E$16+1,1))-AVERAGE(OFFSET($H$3,0,0,'Données projet'!$E$16+1,1))</f>
        <v>549.85684198202534</v>
      </c>
      <c r="FK7" s="59">
        <f t="shared" si="48"/>
        <v>539.63748606275431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9.1999999999999993</v>
      </c>
      <c r="FZ7" s="12">
        <f>IF('Données projet'!$A$244&gt;35,FZ6+FY7-GH6,IF(A7&lt;'Données projet'!$A$244,$FW$205^A7,IF(A7='Données projet'!$A$244,'Données projet'!$B$244,FZ6+FY7-GH6)))</f>
        <v>2.8376809494961548</v>
      </c>
      <c r="GA7" s="17">
        <f>FZ7*VLOOKUP('Données projet'!$B$17,Paramètres!$A$1:$I$89,3,0)*VLOOKUP('Données projet'!$B$17,Paramètres!$A$1:$I$89,5,0)</f>
        <v>1.6969332077987007</v>
      </c>
      <c r="GB7" s="13">
        <f t="shared" si="49"/>
        <v>0.73533262785753417</v>
      </c>
      <c r="GC7" s="20">
        <f t="shared" si="25"/>
        <v>4.23619633043461</v>
      </c>
      <c r="GD7" s="59">
        <f t="shared" si="26"/>
        <v>180.32231839461156</v>
      </c>
      <c r="GE7" s="59">
        <f ca="1">AVERAGE(OFFSET($GD$3,0,0,'Données projet'!$E$17+1,1))-AVERAGE(OFFSET($H$3,0,0,'Données projet'!$E$17+1,1))</f>
        <v>495.6641415122013</v>
      </c>
      <c r="GF7" s="59">
        <f t="shared" si="50"/>
        <v>488.90534169400757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9.1999999999999993</v>
      </c>
      <c r="GU7" s="12">
        <f>IF('Données projet'!$A$270&gt;35,GU6+GT7-HC6,IF(A7&lt;'Données projet'!$A$270,$GR$205^A7,IF(A7='Données projet'!$A$270,'Données projet'!$B$270,GU6+GT7-HC6)))</f>
        <v>2.8376809494961548</v>
      </c>
      <c r="GV7" s="17">
        <f>GU7*VLOOKUP('Données projet'!$B$18,Paramètres!$A$1:$I$89,3,0)*VLOOKUP('Données projet'!$B$18,Paramètres!$A$1:$I$89,5,0)</f>
        <v>1.6969332077987007</v>
      </c>
      <c r="GW7" s="13">
        <f t="shared" si="51"/>
        <v>0.73533262785753417</v>
      </c>
      <c r="GX7" s="20">
        <f t="shared" si="28"/>
        <v>4.23619633043461</v>
      </c>
      <c r="GY7" s="59">
        <f t="shared" si="29"/>
        <v>180.32231839461156</v>
      </c>
      <c r="GZ7" s="59">
        <f ca="1">AVERAGE(OFFSET($GY$3,0,0,'Données projet'!$E$18+1,1))-AVERAGE(OFFSET($H$3,0,0,'Données projet'!$E$18+1,1))</f>
        <v>-18.333333333333343</v>
      </c>
      <c r="HA7" s="59">
        <f t="shared" si="52"/>
        <v>-18.333333333333343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182.93643447861868</v>
      </c>
      <c r="S8" s="59">
        <f ca="1">AVERAGE(OFFSET($R$3,0,0,'Données projet'!$E$9+1,1))-AVERAGE(OFFSET($H$3,0,0,'Données projet'!$E$9+1,1))</f>
        <v>376.11581547534814</v>
      </c>
      <c r="T8" s="59">
        <f t="shared" si="34"/>
        <v>300.91675649863294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9">
        <f t="shared" si="5"/>
        <v>185.29285571551281</v>
      </c>
      <c r="AN8" s="59">
        <f ca="1">AVERAGE(OFFSET($AM$3,0,0,'Données projet'!$E$10+1,1))-AVERAGE(OFFSET($H$3,0,0,'Données projet'!$E$10+1,1))</f>
        <v>505.38595282220405</v>
      </c>
      <c r="AO8" s="59">
        <f t="shared" si="36"/>
        <v>351.72130415456365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185.27852162449429</v>
      </c>
      <c r="BI8" s="59">
        <f ca="1">AVERAGE(OFFSET($BH$3,0,0,'Données projet'!$E$11+1,1))-AVERAGE(OFFSET($H$3,0,0,'Données projet'!$E$11+1,1))</f>
        <v>394.14657090341535</v>
      </c>
      <c r="BJ8" s="59">
        <f t="shared" si="38"/>
        <v>424.06445894109982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5.0999999999999996</v>
      </c>
      <c r="BY8" s="12">
        <f>IF('Données projet'!$A$114&gt;35,BY7+BX8-CG7,IF(A8&lt;'Données projet'!$A$114,$BV$205^A8,IF(A8='Données projet'!$A$114,'Données projet'!$B$114,BY7+BX8-CG7)))</f>
        <v>7.1414284285428478</v>
      </c>
      <c r="BZ8" s="13">
        <f>BY8*VLOOKUP('Données projet'!$B$12,Paramètres!$A$1:$I$89,3,0)*VLOOKUP('Données projet'!$B$12,Paramètres!$A$1:$I$89,5,0)</f>
        <v>3.8992199219843946</v>
      </c>
      <c r="CA8" s="13">
        <f t="shared" si="39"/>
        <v>1.5336984821325097</v>
      </c>
      <c r="CB8" s="20">
        <f t="shared" si="10"/>
        <v>9.462332887170275</v>
      </c>
      <c r="CC8" s="59">
        <f t="shared" si="11"/>
        <v>188.25338076361763</v>
      </c>
      <c r="CD8" s="59">
        <f ca="1">AVERAGE(OFFSET($CC$3,0,0,'Données projet'!$E$12+1,1))-AVERAGE(OFFSET($H$3,0,0,'Données projet'!$E$12+1,1))</f>
        <v>382.09004346384319</v>
      </c>
      <c r="CE8" s="59">
        <f t="shared" si="40"/>
        <v>410.18893995284986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5.8</v>
      </c>
      <c r="CT8" s="12">
        <f>IF('Données projet'!$A$140&gt;35,CT7+CS8-DB7,IF(A8&lt;'Données projet'!$A$140,$CQ$205^A8,IF(A8='Données projet'!$A$140,'Données projet'!$B$140,CT7+CS8-DB7)))</f>
        <v>4.4310476216936356</v>
      </c>
      <c r="CU8" s="17">
        <f>CT8*VLOOKUP('Données projet'!$B$13,Paramètres!$A$1:$I$89,3,0)*VLOOKUP('Données projet'!$B$13,Paramètres!$A$1:$I$89,5,0)</f>
        <v>3.8709632023115605</v>
      </c>
      <c r="CV8" s="13">
        <f t="shared" si="41"/>
        <v>1.5238736908481918</v>
      </c>
      <c r="CW8" s="20">
        <f t="shared" si="13"/>
        <v>9.3960075889199022</v>
      </c>
      <c r="CX8" s="59">
        <f t="shared" si="14"/>
        <v>188.18705546536725</v>
      </c>
      <c r="CY8" s="59">
        <f ca="1">AVERAGE(OFFSET($CX$3,0,0,'Données projet'!$E$13+1,1))-AVERAGE(OFFSET($H$3,0,0,'Données projet'!$E$13+1,1))</f>
        <v>363.02374534486341</v>
      </c>
      <c r="CZ8" s="59">
        <f t="shared" si="42"/>
        <v>489.00477393029598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2.4317492962885807</v>
      </c>
      <c r="DQ8" s="13">
        <f t="shared" si="43"/>
        <v>1.010531639108154</v>
      </c>
      <c r="DR8" s="20">
        <f t="shared" si="16"/>
        <v>5.9953059624826457</v>
      </c>
      <c r="DS8" s="59">
        <f t="shared" si="17"/>
        <v>184.78635383892998</v>
      </c>
      <c r="DT8" s="59">
        <f ca="1">AVERAGE(OFFSET($DS$3,0,0,'Données projet'!$E$14+1,1))-AVERAGE(OFFSET($H$3,0,0,'Données projet'!$E$14+1,1))</f>
        <v>368.03281986807173</v>
      </c>
      <c r="DU8" s="59">
        <f t="shared" si="44"/>
        <v>395.83504504492248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2.0833333333333335</v>
      </c>
      <c r="EJ8" s="12">
        <f>IF('Données projet'!$A$192&gt;35,EJ7+EI8-ER7,IF(A8&lt;'Données projet'!$A$192,$EG$205^A8,IF(A8='Données projet'!$A$192,'Données projet'!$B$192,EJ7+EI8-ER7)))</f>
        <v>3.8236224566586507</v>
      </c>
      <c r="EK8" s="17">
        <f>EJ8*VLOOKUP('Données projet'!$B$15,Paramètres!$A$1:$I$89,3,0)*VLOOKUP('Données projet'!$B$15,Paramètres!$A$1:$I$89,5,0)</f>
        <v>2.2865262290818733</v>
      </c>
      <c r="EL8" s="13">
        <f t="shared" si="45"/>
        <v>0.95701808370696195</v>
      </c>
      <c r="EM8" s="20">
        <f t="shared" si="19"/>
        <v>5.6491730114405536</v>
      </c>
      <c r="EN8" s="59">
        <f t="shared" si="20"/>
        <v>184.4402208878879</v>
      </c>
      <c r="EO8" s="59">
        <f ca="1">AVERAGE(OFFSET($EN$3,0,0,'Données projet'!$E$15+1,1))-AVERAGE(OFFSET($H$3,0,0,'Données projet'!$E$15+1,1))</f>
        <v>225.2264820414552</v>
      </c>
      <c r="EP8" s="59">
        <f t="shared" si="46"/>
        <v>249.91838548328681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2.7</v>
      </c>
      <c r="FE8" s="12">
        <f>IF('Données projet'!$A$218&gt;35,FE7+FD8-FM7,IF(A8&lt;'Données projet'!$A$218,$FB$205^A8,IF(A8='Données projet'!$A$218,'Données projet'!$B$218,FE7+FD8-FM7)))</f>
        <v>5.1961524227066302</v>
      </c>
      <c r="FF8" s="17">
        <f>FE8*VLOOKUP('Données projet'!$B$16,Paramètres!$A$1:$I$89,3,0)*VLOOKUP('Données projet'!$B$16,Paramètres!$A$1:$I$89,5,0)</f>
        <v>2.9046492042930061</v>
      </c>
      <c r="FG8" s="13">
        <f t="shared" si="47"/>
        <v>1.1823380038531133</v>
      </c>
      <c r="FH8" s="20">
        <f t="shared" si="22"/>
        <v>7.1181693875211574</v>
      </c>
      <c r="FI8" s="59">
        <f t="shared" si="23"/>
        <v>185.90921726396851</v>
      </c>
      <c r="FJ8" s="59">
        <f ca="1">AVERAGE(OFFSET($FI$3,0,0,'Données projet'!$E$16+1,1))-AVERAGE(OFFSET($H$3,0,0,'Données projet'!$E$16+1,1))</f>
        <v>549.85684198202534</v>
      </c>
      <c r="FK8" s="59">
        <f t="shared" si="48"/>
        <v>539.63748606275431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9.1999999999999993</v>
      </c>
      <c r="FZ8" s="12">
        <f>IF('Données projet'!$A$244&gt;35,FZ7+FY8-GH7,IF(A8&lt;'Données projet'!$A$244,$FW$205^A8,IF(A8='Données projet'!$A$244,'Données projet'!$B$244,FZ7+FY8-GH7)))</f>
        <v>3.6830232101156422</v>
      </c>
      <c r="GA8" s="17">
        <f>FZ8*VLOOKUP('Données projet'!$B$17,Paramètres!$A$1:$I$89,3,0)*VLOOKUP('Données projet'!$B$17,Paramètres!$A$1:$I$89,5,0)</f>
        <v>2.2024478796491542</v>
      </c>
      <c r="GB8" s="13">
        <f t="shared" si="49"/>
        <v>0.92585609122079437</v>
      </c>
      <c r="GC8" s="20">
        <f t="shared" si="25"/>
        <v>5.4484627492651603</v>
      </c>
      <c r="GD8" s="59">
        <f t="shared" si="26"/>
        <v>184.23951062571251</v>
      </c>
      <c r="GE8" s="59">
        <f ca="1">AVERAGE(OFFSET($GD$3,0,0,'Données projet'!$E$17+1,1))-AVERAGE(OFFSET($H$3,0,0,'Données projet'!$E$17+1,1))</f>
        <v>495.6641415122013</v>
      </c>
      <c r="GF8" s="59">
        <f t="shared" si="50"/>
        <v>488.90534169400757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9.1999999999999993</v>
      </c>
      <c r="GU8" s="12">
        <f>IF('Données projet'!$A$270&gt;35,GU7+GT8-HC7,IF(A8&lt;'Données projet'!$A$270,$GR$205^A8,IF(A8='Données projet'!$A$270,'Données projet'!$B$270,GU7+GT8-HC7)))</f>
        <v>3.6830232101156422</v>
      </c>
      <c r="GV8" s="17">
        <f>GU8*VLOOKUP('Données projet'!$B$18,Paramètres!$A$1:$I$89,3,0)*VLOOKUP('Données projet'!$B$18,Paramètres!$A$1:$I$89,5,0)</f>
        <v>2.2024478796491542</v>
      </c>
      <c r="GW8" s="13">
        <f t="shared" si="51"/>
        <v>0.92585609122079437</v>
      </c>
      <c r="GX8" s="20">
        <f t="shared" si="28"/>
        <v>5.4484627492651603</v>
      </c>
      <c r="GY8" s="59">
        <f t="shared" si="29"/>
        <v>184.23951062571251</v>
      </c>
      <c r="GZ8" s="59">
        <f ca="1">AVERAGE(OFFSET($GY$3,0,0,'Données projet'!$E$18+1,1))-AVERAGE(OFFSET($H$3,0,0,'Données projet'!$E$18+1,1))</f>
        <v>-18.333333333333343</v>
      </c>
      <c r="HA8" s="59">
        <f t="shared" si="52"/>
        <v>-18.333333333333343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186.76276453247874</v>
      </c>
      <c r="S9" s="59">
        <f ca="1">AVERAGE(OFFSET($R$3,0,0,'Données projet'!$E$9+1,1))-AVERAGE(OFFSET($H$3,0,0,'Données projet'!$E$9+1,1))</f>
        <v>376.11581547534814</v>
      </c>
      <c r="T9" s="59">
        <f t="shared" si="34"/>
        <v>300.91675649863294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9">
        <f t="shared" si="5"/>
        <v>189.46981953956174</v>
      </c>
      <c r="AN9" s="59">
        <f ca="1">AVERAGE(OFFSET($AM$3,0,0,'Données projet'!$E$10+1,1))-AVERAGE(OFFSET($H$3,0,0,'Données projet'!$E$10+1,1))</f>
        <v>505.38595282220405</v>
      </c>
      <c r="AO9" s="59">
        <f t="shared" si="36"/>
        <v>351.72130415456365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189.64953086423333</v>
      </c>
      <c r="BI9" s="59">
        <f ca="1">AVERAGE(OFFSET($BH$3,0,0,'Données projet'!$E$11+1,1))-AVERAGE(OFFSET($H$3,0,0,'Données projet'!$E$11+1,1))</f>
        <v>394.14657090341535</v>
      </c>
      <c r="BJ9" s="59">
        <f t="shared" si="38"/>
        <v>424.06445894109982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5.0999999999999996</v>
      </c>
      <c r="BY9" s="12">
        <f>IF('Données projet'!$A$114&gt;35,BY8+BX9-CG8,IF(A9&lt;'Données projet'!$A$114,$BV$205^A9,IF(A9='Données projet'!$A$114,'Données projet'!$B$114,BY8+BX9-CG8)))</f>
        <v>10.581374994243513</v>
      </c>
      <c r="BZ9" s="13">
        <f>BY9*VLOOKUP('Données projet'!$B$12,Paramètres!$A$1:$I$89,3,0)*VLOOKUP('Données projet'!$B$12,Paramètres!$A$1:$I$89,5,0)</f>
        <v>5.7774307468569575</v>
      </c>
      <c r="CA9" s="13">
        <f t="shared" si="39"/>
        <v>2.1708053764218018</v>
      </c>
      <c r="CB9" s="20">
        <f t="shared" si="10"/>
        <v>13.843177914710504</v>
      </c>
      <c r="CC9" s="59">
        <f t="shared" si="11"/>
        <v>195.31343001096948</v>
      </c>
      <c r="CD9" s="59">
        <f ca="1">AVERAGE(OFFSET($CC$3,0,0,'Données projet'!$E$12+1,1))-AVERAGE(OFFSET($H$3,0,0,'Données projet'!$E$12+1,1))</f>
        <v>382.09004346384319</v>
      </c>
      <c r="CE9" s="59">
        <f t="shared" si="40"/>
        <v>410.18893995284986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5.8</v>
      </c>
      <c r="CT9" s="12">
        <f>IF('Données projet'!$A$140&gt;35,CT8+CS9-DB8,IF(A9&lt;'Données projet'!$A$140,$CQ$205^A9,IF(A9='Données projet'!$A$140,'Données projet'!$B$140,CT8+CS9-DB8)))</f>
        <v>5.9677098701087665</v>
      </c>
      <c r="CU9" s="17">
        <f>CT9*VLOOKUP('Données projet'!$B$13,Paramètres!$A$1:$I$89,3,0)*VLOOKUP('Données projet'!$B$13,Paramètres!$A$1:$I$89,5,0)</f>
        <v>5.2133913425270189</v>
      </c>
      <c r="CV9" s="13">
        <f t="shared" si="41"/>
        <v>1.9824378698032765</v>
      </c>
      <c r="CW9" s="20">
        <f t="shared" si="13"/>
        <v>12.53273587814193</v>
      </c>
      <c r="CX9" s="59">
        <f t="shared" si="14"/>
        <v>194.0029879744009</v>
      </c>
      <c r="CY9" s="59">
        <f ca="1">AVERAGE(OFFSET($CX$3,0,0,'Données projet'!$E$13+1,1))-AVERAGE(OFFSET($H$3,0,0,'Données projet'!$E$13+1,1))</f>
        <v>363.02374534486341</v>
      </c>
      <c r="CZ9" s="59">
        <f t="shared" si="42"/>
        <v>489.00477393029598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3.0907086483829831</v>
      </c>
      <c r="DQ9" s="13">
        <f t="shared" si="43"/>
        <v>1.2490141923201104</v>
      </c>
      <c r="DR9" s="20">
        <f t="shared" si="16"/>
        <v>7.5583506142245538</v>
      </c>
      <c r="DS9" s="59">
        <f t="shared" si="17"/>
        <v>189.02860271048354</v>
      </c>
      <c r="DT9" s="59">
        <f ca="1">AVERAGE(OFFSET($DS$3,0,0,'Données projet'!$E$14+1,1))-AVERAGE(OFFSET($H$3,0,0,'Données projet'!$E$14+1,1))</f>
        <v>368.03281986807173</v>
      </c>
      <c r="DU9" s="59">
        <f t="shared" si="44"/>
        <v>395.83504504492248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2.0833333333333335</v>
      </c>
      <c r="EJ9" s="12">
        <f>IF('Données projet'!$A$192&gt;35,EJ8+EI9-ER8,IF(A9&lt;'Données projet'!$A$192,$EG$205^A9,IF(A9='Données projet'!$A$192,'Données projet'!$B$192,EJ8+EI9-ER8)))</f>
        <v>5.0000000000000009</v>
      </c>
      <c r="EK9" s="17">
        <f>EJ9*VLOOKUP('Données projet'!$B$15,Paramètres!$A$1:$I$89,3,0)*VLOOKUP('Données projet'!$B$15,Paramètres!$A$1:$I$89,5,0)</f>
        <v>2.9900000000000011</v>
      </c>
      <c r="EL9" s="13">
        <f t="shared" si="45"/>
        <v>1.212984152436859</v>
      </c>
      <c r="EM9" s="20">
        <f t="shared" si="19"/>
        <v>7.3201973988275313</v>
      </c>
      <c r="EN9" s="59">
        <f t="shared" si="20"/>
        <v>188.79044949508651</v>
      </c>
      <c r="EO9" s="59">
        <f ca="1">AVERAGE(OFFSET($EN$3,0,0,'Données projet'!$E$15+1,1))-AVERAGE(OFFSET($H$3,0,0,'Données projet'!$E$15+1,1))</f>
        <v>225.2264820414552</v>
      </c>
      <c r="EP9" s="59">
        <f t="shared" si="46"/>
        <v>249.91838548328681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2.7</v>
      </c>
      <c r="FE9" s="12">
        <f>IF('Données projet'!$A$218&gt;35,FE8+FD9-FM8,IF(A9&lt;'Données projet'!$A$218,$FB$205^A9,IF(A9='Données projet'!$A$218,'Données projet'!$B$218,FE8+FD9-FM8)))</f>
        <v>7.2246740558420726</v>
      </c>
      <c r="FF9" s="17">
        <f>FE9*VLOOKUP('Données projet'!$B$16,Paramètres!$A$1:$I$89,3,0)*VLOOKUP('Données projet'!$B$16,Paramètres!$A$1:$I$89,5,0)</f>
        <v>4.0385927972157187</v>
      </c>
      <c r="FG9" s="13">
        <f t="shared" si="47"/>
        <v>1.5820381480274153</v>
      </c>
      <c r="FH9" s="20">
        <f t="shared" si="22"/>
        <v>9.7892655629651237</v>
      </c>
      <c r="FI9" s="59">
        <f t="shared" si="23"/>
        <v>191.25951765922409</v>
      </c>
      <c r="FJ9" s="59">
        <f ca="1">AVERAGE(OFFSET($FI$3,0,0,'Données projet'!$E$16+1,1))-AVERAGE(OFFSET($H$3,0,0,'Données projet'!$E$16+1,1))</f>
        <v>549.85684198202534</v>
      </c>
      <c r="FK9" s="59">
        <f t="shared" si="48"/>
        <v>539.63748606275431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9.1999999999999993</v>
      </c>
      <c r="FZ9" s="12">
        <f>IF('Données projet'!$A$244&gt;35,FZ8+FY9-GH8,IF(A9&lt;'Données projet'!$A$244,$FW$205^A9,IF(A9='Données projet'!$A$244,'Données projet'!$B$244,FZ8+FY9-GH8)))</f>
        <v>4.7801920679838954</v>
      </c>
      <c r="GA9" s="17">
        <f>FZ9*VLOOKUP('Données projet'!$B$17,Paramètres!$A$1:$I$89,3,0)*VLOOKUP('Données projet'!$B$17,Paramètres!$A$1:$I$89,5,0)</f>
        <v>2.8585548566543699</v>
      </c>
      <c r="GB9" s="13">
        <f t="shared" si="49"/>
        <v>1.1657438677081613</v>
      </c>
      <c r="GC9" s="20">
        <f t="shared" si="25"/>
        <v>7.0089869449314071</v>
      </c>
      <c r="GD9" s="59">
        <f t="shared" si="26"/>
        <v>188.47923904119037</v>
      </c>
      <c r="GE9" s="59">
        <f ca="1">AVERAGE(OFFSET($GD$3,0,0,'Données projet'!$E$17+1,1))-AVERAGE(OFFSET($H$3,0,0,'Données projet'!$E$17+1,1))</f>
        <v>495.6641415122013</v>
      </c>
      <c r="GF9" s="59">
        <f t="shared" si="50"/>
        <v>488.90534169400757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9.1999999999999993</v>
      </c>
      <c r="GU9" s="12">
        <f>IF('Données projet'!$A$270&gt;35,GU8+GT9-HC8,IF(A9&lt;'Données projet'!$A$270,$GR$205^A9,IF(A9='Données projet'!$A$270,'Données projet'!$B$270,GU8+GT9-HC8)))</f>
        <v>4.7801920679838954</v>
      </c>
      <c r="GV9" s="17">
        <f>GU9*VLOOKUP('Données projet'!$B$18,Paramètres!$A$1:$I$89,3,0)*VLOOKUP('Données projet'!$B$18,Paramètres!$A$1:$I$89,5,0)</f>
        <v>2.8585548566543699</v>
      </c>
      <c r="GW9" s="13">
        <f t="shared" si="51"/>
        <v>1.1657438677081613</v>
      </c>
      <c r="GX9" s="20">
        <f t="shared" si="28"/>
        <v>7.0089869449314071</v>
      </c>
      <c r="GY9" s="59">
        <f t="shared" si="29"/>
        <v>188.47923904119037</v>
      </c>
      <c r="GZ9" s="59">
        <f ca="1">AVERAGE(OFFSET($GY$3,0,0,'Données projet'!$E$18+1,1))-AVERAGE(OFFSET($H$3,0,0,'Données projet'!$E$18+1,1))</f>
        <v>-18.333333333333343</v>
      </c>
      <c r="HA9" s="59">
        <f t="shared" si="52"/>
        <v>-18.333333333333343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190.88248001211113</v>
      </c>
      <c r="S10" s="59">
        <f ca="1">AVERAGE(OFFSET($R$3,0,0,'Données projet'!$E$9+1,1))-AVERAGE(OFFSET($H$3,0,0,'Données projet'!$E$9+1,1))</f>
        <v>376.11581547534814</v>
      </c>
      <c r="T10" s="59">
        <f t="shared" si="34"/>
        <v>300.91675649863294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9">
        <f t="shared" si="5"/>
        <v>193.96778694515905</v>
      </c>
      <c r="AN10" s="59">
        <f ca="1">AVERAGE(OFFSET($AM$3,0,0,'Données projet'!$E$10+1,1))-AVERAGE(OFFSET($H$3,0,0,'Données projet'!$E$10+1,1))</f>
        <v>505.38595282220405</v>
      </c>
      <c r="AO10" s="59">
        <f t="shared" si="36"/>
        <v>351.72130415456365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194.43809423296673</v>
      </c>
      <c r="BI10" s="59">
        <f ca="1">AVERAGE(OFFSET($BH$3,0,0,'Données projet'!$E$11+1,1))-AVERAGE(OFFSET($H$3,0,0,'Données projet'!$E$11+1,1))</f>
        <v>394.14657090341535</v>
      </c>
      <c r="BJ10" s="59">
        <f t="shared" si="38"/>
        <v>424.06445894109982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5.0999999999999996</v>
      </c>
      <c r="BY10" s="12">
        <f>IF('Données projet'!$A$114&gt;35,BY9+BX10-CG9,IF(A10&lt;'Données projet'!$A$114,$BV$205^A10,IF(A10='Données projet'!$A$114,'Données projet'!$B$114,BY9+BX10-CG9)))</f>
        <v>15.678305522365584</v>
      </c>
      <c r="BZ10" s="13">
        <f>BY10*VLOOKUP('Données projet'!$B$12,Paramètres!$A$1:$I$89,3,0)*VLOOKUP('Données projet'!$B$12,Paramètres!$A$1:$I$89,5,0)</f>
        <v>8.5603548152116087</v>
      </c>
      <c r="CA10" s="13">
        <f t="shared" si="39"/>
        <v>3.0725700241611493</v>
      </c>
      <c r="CB10" s="20">
        <f t="shared" si="10"/>
        <v>20.260677428574223</v>
      </c>
      <c r="CC10" s="59">
        <f t="shared" si="11"/>
        <v>204.38485836431045</v>
      </c>
      <c r="CD10" s="59">
        <f ca="1">AVERAGE(OFFSET($CC$3,0,0,'Données projet'!$E$12+1,1))-AVERAGE(OFFSET($H$3,0,0,'Données projet'!$E$12+1,1))</f>
        <v>382.09004346384319</v>
      </c>
      <c r="CE10" s="59">
        <f t="shared" si="40"/>
        <v>410.18893995284986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5.8</v>
      </c>
      <c r="CT10" s="12">
        <f>IF('Données projet'!$A$140&gt;35,CT9+CS10-DB9,IF(A10&lt;'Données projet'!$A$140,$CQ$205^A10,IF(A10='Données projet'!$A$140,'Données projet'!$B$140,CT9+CS10-DB9)))</f>
        <v>8.0372778932539148</v>
      </c>
      <c r="CU10" s="17">
        <f>CT10*VLOOKUP('Données projet'!$B$13,Paramètres!$A$1:$I$89,3,0)*VLOOKUP('Données projet'!$B$13,Paramètres!$A$1:$I$89,5,0)</f>
        <v>7.0213659675466209</v>
      </c>
      <c r="CV10" s="13">
        <f t="shared" si="41"/>
        <v>2.5789932139603198</v>
      </c>
      <c r="CW10" s="20">
        <f t="shared" si="13"/>
        <v>16.72062557445792</v>
      </c>
      <c r="CX10" s="59">
        <f t="shared" si="14"/>
        <v>200.84480651019416</v>
      </c>
      <c r="CY10" s="59">
        <f ca="1">AVERAGE(OFFSET($CX$3,0,0,'Données projet'!$E$13+1,1))-AVERAGE(OFFSET($H$3,0,0,'Données projet'!$E$13+1,1))</f>
        <v>363.02374534486341</v>
      </c>
      <c r="CZ10" s="59">
        <f t="shared" si="42"/>
        <v>489.00477393029598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3.9282338700657551</v>
      </c>
      <c r="DQ10" s="13">
        <f t="shared" si="43"/>
        <v>1.5437779404847436</v>
      </c>
      <c r="DR10" s="20">
        <f t="shared" si="16"/>
        <v>9.5304205700421178</v>
      </c>
      <c r="DS10" s="59">
        <f t="shared" si="17"/>
        <v>193.65460150577834</v>
      </c>
      <c r="DT10" s="59">
        <f ca="1">AVERAGE(OFFSET($DS$3,0,0,'Données projet'!$E$14+1,1))-AVERAGE(OFFSET($H$3,0,0,'Données projet'!$E$14+1,1))</f>
        <v>368.03281986807173</v>
      </c>
      <c r="DU10" s="59">
        <f t="shared" si="44"/>
        <v>395.83504504492248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2.0833333333333335</v>
      </c>
      <c r="EJ10" s="12">
        <f>IF('Données projet'!$A$192&gt;35,EJ9+EI10-ER9,IF(A10&lt;'Données projet'!$A$192,$EG$205^A10,IF(A10='Données projet'!$A$192,'Données projet'!$B$192,EJ9+EI10-ER9)))</f>
        <v>6.5383024300591543</v>
      </c>
      <c r="EK10" s="17">
        <f>EJ10*VLOOKUP('Données projet'!$B$15,Paramètres!$A$1:$I$89,3,0)*VLOOKUP('Données projet'!$B$15,Paramètres!$A$1:$I$89,5,0)</f>
        <v>3.9099048531753748</v>
      </c>
      <c r="EL10" s="13">
        <f t="shared" si="45"/>
        <v>1.5374114440594884</v>
      </c>
      <c r="EM10" s="20">
        <f t="shared" si="19"/>
        <v>9.4874092176840534</v>
      </c>
      <c r="EN10" s="59">
        <f t="shared" si="20"/>
        <v>193.61159015342028</v>
      </c>
      <c r="EO10" s="59">
        <f ca="1">AVERAGE(OFFSET($EN$3,0,0,'Données projet'!$E$15+1,1))-AVERAGE(OFFSET($H$3,0,0,'Données projet'!$E$15+1,1))</f>
        <v>225.2264820414552</v>
      </c>
      <c r="EP10" s="59">
        <f t="shared" si="46"/>
        <v>249.91838548328681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2.7</v>
      </c>
      <c r="FE10" s="12">
        <f>IF('Données projet'!$A$218&gt;35,FE9+FD10-FM9,IF(A10&lt;'Données projet'!$A$218,$FB$205^A10,IF(A10='Données projet'!$A$218,'Données projet'!$B$218,FE9+FD10-FM9)))</f>
        <v>10.045108566305135</v>
      </c>
      <c r="FF10" s="17">
        <f>FE10*VLOOKUP('Données projet'!$B$16,Paramètres!$A$1:$I$89,3,0)*VLOOKUP('Données projet'!$B$16,Paramètres!$A$1:$I$89,5,0)</f>
        <v>5.6152156885645708</v>
      </c>
      <c r="FG10" s="13">
        <f t="shared" si="47"/>
        <v>2.1168605708837163</v>
      </c>
      <c r="FH10" s="20">
        <f t="shared" si="22"/>
        <v>13.466699485205766</v>
      </c>
      <c r="FI10" s="59">
        <f t="shared" si="23"/>
        <v>197.590880420942</v>
      </c>
      <c r="FJ10" s="59">
        <f ca="1">AVERAGE(OFFSET($FI$3,0,0,'Données projet'!$E$16+1,1))-AVERAGE(OFFSET($H$3,0,0,'Données projet'!$E$16+1,1))</f>
        <v>549.85684198202534</v>
      </c>
      <c r="FK10" s="59">
        <f t="shared" si="48"/>
        <v>539.63748606275431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9.1999999999999993</v>
      </c>
      <c r="FZ10" s="12">
        <f>IF('Données projet'!$A$244&gt;35,FZ9+FY10-GH9,IF(A10&lt;'Données projet'!$A$244,$FW$205^A10,IF(A10='Données projet'!$A$244,'Données projet'!$B$244,FZ9+FY10-GH9)))</f>
        <v>6.2042064095758676</v>
      </c>
      <c r="GA10" s="17">
        <f>FZ10*VLOOKUP('Données projet'!$B$17,Paramètres!$A$1:$I$89,3,0)*VLOOKUP('Données projet'!$B$17,Paramètres!$A$1:$I$89,5,0)</f>
        <v>3.710115432926369</v>
      </c>
      <c r="GB10" s="13">
        <f t="shared" si="49"/>
        <v>1.4677861689145641</v>
      </c>
      <c r="GC10" s="20">
        <f t="shared" si="25"/>
        <v>9.0181786232062908</v>
      </c>
      <c r="GD10" s="59">
        <f t="shared" si="26"/>
        <v>193.14235955894253</v>
      </c>
      <c r="GE10" s="59">
        <f ca="1">AVERAGE(OFFSET($GD$3,0,0,'Données projet'!$E$17+1,1))-AVERAGE(OFFSET($H$3,0,0,'Données projet'!$E$17+1,1))</f>
        <v>495.6641415122013</v>
      </c>
      <c r="GF10" s="59">
        <f t="shared" si="50"/>
        <v>488.90534169400757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9.1999999999999993</v>
      </c>
      <c r="GU10" s="12">
        <f>IF('Données projet'!$A$270&gt;35,GU9+GT10-HC9,IF(A10&lt;'Données projet'!$A$270,$GR$205^A10,IF(A10='Données projet'!$A$270,'Données projet'!$B$270,GU9+GT10-HC9)))</f>
        <v>6.2042064095758676</v>
      </c>
      <c r="GV10" s="17">
        <f>GU10*VLOOKUP('Données projet'!$B$18,Paramètres!$A$1:$I$89,3,0)*VLOOKUP('Données projet'!$B$18,Paramètres!$A$1:$I$89,5,0)</f>
        <v>3.710115432926369</v>
      </c>
      <c r="GW10" s="13">
        <f t="shared" si="51"/>
        <v>1.4677861689145641</v>
      </c>
      <c r="GX10" s="20">
        <f t="shared" si="28"/>
        <v>9.0181786232062908</v>
      </c>
      <c r="GY10" s="59">
        <f t="shared" si="29"/>
        <v>193.14235955894253</v>
      </c>
      <c r="GZ10" s="59">
        <f ca="1">AVERAGE(OFFSET($GY$3,0,0,'Données projet'!$E$18+1,1))-AVERAGE(OFFSET($H$3,0,0,'Données projet'!$E$18+1,1))</f>
        <v>-18.333333333333343</v>
      </c>
      <c r="HA10" s="59">
        <f t="shared" si="52"/>
        <v>-18.333333333333343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195.38485976905437</v>
      </c>
      <c r="S11" s="59">
        <f ca="1">AVERAGE(OFFSET($R$3,0,0,'Données projet'!$E$9+1,1))-AVERAGE(OFFSET($H$3,0,0,'Données projet'!$E$9+1,1))</f>
        <v>376.11581547534814</v>
      </c>
      <c r="T11" s="59">
        <f t="shared" si="34"/>
        <v>300.91675649863294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9">
        <f t="shared" si="5"/>
        <v>198.86752730846644</v>
      </c>
      <c r="AN11" s="59">
        <f ca="1">AVERAGE(OFFSET($AM$3,0,0,'Données projet'!$E$10+1,1))-AVERAGE(OFFSET($H$3,0,0,'Données projet'!$E$10+1,1))</f>
        <v>505.38595282220405</v>
      </c>
      <c r="AO11" s="59">
        <f t="shared" si="36"/>
        <v>351.72130415456365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199.76096292553709</v>
      </c>
      <c r="BI11" s="59">
        <f ca="1">AVERAGE(OFFSET($BH$3,0,0,'Données projet'!$E$11+1,1))-AVERAGE(OFFSET($H$3,0,0,'Données projet'!$E$11+1,1))</f>
        <v>394.14657090341535</v>
      </c>
      <c r="BJ11" s="59">
        <f t="shared" si="38"/>
        <v>424.06445894109982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5.0999999999999996</v>
      </c>
      <c r="BY11" s="12">
        <f>IF('Données projet'!$A$114&gt;35,BY10+BX11-CG10,IF(A11&lt;'Données projet'!$A$114,$BV$205^A11,IF(A11='Données projet'!$A$114,'Données projet'!$B$114,BY10+BX11-CG10)))</f>
        <v>23.230370739754001</v>
      </c>
      <c r="BZ11" s="13">
        <f>BY11*VLOOKUP('Données projet'!$B$12,Paramètres!$A$1:$I$89,3,0)*VLOOKUP('Données projet'!$B$12,Paramètres!$A$1:$I$89,5,0)</f>
        <v>12.683782423905685</v>
      </c>
      <c r="CA11" s="13">
        <f t="shared" si="39"/>
        <v>4.348932730641649</v>
      </c>
      <c r="CB11" s="20">
        <f t="shared" si="10"/>
        <v>29.665312227503268</v>
      </c>
      <c r="CC11" s="59">
        <f t="shared" si="11"/>
        <v>216.41858509372383</v>
      </c>
      <c r="CD11" s="59">
        <f ca="1">AVERAGE(OFFSET($CC$3,0,0,'Données projet'!$E$12+1,1))-AVERAGE(OFFSET($H$3,0,0,'Données projet'!$E$12+1,1))</f>
        <v>382.09004346384319</v>
      </c>
      <c r="CE11" s="59">
        <f t="shared" si="40"/>
        <v>410.18893995284986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5.8</v>
      </c>
      <c r="CT11" s="12">
        <f>IF('Données projet'!$A$140&gt;35,CT10+CS11-DB10,IF(A11&lt;'Données projet'!$A$140,$CQ$205^A11,IF(A11='Données projet'!$A$140,'Données projet'!$B$140,CT10+CS11-DB10)))</f>
        <v>10.824560399115168</v>
      </c>
      <c r="CU11" s="17">
        <f>CT11*VLOOKUP('Données projet'!$B$13,Paramètres!$A$1:$I$89,3,0)*VLOOKUP('Données projet'!$B$13,Paramètres!$A$1:$I$89,5,0)</f>
        <v>9.4563359646670122</v>
      </c>
      <c r="CV11" s="13">
        <f t="shared" si="41"/>
        <v>3.3550640345230081</v>
      </c>
      <c r="CW11" s="20">
        <f t="shared" si="13"/>
        <v>22.313188331922618</v>
      </c>
      <c r="CX11" s="59">
        <f t="shared" si="14"/>
        <v>209.06646119814317</v>
      </c>
      <c r="CY11" s="59">
        <f ca="1">AVERAGE(OFFSET($CX$3,0,0,'Données projet'!$E$13+1,1))-AVERAGE(OFFSET($H$3,0,0,'Données projet'!$E$13+1,1))</f>
        <v>363.02374534486341</v>
      </c>
      <c r="CZ11" s="59">
        <f t="shared" si="42"/>
        <v>489.00477393029598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4.9927130290993551</v>
      </c>
      <c r="DQ11" s="13">
        <f t="shared" si="43"/>
        <v>1.9081050833380053</v>
      </c>
      <c r="DR11" s="20">
        <f t="shared" si="16"/>
        <v>12.018924879161736</v>
      </c>
      <c r="DS11" s="59">
        <f t="shared" si="17"/>
        <v>198.7721977453823</v>
      </c>
      <c r="DT11" s="59">
        <f ca="1">AVERAGE(OFFSET($DS$3,0,0,'Données projet'!$E$14+1,1))-AVERAGE(OFFSET($H$3,0,0,'Données projet'!$E$14+1,1))</f>
        <v>368.03281986807173</v>
      </c>
      <c r="DU11" s="59">
        <f t="shared" si="44"/>
        <v>395.83504504492248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2.0833333333333335</v>
      </c>
      <c r="EJ11" s="12">
        <f>IF('Données projet'!$A$192&gt;35,EJ10+EI11-ER10,IF(A11&lt;'Données projet'!$A$192,$EG$205^A11,IF(A11='Données projet'!$A$192,'Données projet'!$B$192,EJ10+EI11-ER10)))</f>
        <v>8.5498797333834879</v>
      </c>
      <c r="EK11" s="17">
        <f>EJ11*VLOOKUP('Données projet'!$B$15,Paramètres!$A$1:$I$89,3,0)*VLOOKUP('Données projet'!$B$15,Paramètres!$A$1:$I$89,5,0)</f>
        <v>5.1128280805633262</v>
      </c>
      <c r="EL11" s="13">
        <f t="shared" si="45"/>
        <v>1.9486107411845339</v>
      </c>
      <c r="EM11" s="20">
        <f t="shared" si="19"/>
        <v>12.298672614544188</v>
      </c>
      <c r="EN11" s="59">
        <f t="shared" si="20"/>
        <v>199.05194548076474</v>
      </c>
      <c r="EO11" s="59">
        <f ca="1">AVERAGE(OFFSET($EN$3,0,0,'Données projet'!$E$15+1,1))-AVERAGE(OFFSET($H$3,0,0,'Données projet'!$E$15+1,1))</f>
        <v>225.2264820414552</v>
      </c>
      <c r="EP11" s="59">
        <f t="shared" si="46"/>
        <v>249.91838548328681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2.7</v>
      </c>
      <c r="FE11" s="12">
        <f>IF('Données projet'!$A$218&gt;35,FE10+FD11-FM10,IF(A11&lt;'Données projet'!$A$218,$FB$205^A11,IF(A11='Données projet'!$A$218,'Données projet'!$B$218,FE10+FD11-FM10)))</f>
        <v>13.96661016523823</v>
      </c>
      <c r="FF11" s="17">
        <f>FE11*VLOOKUP('Données projet'!$B$16,Paramètres!$A$1:$I$89,3,0)*VLOOKUP('Données projet'!$B$16,Paramètres!$A$1:$I$89,5,0)</f>
        <v>7.8073350823681702</v>
      </c>
      <c r="FG11" s="13">
        <f t="shared" si="47"/>
        <v>2.8324845909369802</v>
      </c>
      <c r="FH11" s="20">
        <f t="shared" si="22"/>
        <v>18.531019264339804</v>
      </c>
      <c r="FI11" s="59">
        <f t="shared" si="23"/>
        <v>205.28429213056035</v>
      </c>
      <c r="FJ11" s="59">
        <f ca="1">AVERAGE(OFFSET($FI$3,0,0,'Données projet'!$E$16+1,1))-AVERAGE(OFFSET($H$3,0,0,'Données projet'!$E$16+1,1))</f>
        <v>549.85684198202534</v>
      </c>
      <c r="FK11" s="59">
        <f t="shared" si="48"/>
        <v>539.63748606275431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9.1999999999999993</v>
      </c>
      <c r="FZ11" s="12">
        <f>IF('Données projet'!$A$244&gt;35,FZ10+FY11-GH10,IF(A11&lt;'Données projet'!$A$244,$FW$205^A11,IF(A11='Données projet'!$A$244,'Données projet'!$B$244,FZ10+FY11-GH10)))</f>
        <v>8.0524331711333978</v>
      </c>
      <c r="GA11" s="17">
        <f>FZ11*VLOOKUP('Données projet'!$B$17,Paramètres!$A$1:$I$89,3,0)*VLOOKUP('Données projet'!$B$17,Paramètres!$A$1:$I$89,5,0)</f>
        <v>4.8153550363377722</v>
      </c>
      <c r="GB11" s="13">
        <f t="shared" si="49"/>
        <v>1.84808712902982</v>
      </c>
      <c r="GC11" s="20">
        <f t="shared" si="25"/>
        <v>11.605495104681887</v>
      </c>
      <c r="GD11" s="59">
        <f t="shared" si="26"/>
        <v>198.35876797090245</v>
      </c>
      <c r="GE11" s="59">
        <f ca="1">AVERAGE(OFFSET($GD$3,0,0,'Données projet'!$E$17+1,1))-AVERAGE(OFFSET($H$3,0,0,'Données projet'!$E$17+1,1))</f>
        <v>495.6641415122013</v>
      </c>
      <c r="GF11" s="59">
        <f t="shared" si="50"/>
        <v>488.90534169400757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9.1999999999999993</v>
      </c>
      <c r="GU11" s="12">
        <f>IF('Données projet'!$A$270&gt;35,GU10+GT11-HC10,IF(A11&lt;'Données projet'!$A$270,$GR$205^A11,IF(A11='Données projet'!$A$270,'Données projet'!$B$270,GU10+GT11-HC10)))</f>
        <v>8.0524331711333978</v>
      </c>
      <c r="GV11" s="17">
        <f>GU11*VLOOKUP('Données projet'!$B$18,Paramètres!$A$1:$I$89,3,0)*VLOOKUP('Données projet'!$B$18,Paramètres!$A$1:$I$89,5,0)</f>
        <v>4.8153550363377722</v>
      </c>
      <c r="GW11" s="13">
        <f t="shared" si="51"/>
        <v>1.84808712902982</v>
      </c>
      <c r="GX11" s="20">
        <f t="shared" si="28"/>
        <v>11.605495104681887</v>
      </c>
      <c r="GY11" s="59">
        <f t="shared" si="29"/>
        <v>198.35876797090245</v>
      </c>
      <c r="GZ11" s="59">
        <f ca="1">AVERAGE(OFFSET($GY$3,0,0,'Données projet'!$E$18+1,1))-AVERAGE(OFFSET($H$3,0,0,'Données projet'!$E$18+1,1))</f>
        <v>-18.333333333333343</v>
      </c>
      <c r="HA11" s="59">
        <f t="shared" si="52"/>
        <v>-18.333333333333343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200.38402613222581</v>
      </c>
      <c r="S12" s="59">
        <f ca="1">AVERAGE(OFFSET($R$3,0,0,'Données projet'!$E$9+1,1))-AVERAGE(OFFSET($H$3,0,0,'Données projet'!$E$9+1,1))</f>
        <v>376.11581547534814</v>
      </c>
      <c r="T12" s="59">
        <f t="shared" si="34"/>
        <v>300.91675649863294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9">
        <f t="shared" si="5"/>
        <v>204.26849655299031</v>
      </c>
      <c r="AN12" s="59">
        <f ca="1">AVERAGE(OFFSET($AM$3,0,0,'Données projet'!$E$10+1,1))-AVERAGE(OFFSET($H$3,0,0,'Données projet'!$E$10+1,1))</f>
        <v>505.38595282220405</v>
      </c>
      <c r="AO12" s="59">
        <f t="shared" si="36"/>
        <v>351.72130415456365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205.76552927060192</v>
      </c>
      <c r="BI12" s="59">
        <f ca="1">AVERAGE(OFFSET($BH$3,0,0,'Données projet'!$E$11+1,1))-AVERAGE(OFFSET($H$3,0,0,'Données projet'!$E$11+1,1))</f>
        <v>394.14657090341535</v>
      </c>
      <c r="BJ12" s="59">
        <f t="shared" si="38"/>
        <v>424.06445894109982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5.0999999999999996</v>
      </c>
      <c r="BY12" s="12">
        <f>IF('Données projet'!$A$114&gt;35,BY11+BX12-CG11,IF(A12&lt;'Données projet'!$A$114,$BV$205^A12,IF(A12='Données projet'!$A$114,'Données projet'!$B$114,BY11+BX12-CG11)))</f>
        <v>34.420181692249294</v>
      </c>
      <c r="BZ12" s="13">
        <f>BY12*VLOOKUP('Données projet'!$B$12,Paramètres!$A$1:$I$89,3,0)*VLOOKUP('Données projet'!$B$12,Paramètres!$A$1:$I$89,5,0)</f>
        <v>18.793419203968114</v>
      </c>
      <c r="CA12" s="13">
        <f t="shared" si="39"/>
        <v>6.1555036164911439</v>
      </c>
      <c r="CB12" s="20">
        <f t="shared" si="10"/>
        <v>43.452707245633206</v>
      </c>
      <c r="CC12" s="59">
        <f t="shared" si="11"/>
        <v>232.81066599818928</v>
      </c>
      <c r="CD12" s="59">
        <f ca="1">AVERAGE(OFFSET($CC$3,0,0,'Données projet'!$E$12+1,1))-AVERAGE(OFFSET($H$3,0,0,'Données projet'!$E$12+1,1))</f>
        <v>382.09004346384319</v>
      </c>
      <c r="CE12" s="59">
        <f t="shared" si="40"/>
        <v>410.18893995284986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5.8</v>
      </c>
      <c r="CT12" s="12">
        <f>IF('Données projet'!$A$140&gt;35,CT11+CS12-DB11,IF(A12&lt;'Données projet'!$A$140,$CQ$205^A12,IF(A12='Données projet'!$A$140,'Données projet'!$B$140,CT11+CS12-DB11)))</f>
        <v>14.578456710130657</v>
      </c>
      <c r="CU12" s="17">
        <f>CT12*VLOOKUP('Données projet'!$B$13,Paramètres!$A$1:$I$89,3,0)*VLOOKUP('Données projet'!$B$13,Paramètres!$A$1:$I$89,5,0)</f>
        <v>12.735739781970144</v>
      </c>
      <c r="CV12" s="13">
        <f t="shared" si="41"/>
        <v>4.364670141362768</v>
      </c>
      <c r="CW12" s="20">
        <f t="shared" si="13"/>
        <v>29.783213949804821</v>
      </c>
      <c r="CX12" s="59">
        <f t="shared" si="14"/>
        <v>219.1411727023609</v>
      </c>
      <c r="CY12" s="59">
        <f ca="1">AVERAGE(OFFSET($CX$3,0,0,'Données projet'!$E$13+1,1))-AVERAGE(OFFSET($H$3,0,0,'Données projet'!$E$13+1,1))</f>
        <v>363.02374534486341</v>
      </c>
      <c r="CZ12" s="59">
        <f t="shared" si="42"/>
        <v>489.00477393029598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6.3456464700054127</v>
      </c>
      <c r="DQ12" s="13">
        <f t="shared" si="43"/>
        <v>2.3584123814576028</v>
      </c>
      <c r="DR12" s="20">
        <f t="shared" si="16"/>
        <v>15.159569166298086</v>
      </c>
      <c r="DS12" s="59">
        <f t="shared" si="17"/>
        <v>204.51752791885417</v>
      </c>
      <c r="DT12" s="59">
        <f ca="1">AVERAGE(OFFSET($DS$3,0,0,'Données projet'!$E$14+1,1))-AVERAGE(OFFSET($H$3,0,0,'Données projet'!$E$14+1,1))</f>
        <v>368.03281986807173</v>
      </c>
      <c r="DU12" s="59">
        <f t="shared" si="44"/>
        <v>395.83504504492248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2.0833333333333335</v>
      </c>
      <c r="EJ12" s="12">
        <f>IF('Données projet'!$A$192&gt;35,EJ11+EI12-ER11,IF(A12&lt;'Données projet'!$A$192,$EG$205^A12,IF(A12='Données projet'!$A$192,'Données projet'!$B$192,EJ11+EI12-ER11)))</f>
        <v>11.180339887498953</v>
      </c>
      <c r="EK12" s="17">
        <f>EJ12*VLOOKUP('Données projet'!$B$15,Paramètres!$A$1:$I$89,3,0)*VLOOKUP('Données projet'!$B$15,Paramètres!$A$1:$I$89,5,0)</f>
        <v>6.6858432527243732</v>
      </c>
      <c r="EL12" s="13">
        <f t="shared" si="45"/>
        <v>2.4697902668355676</v>
      </c>
      <c r="EM12" s="20">
        <f t="shared" si="19"/>
        <v>15.946061713233563</v>
      </c>
      <c r="EN12" s="59">
        <f t="shared" si="20"/>
        <v>205.30402046578965</v>
      </c>
      <c r="EO12" s="59">
        <f ca="1">AVERAGE(OFFSET($EN$3,0,0,'Données projet'!$E$15+1,1))-AVERAGE(OFFSET($H$3,0,0,'Données projet'!$E$15+1,1))</f>
        <v>225.2264820414552</v>
      </c>
      <c r="EP12" s="59">
        <f t="shared" si="46"/>
        <v>249.91838548328681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2.7</v>
      </c>
      <c r="FE12" s="12">
        <f>IF('Données projet'!$A$218&gt;35,FE11+FD12-FM11,IF(A12&lt;'Données projet'!$A$218,$FB$205^A12,IF(A12='Données projet'!$A$218,'Données projet'!$B$218,FE11+FD12-FM11)))</f>
        <v>19.419023519771326</v>
      </c>
      <c r="FF12" s="17">
        <f>FE12*VLOOKUP('Données projet'!$B$16,Paramètres!$A$1:$I$89,3,0)*VLOOKUP('Données projet'!$B$16,Paramètres!$A$1:$I$89,5,0)</f>
        <v>10.855234147552173</v>
      </c>
      <c r="FG12" s="13">
        <f t="shared" si="47"/>
        <v>3.790031836884808</v>
      </c>
      <c r="FH12" s="20">
        <f t="shared" si="22"/>
        <v>25.507171589561072</v>
      </c>
      <c r="FI12" s="59">
        <f t="shared" si="23"/>
        <v>214.86513034211714</v>
      </c>
      <c r="FJ12" s="59">
        <f ca="1">AVERAGE(OFFSET($FI$3,0,0,'Données projet'!$E$16+1,1))-AVERAGE(OFFSET($H$3,0,0,'Données projet'!$E$16+1,1))</f>
        <v>549.85684198202534</v>
      </c>
      <c r="FK12" s="59">
        <f t="shared" si="48"/>
        <v>539.63748606275431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9.1999999999999993</v>
      </c>
      <c r="FZ12" s="12">
        <f>IF('Données projet'!$A$244&gt;35,FZ11+FY12-GH11,IF(A12&lt;'Données projet'!$A$244,$FW$205^A12,IF(A12='Données projet'!$A$244,'Données projet'!$B$244,FZ11+FY12-GH11)))</f>
        <v>10.45124479989733</v>
      </c>
      <c r="GA12" s="17">
        <f>FZ12*VLOOKUP('Données projet'!$B$17,Paramètres!$A$1:$I$89,3,0)*VLOOKUP('Données projet'!$B$17,Paramètres!$A$1:$I$89,5,0)</f>
        <v>6.2498443903386036</v>
      </c>
      <c r="GB12" s="13">
        <f t="shared" si="49"/>
        <v>2.3269234366824749</v>
      </c>
      <c r="GC12" s="20">
        <f t="shared" si="25"/>
        <v>14.937870632061715</v>
      </c>
      <c r="GD12" s="59">
        <f t="shared" si="26"/>
        <v>204.29582938461778</v>
      </c>
      <c r="GE12" s="59">
        <f ca="1">AVERAGE(OFFSET($GD$3,0,0,'Données projet'!$E$17+1,1))-AVERAGE(OFFSET($H$3,0,0,'Données projet'!$E$17+1,1))</f>
        <v>495.6641415122013</v>
      </c>
      <c r="GF12" s="59">
        <f t="shared" si="50"/>
        <v>488.90534169400757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9.1999999999999993</v>
      </c>
      <c r="GU12" s="12">
        <f>IF('Données projet'!$A$270&gt;35,GU11+GT12-HC11,IF(A12&lt;'Données projet'!$A$270,$GR$205^A12,IF(A12='Données projet'!$A$270,'Données projet'!$B$270,GU11+GT12-HC11)))</f>
        <v>10.45124479989733</v>
      </c>
      <c r="GV12" s="17">
        <f>GU12*VLOOKUP('Données projet'!$B$18,Paramètres!$A$1:$I$89,3,0)*VLOOKUP('Données projet'!$B$18,Paramètres!$A$1:$I$89,5,0)</f>
        <v>6.2498443903386036</v>
      </c>
      <c r="GW12" s="13">
        <f t="shared" si="51"/>
        <v>2.3269234366824749</v>
      </c>
      <c r="GX12" s="20">
        <f t="shared" si="28"/>
        <v>14.937870632061715</v>
      </c>
      <c r="GY12" s="59">
        <f t="shared" si="29"/>
        <v>204.29582938461778</v>
      </c>
      <c r="GZ12" s="59">
        <f ca="1">AVERAGE(OFFSET($GY$3,0,0,'Données projet'!$E$18+1,1))-AVERAGE(OFFSET($H$3,0,0,'Données projet'!$E$18+1,1))</f>
        <v>-18.333333333333343</v>
      </c>
      <c r="HA12" s="59">
        <f t="shared" si="52"/>
        <v>-18.333333333333343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206.02591806621032</v>
      </c>
      <c r="S13" s="59">
        <f ca="1">AVERAGE(OFFSET($R$3,0,0,'Données projet'!$E$9+1,1))-AVERAGE(OFFSET($H$3,0,0,'Données projet'!$E$9+1,1))</f>
        <v>376.11581547534814</v>
      </c>
      <c r="T13" s="59">
        <f t="shared" si="34"/>
        <v>300.91675649863294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9">
        <f t="shared" si="5"/>
        <v>210.29320032238616</v>
      </c>
      <c r="AN13" s="59">
        <f ca="1">AVERAGE(OFFSET($AM$3,0,0,'Données projet'!$E$10+1,1))-AVERAGE(OFFSET($H$3,0,0,'Données projet'!$E$10+1,1))</f>
        <v>505.38595282220405</v>
      </c>
      <c r="AO13" s="59">
        <f t="shared" si="36"/>
        <v>351.72130415456365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212.63792682107925</v>
      </c>
      <c r="BI13" s="59">
        <f ca="1">AVERAGE(OFFSET($BH$3,0,0,'Données projet'!$E$11+1,1))-AVERAGE(OFFSET($H$3,0,0,'Données projet'!$E$11+1,1))</f>
        <v>394.14657090341535</v>
      </c>
      <c r="BJ13" s="59">
        <f t="shared" si="38"/>
        <v>424.06445894109982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51</v>
      </c>
      <c r="BW13" s="12">
        <f>VLOOKUP(A13,'Données projet'!$A$113:$I$133,9,0)</f>
        <v>5.0999999999999996</v>
      </c>
      <c r="BX13" s="12">
        <f t="array" ref="BX13">INDEX(BW:BW,MIN(IF(ISNUMBER(BW13:BW209),ROW(BW13:BW209),"")))</f>
        <v>5.0999999999999996</v>
      </c>
      <c r="BY13" s="12">
        <f>IF('Données projet'!$A$114&gt;35,BY12+BX13-CG12,IF(A13&lt;'Données projet'!$A$114,$BV$205^A13,IF(A13='Données projet'!$A$114,'Données projet'!$B$114,BY12+BX13-CG12)))</f>
        <v>51</v>
      </c>
      <c r="BZ13" s="13">
        <f>BY13*VLOOKUP('Données projet'!$B$12,Paramètres!$A$1:$I$89,3,0)*VLOOKUP('Données projet'!$B$12,Paramètres!$A$1:$I$89,5,0)</f>
        <v>27.846</v>
      </c>
      <c r="CA13" s="13">
        <f t="shared" si="39"/>
        <v>8.7125341134088217</v>
      </c>
      <c r="CB13" s="20">
        <f t="shared" si="10"/>
        <v>63.672780247520365</v>
      </c>
      <c r="CC13" s="59">
        <f t="shared" si="11"/>
        <v>255.61144223256525</v>
      </c>
      <c r="CD13" s="59">
        <f ca="1">AVERAGE(OFFSET($CC$3,0,0,'Données projet'!$E$12+1,1))-AVERAGE(OFFSET($H$3,0,0,'Données projet'!$E$12+1,1))</f>
        <v>382.09004346384319</v>
      </c>
      <c r="CE13" s="59">
        <f t="shared" si="40"/>
        <v>410.18893995284986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8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0.3</v>
      </c>
      <c r="CJ13" s="16">
        <f>IF(ISNA(VLOOKUP(A13,'Données projet'!$A$113:$I$133,7,0)),0%,VLOOKUP(A13,'Données projet'!$A$113:$I$133,7,0))</f>
        <v>0.5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1.7314855945965917</v>
      </c>
      <c r="CM13" s="21">
        <f>EXP(-LN(2)/2)*CM12+(1-EXP(-LN(2)/2))/(LN(2)/2)*CG13*CJ13*VLOOKUP('Données projet'!$B$12,Paramètres!$A$1:$I$89,3,0)*0.475*44/12</f>
        <v>2.4727953377978014</v>
      </c>
      <c r="CN13" s="22">
        <f t="shared" si="12"/>
        <v>4.2042809323943935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5.8</v>
      </c>
      <c r="CT13" s="12">
        <f>IF('Données projet'!$A$140&gt;35,CT12+CS13-DB12,IF(A13&lt;'Données projet'!$A$140,$CQ$205^A13,IF(A13='Données projet'!$A$140,'Données projet'!$B$140,CT12+CS13-DB12)))</f>
        <v>19.634183025716826</v>
      </c>
      <c r="CU13" s="17">
        <f>CT13*VLOOKUP('Données projet'!$B$13,Paramètres!$A$1:$I$89,3,0)*VLOOKUP('Données projet'!$B$13,Paramètres!$A$1:$I$89,5,0)</f>
        <v>17.152422291266223</v>
      </c>
      <c r="CV13" s="13">
        <f t="shared" si="41"/>
        <v>5.678086989362658</v>
      </c>
      <c r="CW13" s="20">
        <f t="shared" si="13"/>
        <v>39.763136997095295</v>
      </c>
      <c r="CX13" s="59">
        <f t="shared" si="14"/>
        <v>231.70179898214019</v>
      </c>
      <c r="CY13" s="59">
        <f ca="1">AVERAGE(OFFSET($CX$3,0,0,'Données projet'!$E$13+1,1))-AVERAGE(OFFSET($H$3,0,0,'Données projet'!$E$13+1,1))</f>
        <v>363.02374534486341</v>
      </c>
      <c r="CZ13" s="59">
        <f t="shared" si="42"/>
        <v>489.00477393029598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8.0652000000000008</v>
      </c>
      <c r="DQ13" s="13">
        <f t="shared" si="43"/>
        <v>2.9149909035839161</v>
      </c>
      <c r="DR13" s="20">
        <f t="shared" si="16"/>
        <v>19.123832490408656</v>
      </c>
      <c r="DS13" s="59">
        <f t="shared" si="17"/>
        <v>211.06249447545355</v>
      </c>
      <c r="DT13" s="59">
        <f ca="1">AVERAGE(OFFSET($DS$3,0,0,'Données projet'!$E$14+1,1))-AVERAGE(OFFSET($H$3,0,0,'Données projet'!$E$14+1,1))</f>
        <v>368.03281986807173</v>
      </c>
      <c r="DU13" s="59">
        <f t="shared" si="44"/>
        <v>395.83504504492248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0.1075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2.0833333333333335</v>
      </c>
      <c r="EJ13" s="12">
        <f>IF('Données projet'!$A$192&gt;35,EJ12+EI13-ER12,IF(A13&lt;'Données projet'!$A$192,$EG$205^A13,IF(A13='Données projet'!$A$192,'Données projet'!$B$192,EJ12+EI13-ER12)))</f>
        <v>14.620088691064336</v>
      </c>
      <c r="EK13" s="17">
        <f>EJ13*VLOOKUP('Données projet'!$B$15,Paramètres!$A$1:$I$89,3,0)*VLOOKUP('Données projet'!$B$15,Paramètres!$A$1:$I$89,5,0)</f>
        <v>8.7428130372564734</v>
      </c>
      <c r="EL13" s="13">
        <f t="shared" si="45"/>
        <v>3.1303655641596633</v>
      </c>
      <c r="EM13" s="20">
        <f t="shared" si="19"/>
        <v>20.679119397466433</v>
      </c>
      <c r="EN13" s="59">
        <f t="shared" si="20"/>
        <v>212.61778138251131</v>
      </c>
      <c r="EO13" s="59">
        <f ca="1">AVERAGE(OFFSET($EN$3,0,0,'Données projet'!$E$15+1,1))-AVERAGE(OFFSET($H$3,0,0,'Données projet'!$E$15+1,1))</f>
        <v>225.2264820414552</v>
      </c>
      <c r="EP13" s="59">
        <f t="shared" si="46"/>
        <v>249.91838548328681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27</v>
      </c>
      <c r="FC13" s="12">
        <f>VLOOKUP(A13,'Données projet'!$A$217:$I$237,9,0)</f>
        <v>2.7</v>
      </c>
      <c r="FD13" s="12">
        <f t="array" ref="FD13">INDEX(FC:FC,MIN(IF(ISNUMBER(FC13:FC209),ROW(FC13:FC209),"")))</f>
        <v>2.7</v>
      </c>
      <c r="FE13" s="12">
        <f>IF('Données projet'!$A$218&gt;35,FE12+FD13-FM12,IF(A13&lt;'Données projet'!$A$218,$FB$205^A13,IF(A13='Données projet'!$A$218,'Données projet'!$B$218,FE12+FD13-FM12)))</f>
        <v>27</v>
      </c>
      <c r="FF13" s="17">
        <f>FE13*VLOOKUP('Données projet'!$B$16,Paramètres!$A$1:$I$89,3,0)*VLOOKUP('Données projet'!$B$16,Paramètres!$A$1:$I$89,5,0)</f>
        <v>15.093</v>
      </c>
      <c r="FG13" s="13">
        <f t="shared" si="47"/>
        <v>5.0712866613861207</v>
      </c>
      <c r="FH13" s="20">
        <f t="shared" si="22"/>
        <v>35.11946593524749</v>
      </c>
      <c r="FI13" s="59">
        <f t="shared" si="23"/>
        <v>227.05812792029238</v>
      </c>
      <c r="FJ13" s="59">
        <f ca="1">AVERAGE(OFFSET($FI$3,0,0,'Données projet'!$E$16+1,1))-AVERAGE(OFFSET($H$3,0,0,'Données projet'!$E$16+1,1))</f>
        <v>549.85684198202534</v>
      </c>
      <c r="FK13" s="59">
        <f t="shared" si="48"/>
        <v>539.63748606275431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9.1999999999999993</v>
      </c>
      <c r="FZ13" s="12">
        <f>IF('Données projet'!$A$244&gt;35,FZ12+FY13-GH12,IF(A13&lt;'Données projet'!$A$244,$FW$205^A13,IF(A13='Données projet'!$A$244,'Données projet'!$B$244,FZ12+FY13-GH12)))</f>
        <v>13.564659966250527</v>
      </c>
      <c r="GA13" s="17">
        <f>FZ13*VLOOKUP('Données projet'!$B$17,Paramètres!$A$1:$I$89,3,0)*VLOOKUP('Données projet'!$B$17,Paramètres!$A$1:$I$89,5,0)</f>
        <v>8.111666659817816</v>
      </c>
      <c r="GB13" s="13">
        <f t="shared" si="49"/>
        <v>2.9298254368692236</v>
      </c>
      <c r="GC13" s="20">
        <f t="shared" si="25"/>
        <v>19.230598735063261</v>
      </c>
      <c r="GD13" s="59">
        <f t="shared" si="26"/>
        <v>211.16926072010816</v>
      </c>
      <c r="GE13" s="59">
        <f ca="1">AVERAGE(OFFSET($GD$3,0,0,'Données projet'!$E$17+1,1))-AVERAGE(OFFSET($H$3,0,0,'Données projet'!$E$17+1,1))</f>
        <v>495.6641415122013</v>
      </c>
      <c r="GF13" s="59">
        <f t="shared" si="50"/>
        <v>488.90534169400757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9.1999999999999993</v>
      </c>
      <c r="GU13" s="12">
        <f>IF('Données projet'!$A$270&gt;35,GU12+GT13-HC12,IF(A13&lt;'Données projet'!$A$270,$GR$205^A13,IF(A13='Données projet'!$A$270,'Données projet'!$B$270,GU12+GT13-HC12)))</f>
        <v>13.564659966250527</v>
      </c>
      <c r="GV13" s="17">
        <f>GU13*VLOOKUP('Données projet'!$B$18,Paramètres!$A$1:$I$89,3,0)*VLOOKUP('Données projet'!$B$18,Paramètres!$A$1:$I$89,5,0)</f>
        <v>8.111666659817816</v>
      </c>
      <c r="GW13" s="13">
        <f t="shared" si="51"/>
        <v>2.9298254368692236</v>
      </c>
      <c r="GX13" s="20">
        <f t="shared" si="28"/>
        <v>19.230598735063261</v>
      </c>
      <c r="GY13" s="59">
        <f t="shared" si="29"/>
        <v>211.16926072010816</v>
      </c>
      <c r="GZ13" s="59">
        <f ca="1">AVERAGE(OFFSET($GY$3,0,0,'Données projet'!$E$18+1,1))-AVERAGE(OFFSET($H$3,0,0,'Données projet'!$E$18+1,1))</f>
        <v>-18.333333333333343</v>
      </c>
      <c r="HA13" s="59">
        <f t="shared" si="52"/>
        <v>-18.333333333333343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212.49722645475953</v>
      </c>
      <c r="S14" s="59">
        <f ca="1">AVERAGE(OFFSET($R$3,0,0,'Données projet'!$E$9+1,1))-AVERAGE(OFFSET($H$3,0,0,'Données projet'!$E$9+1,1))</f>
        <v>376.11581547534814</v>
      </c>
      <c r="T14" s="59">
        <f t="shared" si="34"/>
        <v>300.91675649863294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9">
        <f t="shared" si="5"/>
        <v>217.09257815700823</v>
      </c>
      <c r="AN14" s="59">
        <f ca="1">AVERAGE(OFFSET($AM$3,0,0,'Données projet'!$E$10+1,1))-AVERAGE(OFFSET($H$3,0,0,'Données projet'!$E$10+1,1))</f>
        <v>505.38595282220405</v>
      </c>
      <c r="AO14" s="59">
        <f t="shared" si="36"/>
        <v>351.72130415456365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18.537480000000002</v>
      </c>
      <c r="BF14" s="13">
        <f t="shared" si="37"/>
        <v>6.0813732490407499</v>
      </c>
      <c r="BG14" s="20">
        <f t="shared" si="7"/>
        <v>42.877836075412638</v>
      </c>
      <c r="BH14" s="59">
        <f t="shared" si="8"/>
        <v>237.37363468452676</v>
      </c>
      <c r="BI14" s="59">
        <f ca="1">AVERAGE(OFFSET($BH$3,0,0,'Données projet'!$E$11+1,1))-AVERAGE(OFFSET($H$3,0,0,'Données projet'!$E$11+1,1))</f>
        <v>394.14657090341535</v>
      </c>
      <c r="BJ14" s="59">
        <f t="shared" si="38"/>
        <v>424.06445894109982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16.7</v>
      </c>
      <c r="BY14" s="12">
        <f>IF('Données projet'!$A$114&gt;35,BY13+BX14-CG13,IF(A14&lt;'Données projet'!$A$114,$BV$205^A14,IF(A14='Données projet'!$A$114,'Données projet'!$B$114,BY13+BX14-CG13)))</f>
        <v>59.7</v>
      </c>
      <c r="BZ14" s="13">
        <f>BY14*VLOOKUP('Données projet'!$B$12,Paramètres!$A$1:$I$89,3,0)*VLOOKUP('Données projet'!$B$12,Paramètres!$A$1:$I$89,5,0)</f>
        <v>32.596200000000003</v>
      </c>
      <c r="CA14" s="13">
        <f t="shared" si="39"/>
        <v>10.013511546777837</v>
      </c>
      <c r="CB14" s="20">
        <f t="shared" si="10"/>
        <v>74.211914277304729</v>
      </c>
      <c r="CC14" s="59">
        <f t="shared" si="11"/>
        <v>268.70771288641885</v>
      </c>
      <c r="CD14" s="59">
        <f ca="1">AVERAGE(OFFSET($CC$3,0,0,'Données projet'!$E$12+1,1))-AVERAGE(OFFSET($H$3,0,0,'Données projet'!$E$12+1,1))</f>
        <v>382.09004346384319</v>
      </c>
      <c r="CE14" s="59">
        <f t="shared" si="40"/>
        <v>410.18893995284986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1.6841380299574777</v>
      </c>
      <c r="CM14" s="21">
        <f>EXP(-LN(2)/2)*CM13+(1-EXP(-LN(2)/2))/(LN(2)/2)*CG14*CJ14*VLOOKUP('Données projet'!$B$12,Paramètres!$A$1:$I$89,3,0)*0.475*44/12</f>
        <v>1.7485303518433049</v>
      </c>
      <c r="CN14" s="22">
        <f t="shared" si="12"/>
        <v>3.4326683818007826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5.8</v>
      </c>
      <c r="CT14" s="12">
        <f>IF('Données projet'!$A$140&gt;35,CT13+CS14-DB13,IF(A14&lt;'Données projet'!$A$140,$CQ$205^A14,IF(A14='Données projet'!$A$140,'Données projet'!$B$140,CT13+CS14-DB13)))</f>
        <v>26.443206626903088</v>
      </c>
      <c r="CU14" s="17">
        <f>CT14*VLOOKUP('Données projet'!$B$13,Paramètres!$A$1:$I$89,3,0)*VLOOKUP('Données projet'!$B$13,Paramètres!$A$1:$I$89,5,0)</f>
        <v>23.100785309262541</v>
      </c>
      <c r="CV14" s="13">
        <f t="shared" si="41"/>
        <v>7.3867373282653306</v>
      </c>
      <c r="CW14" s="20">
        <f t="shared" si="13"/>
        <v>53.099101927027704</v>
      </c>
      <c r="CX14" s="59">
        <f t="shared" si="14"/>
        <v>247.59490053614184</v>
      </c>
      <c r="CY14" s="59">
        <f ca="1">AVERAGE(OFFSET($CX$3,0,0,'Données projet'!$E$13+1,1))-AVERAGE(OFFSET($H$3,0,0,'Données projet'!$E$13+1,1))</f>
        <v>363.02374534486341</v>
      </c>
      <c r="CZ14" s="59">
        <f t="shared" si="42"/>
        <v>489.00477393029598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>
        <f>DO14*VLOOKUP('Données projet'!$B$14,Paramètres!$A$1:$I$89,3,0)*VLOOKUP('Données projet'!$B$14,Paramètres!$A$1:$I$89,5,0)</f>
        <v>17.083560000000002</v>
      </c>
      <c r="DQ14" s="13">
        <f t="shared" si="43"/>
        <v>5.6579397580120663</v>
      </c>
      <c r="DR14" s="20">
        <f t="shared" si="16"/>
        <v>39.608112078537687</v>
      </c>
      <c r="DS14" s="59">
        <f t="shared" si="17"/>
        <v>234.10391068765182</v>
      </c>
      <c r="DT14" s="59">
        <f ca="1">AVERAGE(OFFSET($DS$3,0,0,'Données projet'!$E$14+1,1))-AVERAGE(OFFSET($H$3,0,0,'Données projet'!$E$14+1,1))</f>
        <v>368.03281986807173</v>
      </c>
      <c r="DU14" s="59">
        <f t="shared" si="44"/>
        <v>395.83504504492248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2.0833333333333335</v>
      </c>
      <c r="EJ14" s="12">
        <f>IF('Données projet'!$A$192&gt;35,EJ13+EI14-ER13,IF(A14&lt;'Données projet'!$A$192,$EG$205^A14,IF(A14='Données projet'!$A$192,'Données projet'!$B$192,EJ13+EI14-ER13)))</f>
        <v>19.118112283293257</v>
      </c>
      <c r="EK14" s="17">
        <f>EJ14*VLOOKUP('Données projet'!$B$15,Paramètres!$A$1:$I$89,3,0)*VLOOKUP('Données projet'!$B$15,Paramètres!$A$1:$I$89,5,0)</f>
        <v>11.432631145409369</v>
      </c>
      <c r="EL14" s="13">
        <f t="shared" si="45"/>
        <v>3.9676197193180758</v>
      </c>
      <c r="EM14" s="20">
        <f t="shared" si="19"/>
        <v>26.822103589400299</v>
      </c>
      <c r="EN14" s="59">
        <f t="shared" si="20"/>
        <v>221.31790219851445</v>
      </c>
      <c r="EO14" s="59">
        <f ca="1">AVERAGE(OFFSET($EN$3,0,0,'Données projet'!$E$15+1,1))-AVERAGE(OFFSET($H$3,0,0,'Données projet'!$E$15+1,1))</f>
        <v>225.2264820414552</v>
      </c>
      <c r="EP14" s="59">
        <f t="shared" si="46"/>
        <v>249.91838548328681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20.100000000000001</v>
      </c>
      <c r="FE14" s="12">
        <f>IF('Données projet'!$A$218&gt;35,FE13+FD14-FM13,IF(A14&lt;'Données projet'!$A$218,$FB$205^A14,IF(A14='Données projet'!$A$218,'Données projet'!$B$218,FE13+FD14-FM13)))</f>
        <v>47.1</v>
      </c>
      <c r="FF14" s="17">
        <f>FE14*VLOOKUP('Données projet'!$B$16,Paramètres!$A$1:$I$89,3,0)*VLOOKUP('Données projet'!$B$16,Paramètres!$A$1:$I$89,5,0)</f>
        <v>26.328900000000001</v>
      </c>
      <c r="FG14" s="13">
        <f t="shared" si="47"/>
        <v>8.2917540554735094</v>
      </c>
      <c r="FH14" s="20">
        <f t="shared" si="22"/>
        <v>60.297639146616369</v>
      </c>
      <c r="FI14" s="59">
        <f t="shared" si="23"/>
        <v>254.79343775573051</v>
      </c>
      <c r="FJ14" s="59">
        <f ca="1">AVERAGE(OFFSET($FI$3,0,0,'Données projet'!$E$16+1,1))-AVERAGE(OFFSET($H$3,0,0,'Données projet'!$E$16+1,1))</f>
        <v>549.85684198202534</v>
      </c>
      <c r="FK14" s="59">
        <f t="shared" si="48"/>
        <v>539.63748606275431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9.1999999999999993</v>
      </c>
      <c r="FZ14" s="12">
        <f>IF('Données projet'!$A$244&gt;35,FZ13+FY14-GH13,IF(A14&lt;'Données projet'!$A$244,$FW$205^A14,IF(A14='Données projet'!$A$244,'Données projet'!$B$244,FZ13+FY14-GH13)))</f>
        <v>17.605558335195376</v>
      </c>
      <c r="GA14" s="17">
        <f>FZ14*VLOOKUP('Données projet'!$B$17,Paramètres!$A$1:$I$89,3,0)*VLOOKUP('Données projet'!$B$17,Paramètres!$A$1:$I$89,5,0)</f>
        <v>10.528123884446835</v>
      </c>
      <c r="GB14" s="13">
        <f t="shared" si="49"/>
        <v>3.6889383445998032</v>
      </c>
      <c r="GC14" s="20">
        <f t="shared" si="25"/>
        <v>24.761383382256227</v>
      </c>
      <c r="GD14" s="59">
        <f t="shared" si="26"/>
        <v>219.25718199137037</v>
      </c>
      <c r="GE14" s="59">
        <f ca="1">AVERAGE(OFFSET($GD$3,0,0,'Données projet'!$E$17+1,1))-AVERAGE(OFFSET($H$3,0,0,'Données projet'!$E$17+1,1))</f>
        <v>495.6641415122013</v>
      </c>
      <c r="GF14" s="59">
        <f t="shared" si="50"/>
        <v>488.90534169400757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9.1999999999999993</v>
      </c>
      <c r="GU14" s="12">
        <f>IF('Données projet'!$A$270&gt;35,GU13+GT14-HC13,IF(A14&lt;'Données projet'!$A$270,$GR$205^A14,IF(A14='Données projet'!$A$270,'Données projet'!$B$270,GU13+GT14-HC13)))</f>
        <v>17.605558335195376</v>
      </c>
      <c r="GV14" s="17">
        <f>GU14*VLOOKUP('Données projet'!$B$18,Paramètres!$A$1:$I$89,3,0)*VLOOKUP('Données projet'!$B$18,Paramètres!$A$1:$I$89,5,0)</f>
        <v>10.528123884446835</v>
      </c>
      <c r="GW14" s="13">
        <f t="shared" si="51"/>
        <v>3.6889383445998032</v>
      </c>
      <c r="GX14" s="20">
        <f t="shared" si="28"/>
        <v>24.761383382256227</v>
      </c>
      <c r="GY14" s="59">
        <f t="shared" si="29"/>
        <v>219.25718199137037</v>
      </c>
      <c r="GZ14" s="59">
        <f ca="1">AVERAGE(OFFSET($GY$3,0,0,'Données projet'!$E$18+1,1))-AVERAGE(OFFSET($H$3,0,0,'Données projet'!$E$18+1,1))</f>
        <v>-18.333333333333343</v>
      </c>
      <c r="HA14" s="59">
        <f t="shared" si="52"/>
        <v>-18.333333333333343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220.03684505695335</v>
      </c>
      <c r="S15" s="59">
        <f ca="1">AVERAGE(OFFSET($R$3,0,0,'Données projet'!$E$9+1,1))-AVERAGE(OFFSET($H$3,0,0,'Données projet'!$E$9+1,1))</f>
        <v>376.11581547534814</v>
      </c>
      <c r="T15" s="59">
        <f t="shared" si="34"/>
        <v>300.91675649863294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9">
        <f t="shared" si="5"/>
        <v>224.85264818290764</v>
      </c>
      <c r="AN15" s="59">
        <f ca="1">AVERAGE(OFFSET($AM$3,0,0,'Données projet'!$E$10+1,1))-AVERAGE(OFFSET($H$3,0,0,'Données projet'!$E$10+1,1))</f>
        <v>505.38595282220405</v>
      </c>
      <c r="AO15" s="59">
        <f t="shared" si="36"/>
        <v>351.72130415456365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28.323360000000005</v>
      </c>
      <c r="BF15" s="13">
        <f t="shared" si="37"/>
        <v>8.8443757631773217</v>
      </c>
      <c r="BG15" s="20">
        <f t="shared" si="7"/>
        <v>64.733806454200504</v>
      </c>
      <c r="BH15" s="59">
        <f t="shared" si="8"/>
        <v>261.76358390693338</v>
      </c>
      <c r="BI15" s="59">
        <f ca="1">AVERAGE(OFFSET($BH$3,0,0,'Données projet'!$E$11+1,1))-AVERAGE(OFFSET($H$3,0,0,'Données projet'!$E$11+1,1))</f>
        <v>394.14657090341535</v>
      </c>
      <c r="BJ15" s="59">
        <f t="shared" si="38"/>
        <v>424.06445894109982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16.7</v>
      </c>
      <c r="BY15" s="12">
        <f>IF('Données projet'!$A$114&gt;35,BY14+BX15-CG14,IF(A15&lt;'Données projet'!$A$114,$BV$205^A15,IF(A15='Données projet'!$A$114,'Données projet'!$B$114,BY14+BX15-CG14)))</f>
        <v>76.400000000000006</v>
      </c>
      <c r="BZ15" s="13">
        <f>BY15*VLOOKUP('Données projet'!$B$12,Paramètres!$A$1:$I$89,3,0)*VLOOKUP('Données projet'!$B$12,Paramètres!$A$1:$I$89,5,0)</f>
        <v>41.714400000000005</v>
      </c>
      <c r="CA15" s="13">
        <f t="shared" si="39"/>
        <v>12.451933011137459</v>
      </c>
      <c r="CB15" s="20">
        <f t="shared" si="10"/>
        <v>94.339696661064423</v>
      </c>
      <c r="CC15" s="59">
        <f t="shared" si="11"/>
        <v>291.36947411379731</v>
      </c>
      <c r="CD15" s="59">
        <f ca="1">AVERAGE(OFFSET($CC$3,0,0,'Données projet'!$E$12+1,1))-AVERAGE(OFFSET($H$3,0,0,'Données projet'!$E$12+1,1))</f>
        <v>382.09004346384319</v>
      </c>
      <c r="CE15" s="59">
        <f t="shared" si="40"/>
        <v>410.18893995284986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1.6380851869633206</v>
      </c>
      <c r="CM15" s="21">
        <f>EXP(-LN(2)/2)*CM14+(1-EXP(-LN(2)/2))/(LN(2)/2)*CG15*CJ15*VLOOKUP('Données projet'!$B$12,Paramètres!$A$1:$I$89,3,0)*0.475*44/12</f>
        <v>1.2363976688989009</v>
      </c>
      <c r="CN15" s="22">
        <f t="shared" si="12"/>
        <v>2.8744828558622215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5.8</v>
      </c>
      <c r="CT15" s="12">
        <f>IF('Données projet'!$A$140&gt;35,CT14+CS15-DB14,IF(A15&lt;'Données projet'!$A$140,$CQ$205^A15,IF(A15='Données projet'!$A$140,'Données projet'!$B$140,CT14+CS15-DB14)))</f>
        <v>35.613561093793592</v>
      </c>
      <c r="CU15" s="17">
        <f>CT15*VLOOKUP('Données projet'!$B$13,Paramètres!$A$1:$I$89,3,0)*VLOOKUP('Données projet'!$B$13,Paramètres!$A$1:$I$89,5,0)</f>
        <v>31.112006971538086</v>
      </c>
      <c r="CV15" s="13">
        <f t="shared" si="41"/>
        <v>9.6095548481396289</v>
      </c>
      <c r="CW15" s="20">
        <f t="shared" si="13"/>
        <v>70.9233868359387</v>
      </c>
      <c r="CX15" s="59">
        <f t="shared" si="14"/>
        <v>267.95316428867159</v>
      </c>
      <c r="CY15" s="59">
        <f ca="1">AVERAGE(OFFSET($CX$3,0,0,'Données projet'!$E$13+1,1))-AVERAGE(OFFSET($H$3,0,0,'Données projet'!$E$13+1,1))</f>
        <v>363.02374534486341</v>
      </c>
      <c r="CZ15" s="59">
        <f t="shared" si="42"/>
        <v>489.00477393029598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>
        <f>DO15*VLOOKUP('Données projet'!$B$14,Paramètres!$A$1:$I$89,3,0)*VLOOKUP('Données projet'!$B$14,Paramètres!$A$1:$I$89,5,0)</f>
        <v>26.10192</v>
      </c>
      <c r="DQ15" s="13">
        <f t="shared" si="43"/>
        <v>8.2285600991803172</v>
      </c>
      <c r="DR15" s="20">
        <f t="shared" si="16"/>
        <v>59.792252839405712</v>
      </c>
      <c r="DS15" s="59">
        <f t="shared" si="17"/>
        <v>256.82203029213861</v>
      </c>
      <c r="DT15" s="59">
        <f ca="1">AVERAGE(OFFSET($DS$3,0,0,'Données projet'!$E$14+1,1))-AVERAGE(OFFSET($H$3,0,0,'Données projet'!$E$14+1,1))</f>
        <v>368.03281986807173</v>
      </c>
      <c r="DU15" s="59">
        <f t="shared" si="44"/>
        <v>395.83504504492248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>
        <f>VLOOKUP(A15,'Données projet'!$A$191:$I$211,2,0)</f>
        <v>25</v>
      </c>
      <c r="EH15" s="12">
        <f>VLOOKUP(A15,'Données projet'!$A$191:$I$211,9,0)</f>
        <v>2.0833333333333335</v>
      </c>
      <c r="EI15" s="12">
        <f t="array" ref="EI15">INDEX(EH:EH,MIN(IF(ISNUMBER(EH15:EH211),ROW(EH15:EH211),"")))</f>
        <v>2.0833333333333335</v>
      </c>
      <c r="EJ15" s="12">
        <f>IF('Données projet'!$A$192&gt;35,EJ14+EI15-ER14,IF(A15&lt;'Données projet'!$A$192,$EG$205^A15,IF(A15='Données projet'!$A$192,'Données projet'!$B$192,EJ14+EI15-ER14)))</f>
        <v>25</v>
      </c>
      <c r="EK15" s="17">
        <f>EJ15*VLOOKUP('Données projet'!$B$15,Paramètres!$A$1:$I$89,3,0)*VLOOKUP('Données projet'!$B$15,Paramètres!$A$1:$I$89,5,0)</f>
        <v>14.950000000000001</v>
      </c>
      <c r="EL15" s="13">
        <f t="shared" si="45"/>
        <v>5.0288076310817473</v>
      </c>
      <c r="EM15" s="20">
        <f t="shared" si="19"/>
        <v>34.796423290800711</v>
      </c>
      <c r="EN15" s="59">
        <f t="shared" si="20"/>
        <v>231.82620074353358</v>
      </c>
      <c r="EO15" s="59">
        <f ca="1">AVERAGE(OFFSET($EN$3,0,0,'Données projet'!$E$15+1,1))-AVERAGE(OFFSET($H$3,0,0,'Données projet'!$E$15+1,1))</f>
        <v>225.2264820414552</v>
      </c>
      <c r="EP15" s="59">
        <f t="shared" si="46"/>
        <v>249.91838548328681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20.100000000000001</v>
      </c>
      <c r="FE15" s="12">
        <f>IF('Données projet'!$A$218&gt;35,FE14+FD15-FM14,IF(A15&lt;'Données projet'!$A$218,$FB$205^A15,IF(A15='Données projet'!$A$218,'Données projet'!$B$218,FE14+FD15-FM14)))</f>
        <v>67.2</v>
      </c>
      <c r="FF15" s="17">
        <f>FE15*VLOOKUP('Données projet'!$B$16,Paramètres!$A$1:$I$89,3,0)*VLOOKUP('Données projet'!$B$16,Paramètres!$A$1:$I$89,5,0)</f>
        <v>37.564800000000005</v>
      </c>
      <c r="FG15" s="13">
        <f t="shared" si="47"/>
        <v>11.350856362116868</v>
      </c>
      <c r="FH15" s="20">
        <f t="shared" si="22"/>
        <v>85.194768164020218</v>
      </c>
      <c r="FI15" s="59">
        <f t="shared" si="23"/>
        <v>282.22454561675306</v>
      </c>
      <c r="FJ15" s="59">
        <f ca="1">AVERAGE(OFFSET($FI$3,0,0,'Données projet'!$E$16+1,1))-AVERAGE(OFFSET($H$3,0,0,'Données projet'!$E$16+1,1))</f>
        <v>549.85684198202534</v>
      </c>
      <c r="FK15" s="59">
        <f t="shared" si="48"/>
        <v>539.63748606275431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9.1999999999999993</v>
      </c>
      <c r="FZ15" s="12">
        <f>IF('Données projet'!$A$244&gt;35,FZ14+FY15-GH14,IF(A15&lt;'Données projet'!$A$244,$FW$205^A15,IF(A15='Données projet'!$A$244,'Données projet'!$B$244,FZ14+FY15-GH14)))</f>
        <v>22.850236206816152</v>
      </c>
      <c r="GA15" s="17">
        <f>FZ15*VLOOKUP('Données projet'!$B$17,Paramètres!$A$1:$I$89,3,0)*VLOOKUP('Données projet'!$B$17,Paramètres!$A$1:$I$89,5,0)</f>
        <v>13.66444125167606</v>
      </c>
      <c r="GB15" s="13">
        <f t="shared" si="49"/>
        <v>4.6447361467379347</v>
      </c>
      <c r="GC15" s="20">
        <f t="shared" si="25"/>
        <v>31.888483968904367</v>
      </c>
      <c r="GD15" s="59">
        <f t="shared" si="26"/>
        <v>228.91826142163723</v>
      </c>
      <c r="GE15" s="59">
        <f ca="1">AVERAGE(OFFSET($GD$3,0,0,'Données projet'!$E$17+1,1))-AVERAGE(OFFSET($H$3,0,0,'Données projet'!$E$17+1,1))</f>
        <v>495.6641415122013</v>
      </c>
      <c r="GF15" s="59">
        <f t="shared" si="50"/>
        <v>488.90534169400757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9.1999999999999993</v>
      </c>
      <c r="GU15" s="12">
        <f>IF('Données projet'!$A$270&gt;35,GU14+GT15-HC14,IF(A15&lt;'Données projet'!$A$270,$GR$205^A15,IF(A15='Données projet'!$A$270,'Données projet'!$B$270,GU14+GT15-HC14)))</f>
        <v>22.850236206816152</v>
      </c>
      <c r="GV15" s="17">
        <f>GU15*VLOOKUP('Données projet'!$B$18,Paramètres!$A$1:$I$89,3,0)*VLOOKUP('Données projet'!$B$18,Paramètres!$A$1:$I$89,5,0)</f>
        <v>13.66444125167606</v>
      </c>
      <c r="GW15" s="13">
        <f t="shared" si="51"/>
        <v>4.6447361467379347</v>
      </c>
      <c r="GX15" s="20">
        <f t="shared" si="28"/>
        <v>31.888483968904367</v>
      </c>
      <c r="GY15" s="59">
        <f t="shared" si="29"/>
        <v>228.91826142163723</v>
      </c>
      <c r="GZ15" s="59">
        <f ca="1">AVERAGE(OFFSET($GY$3,0,0,'Données projet'!$E$18+1,1))-AVERAGE(OFFSET($H$3,0,0,'Données projet'!$E$18+1,1))</f>
        <v>-18.333333333333343</v>
      </c>
      <c r="HA15" s="59">
        <f t="shared" si="52"/>
        <v>-18.333333333333343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228.95054721438314</v>
      </c>
      <c r="S16" s="59">
        <f ca="1">AVERAGE(OFFSET($R$3,0,0,'Données projet'!$E$9+1,1))-AVERAGE(OFFSET($H$3,0,0,'Données projet'!$E$9+1,1))</f>
        <v>376.11581547534814</v>
      </c>
      <c r="T16" s="59">
        <f t="shared" si="34"/>
        <v>300.91675649863294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9">
        <f t="shared" si="5"/>
        <v>233.80270813005566</v>
      </c>
      <c r="AN16" s="59">
        <f ca="1">AVERAGE(OFFSET($AM$3,0,0,'Données projet'!$E$10+1,1))-AVERAGE(OFFSET($H$3,0,0,'Données projet'!$E$10+1,1))</f>
        <v>505.38595282220405</v>
      </c>
      <c r="AO16" s="59">
        <f t="shared" si="36"/>
        <v>351.72130415456365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38.109240000000007</v>
      </c>
      <c r="BF16" s="13">
        <f t="shared" si="37"/>
        <v>11.496097202870512</v>
      </c>
      <c r="BG16" s="20">
        <f t="shared" si="7"/>
        <v>86.395962294999478</v>
      </c>
      <c r="BH16" s="59">
        <f t="shared" si="8"/>
        <v>285.9369625466183</v>
      </c>
      <c r="BI16" s="59">
        <f ca="1">AVERAGE(OFFSET($BH$3,0,0,'Données projet'!$E$11+1,1))-AVERAGE(OFFSET($H$3,0,0,'Données projet'!$E$11+1,1))</f>
        <v>394.14657090341535</v>
      </c>
      <c r="BJ16" s="59">
        <f t="shared" si="38"/>
        <v>424.06445894109982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16.7</v>
      </c>
      <c r="BY16" s="12">
        <f>IF('Données projet'!$A$114&gt;35,BY15+BX16-CG15,IF(A16&lt;'Données projet'!$A$114,$BV$205^A16,IF(A16='Données projet'!$A$114,'Données projet'!$B$114,BY15+BX16-CG15)))</f>
        <v>93.100000000000009</v>
      </c>
      <c r="BZ16" s="13">
        <f>BY16*VLOOKUP('Données projet'!$B$12,Paramètres!$A$1:$I$89,3,0)*VLOOKUP('Données projet'!$B$12,Paramètres!$A$1:$I$89,5,0)</f>
        <v>50.832600000000006</v>
      </c>
      <c r="CA16" s="13">
        <f t="shared" si="39"/>
        <v>14.828575135945847</v>
      </c>
      <c r="CB16" s="20">
        <f t="shared" si="10"/>
        <v>114.35988002843902</v>
      </c>
      <c r="CC16" s="59">
        <f t="shared" si="11"/>
        <v>313.90088028005783</v>
      </c>
      <c r="CD16" s="59">
        <f ca="1">AVERAGE(OFFSET($CC$3,0,0,'Données projet'!$E$12+1,1))-AVERAGE(OFFSET($H$3,0,0,'Données projet'!$E$12+1,1))</f>
        <v>382.09004346384319</v>
      </c>
      <c r="CE16" s="59">
        <f t="shared" si="40"/>
        <v>410.18893995284986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1.5932916613826524</v>
      </c>
      <c r="CM16" s="21">
        <f>EXP(-LN(2)/2)*CM15+(1-EXP(-LN(2)/2))/(LN(2)/2)*CG16*CJ16*VLOOKUP('Données projet'!$B$12,Paramètres!$A$1:$I$89,3,0)*0.475*44/12</f>
        <v>0.87426517592165265</v>
      </c>
      <c r="CN16" s="22">
        <f t="shared" si="12"/>
        <v>2.4675568373043051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5.8</v>
      </c>
      <c r="CT16" s="12">
        <f>IF('Données projet'!$A$140&gt;35,CT15+CS16-DB15,IF(A16&lt;'Données projet'!$A$140,$CQ$205^A16,IF(A16='Données projet'!$A$140,'Données projet'!$B$140,CT15+CS16-DB15)))</f>
        <v>47.964142612378375</v>
      </c>
      <c r="CU16" s="17">
        <f>CT16*VLOOKUP('Données projet'!$B$13,Paramètres!$A$1:$I$89,3,0)*VLOOKUP('Données projet'!$B$13,Paramètres!$A$1:$I$89,5,0)</f>
        <v>41.901474986173753</v>
      </c>
      <c r="CV16" s="13">
        <f t="shared" si="41"/>
        <v>12.501262773491545</v>
      </c>
      <c r="CW16" s="20">
        <f t="shared" si="13"/>
        <v>94.751434931417066</v>
      </c>
      <c r="CX16" s="59">
        <f t="shared" si="14"/>
        <v>294.29243518303588</v>
      </c>
      <c r="CY16" s="59">
        <f ca="1">AVERAGE(OFFSET($CX$3,0,0,'Données projet'!$E$13+1,1))-AVERAGE(OFFSET($H$3,0,0,'Données projet'!$E$13+1,1))</f>
        <v>363.02374534486341</v>
      </c>
      <c r="CZ16" s="59">
        <f t="shared" si="42"/>
        <v>489.00477393029598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>
        <f>DO16*VLOOKUP('Données projet'!$B$14,Paramètres!$A$1:$I$89,3,0)*VLOOKUP('Données projet'!$B$14,Paramètres!$A$1:$I$89,5,0)</f>
        <v>35.120280000000001</v>
      </c>
      <c r="DQ16" s="13">
        <f t="shared" si="43"/>
        <v>10.695647637867344</v>
      </c>
      <c r="DR16" s="20">
        <f t="shared" si="16"/>
        <v>79.796073969285615</v>
      </c>
      <c r="DS16" s="59">
        <f t="shared" si="17"/>
        <v>279.33707422090441</v>
      </c>
      <c r="DT16" s="59">
        <f ca="1">AVERAGE(OFFSET($DS$3,0,0,'Données projet'!$E$14+1,1))-AVERAGE(OFFSET($H$3,0,0,'Données projet'!$E$14+1,1))</f>
        <v>368.03281986807173</v>
      </c>
      <c r="DU16" s="59">
        <f t="shared" si="44"/>
        <v>395.83504504492248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8.5</v>
      </c>
      <c r="EJ16" s="12">
        <f>IF('Données projet'!$A$192&gt;35,EJ15+EI16-ER15,IF(A16&lt;'Données projet'!$A$192,$EG$205^A16,IF(A16='Données projet'!$A$192,'Données projet'!$B$192,EJ15+EI16-ER15)))</f>
        <v>33.5</v>
      </c>
      <c r="EK16" s="17">
        <f>EJ16*VLOOKUP('Données projet'!$B$15,Paramètres!$A$1:$I$89,3,0)*VLOOKUP('Données projet'!$B$15,Paramètres!$A$1:$I$89,5,0)</f>
        <v>20.033000000000001</v>
      </c>
      <c r="EL16" s="13">
        <f t="shared" si="45"/>
        <v>6.5129061865703672</v>
      </c>
      <c r="EM16" s="20">
        <f t="shared" si="19"/>
        <v>46.234119941610061</v>
      </c>
      <c r="EN16" s="59">
        <f t="shared" si="20"/>
        <v>245.77512019322887</v>
      </c>
      <c r="EO16" s="59">
        <f ca="1">AVERAGE(OFFSET($EN$3,0,0,'Données projet'!$E$15+1,1))-AVERAGE(OFFSET($H$3,0,0,'Données projet'!$E$15+1,1))</f>
        <v>225.2264820414552</v>
      </c>
      <c r="EP16" s="59">
        <f t="shared" si="46"/>
        <v>249.91838548328681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20.100000000000001</v>
      </c>
      <c r="FE16" s="12">
        <f>IF('Données projet'!$A$218&gt;35,FE15+FD16-FM15,IF(A16&lt;'Données projet'!$A$218,$FB$205^A16,IF(A16='Données projet'!$A$218,'Données projet'!$B$218,FE15+FD16-FM15)))</f>
        <v>87.300000000000011</v>
      </c>
      <c r="FF16" s="17">
        <f>FE16*VLOOKUP('Données projet'!$B$16,Paramètres!$A$1:$I$89,3,0)*VLOOKUP('Données projet'!$B$16,Paramètres!$A$1:$I$89,5,0)</f>
        <v>48.800700000000006</v>
      </c>
      <c r="FG16" s="13">
        <f t="shared" si="47"/>
        <v>14.303598928763776</v>
      </c>
      <c r="FH16" s="20">
        <f t="shared" si="22"/>
        <v>109.90665396759691</v>
      </c>
      <c r="FI16" s="59">
        <f t="shared" si="23"/>
        <v>309.44765421921574</v>
      </c>
      <c r="FJ16" s="59">
        <f ca="1">AVERAGE(OFFSET($FI$3,0,0,'Données projet'!$E$16+1,1))-AVERAGE(OFFSET($H$3,0,0,'Données projet'!$E$16+1,1))</f>
        <v>549.85684198202534</v>
      </c>
      <c r="FK16" s="59">
        <f t="shared" si="48"/>
        <v>539.63748606275431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9.1999999999999993</v>
      </c>
      <c r="FZ16" s="12">
        <f>IF('Données projet'!$A$244&gt;35,FZ15+FY16-GH15,IF(A16&lt;'Données projet'!$A$244,$FW$205^A16,IF(A16='Données projet'!$A$244,'Données projet'!$B$244,FZ15+FY16-GH15)))</f>
        <v>29.657298267189407</v>
      </c>
      <c r="GA16" s="17">
        <f>FZ16*VLOOKUP('Données projet'!$B$17,Paramètres!$A$1:$I$89,3,0)*VLOOKUP('Données projet'!$B$17,Paramètres!$A$1:$I$89,5,0)</f>
        <v>17.735064363779266</v>
      </c>
      <c r="GB16" s="13">
        <f t="shared" si="49"/>
        <v>5.8481795729644723</v>
      </c>
      <c r="GC16" s="20">
        <f t="shared" si="25"/>
        <v>41.074149856495346</v>
      </c>
      <c r="GD16" s="59">
        <f t="shared" si="26"/>
        <v>240.61515010811416</v>
      </c>
      <c r="GE16" s="59">
        <f ca="1">AVERAGE(OFFSET($GD$3,0,0,'Données projet'!$E$17+1,1))-AVERAGE(OFFSET($H$3,0,0,'Données projet'!$E$17+1,1))</f>
        <v>495.6641415122013</v>
      </c>
      <c r="GF16" s="59">
        <f t="shared" si="50"/>
        <v>488.90534169400757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9.1999999999999993</v>
      </c>
      <c r="GU16" s="12">
        <f>IF('Données projet'!$A$270&gt;35,GU15+GT16-HC15,IF(A16&lt;'Données projet'!$A$270,$GR$205^A16,IF(A16='Données projet'!$A$270,'Données projet'!$B$270,GU15+GT16-HC15)))</f>
        <v>29.657298267189407</v>
      </c>
      <c r="GV16" s="17">
        <f>GU16*VLOOKUP('Données projet'!$B$18,Paramètres!$A$1:$I$89,3,0)*VLOOKUP('Données projet'!$B$18,Paramètres!$A$1:$I$89,5,0)</f>
        <v>17.735064363779266</v>
      </c>
      <c r="GW16" s="13">
        <f t="shared" si="51"/>
        <v>5.8481795729644723</v>
      </c>
      <c r="GX16" s="20">
        <f t="shared" si="28"/>
        <v>41.074149856495346</v>
      </c>
      <c r="GY16" s="59">
        <f t="shared" si="29"/>
        <v>240.61515010811416</v>
      </c>
      <c r="GZ16" s="59">
        <f ca="1">AVERAGE(OFFSET($GY$3,0,0,'Données projet'!$E$18+1,1))-AVERAGE(OFFSET($H$3,0,0,'Données projet'!$E$18+1,1))</f>
        <v>-18.333333333333343</v>
      </c>
      <c r="HA16" s="59">
        <f t="shared" si="52"/>
        <v>-18.333333333333343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239.62979927584371</v>
      </c>
      <c r="S17" s="59">
        <f ca="1">AVERAGE(OFFSET($R$3,0,0,'Données projet'!$E$9+1,1))-AVERAGE(OFFSET($H$3,0,0,'Données projet'!$E$9+1,1))</f>
        <v>376.11581547534814</v>
      </c>
      <c r="T17" s="59">
        <f t="shared" si="34"/>
        <v>300.91675649863294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9">
        <f t="shared" si="5"/>
        <v>244.22545806894149</v>
      </c>
      <c r="AN17" s="59">
        <f ca="1">AVERAGE(OFFSET($AM$3,0,0,'Données projet'!$E$10+1,1))-AVERAGE(OFFSET($H$3,0,0,'Données projet'!$E$10+1,1))</f>
        <v>505.38595282220405</v>
      </c>
      <c r="AO17" s="59">
        <f t="shared" si="36"/>
        <v>351.72130415456365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47.895120000000006</v>
      </c>
      <c r="BF17" s="13">
        <f t="shared" si="37"/>
        <v>14.068812032564205</v>
      </c>
      <c r="BG17" s="20">
        <f t="shared" si="7"/>
        <v>107.92051495671599</v>
      </c>
      <c r="BH17" s="59">
        <f t="shared" si="8"/>
        <v>309.95037672898917</v>
      </c>
      <c r="BI17" s="59">
        <f ca="1">AVERAGE(OFFSET($BH$3,0,0,'Données projet'!$E$11+1,1))-AVERAGE(OFFSET($H$3,0,0,'Données projet'!$E$11+1,1))</f>
        <v>394.14657090341535</v>
      </c>
      <c r="BJ17" s="59">
        <f t="shared" si="38"/>
        <v>424.06445894109982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16.7</v>
      </c>
      <c r="BY17" s="12">
        <f>IF('Données projet'!$A$114&gt;35,BY16+BX17-CG16,IF(A17&lt;'Données projet'!$A$114,$BV$205^A17,IF(A17='Données projet'!$A$114,'Données projet'!$B$114,BY16+BX17-CG16)))</f>
        <v>109.80000000000001</v>
      </c>
      <c r="BZ17" s="13">
        <f>BY17*VLOOKUP('Données projet'!$B$12,Paramètres!$A$1:$I$89,3,0)*VLOOKUP('Données projet'!$B$12,Paramètres!$A$1:$I$89,5,0)</f>
        <v>59.950800000000001</v>
      </c>
      <c r="CA17" s="13">
        <f t="shared" si="39"/>
        <v>17.155829115013216</v>
      </c>
      <c r="CB17" s="20">
        <f t="shared" si="10"/>
        <v>134.29404570864804</v>
      </c>
      <c r="CC17" s="59">
        <f t="shared" si="11"/>
        <v>336.32390748092121</v>
      </c>
      <c r="CD17" s="59">
        <f ca="1">AVERAGE(OFFSET($CC$3,0,0,'Données projet'!$E$12+1,1))-AVERAGE(OFFSET($H$3,0,0,'Données projet'!$E$12+1,1))</f>
        <v>382.09004346384319</v>
      </c>
      <c r="CE17" s="59">
        <f t="shared" si="40"/>
        <v>410.18893995284986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1.5497230171145768</v>
      </c>
      <c r="CM17" s="21">
        <f>EXP(-LN(2)/2)*CM16+(1-EXP(-LN(2)/2))/(LN(2)/2)*CG17*CJ17*VLOOKUP('Données projet'!$B$12,Paramètres!$A$1:$I$89,3,0)*0.475*44/12</f>
        <v>0.61819883444945056</v>
      </c>
      <c r="CN17" s="22">
        <f t="shared" si="12"/>
        <v>2.1679218515640275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5.8</v>
      </c>
      <c r="CT17" s="12">
        <f>IF('Données projet'!$A$140&gt;35,CT16+CS17-DB16,IF(A17&lt;'Données projet'!$A$140,$CQ$205^A17,IF(A17='Données projet'!$A$140,'Données projet'!$B$140,CT16+CS17-DB16)))</f>
        <v>64.597835933388069</v>
      </c>
      <c r="CU17" s="17">
        <f>CT17*VLOOKUP('Données projet'!$B$13,Paramètres!$A$1:$I$89,3,0)*VLOOKUP('Données projet'!$B$13,Paramètres!$A$1:$I$89,5,0)</f>
        <v>56.432669471407827</v>
      </c>
      <c r="CV17" s="13">
        <f t="shared" si="41"/>
        <v>16.263143652501352</v>
      </c>
      <c r="CW17" s="20">
        <f t="shared" si="13"/>
        <v>126.61187452414181</v>
      </c>
      <c r="CX17" s="59">
        <f t="shared" si="14"/>
        <v>328.64173629641499</v>
      </c>
      <c r="CY17" s="59">
        <f ca="1">AVERAGE(OFFSET($CX$3,0,0,'Données projet'!$E$13+1,1))-AVERAGE(OFFSET($H$3,0,0,'Données projet'!$E$13+1,1))</f>
        <v>363.02374534486341</v>
      </c>
      <c r="CZ17" s="59">
        <f t="shared" si="42"/>
        <v>489.00477393029598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>
        <f>DO17*VLOOKUP('Données projet'!$B$14,Paramètres!$A$1:$I$89,3,0)*VLOOKUP('Données projet'!$B$14,Paramètres!$A$1:$I$89,5,0)</f>
        <v>44.138640000000002</v>
      </c>
      <c r="DQ17" s="13">
        <f t="shared" si="43"/>
        <v>13.089229634046784</v>
      </c>
      <c r="DR17" s="20">
        <f t="shared" si="16"/>
        <v>99.671872945964807</v>
      </c>
      <c r="DS17" s="59">
        <f t="shared" si="17"/>
        <v>301.70173471823801</v>
      </c>
      <c r="DT17" s="59">
        <f ca="1">AVERAGE(OFFSET($DS$3,0,0,'Données projet'!$E$14+1,1))-AVERAGE(OFFSET($H$3,0,0,'Données projet'!$E$14+1,1))</f>
        <v>368.03281986807173</v>
      </c>
      <c r="DU17" s="59">
        <f t="shared" si="44"/>
        <v>395.83504504492248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8.5</v>
      </c>
      <c r="EJ17" s="12">
        <f>IF('Données projet'!$A$192&gt;35,EJ16+EI17-ER16,IF(A17&lt;'Données projet'!$A$192,$EG$205^A17,IF(A17='Données projet'!$A$192,'Données projet'!$B$192,EJ16+EI17-ER16)))</f>
        <v>42</v>
      </c>
      <c r="EK17" s="17">
        <f>EJ17*VLOOKUP('Données projet'!$B$15,Paramètres!$A$1:$I$89,3,0)*VLOOKUP('Données projet'!$B$15,Paramètres!$A$1:$I$89,5,0)</f>
        <v>25.116</v>
      </c>
      <c r="EL17" s="13">
        <f t="shared" si="45"/>
        <v>7.9533172071367026</v>
      </c>
      <c r="EM17" s="20">
        <f t="shared" si="19"/>
        <v>57.595727469096431</v>
      </c>
      <c r="EN17" s="59">
        <f t="shared" si="20"/>
        <v>259.62558924136965</v>
      </c>
      <c r="EO17" s="59">
        <f ca="1">AVERAGE(OFFSET($EN$3,0,0,'Données projet'!$E$15+1,1))-AVERAGE(OFFSET($H$3,0,0,'Données projet'!$E$15+1,1))</f>
        <v>225.2264820414552</v>
      </c>
      <c r="EP17" s="59">
        <f t="shared" si="46"/>
        <v>249.91838548328681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20.100000000000001</v>
      </c>
      <c r="FE17" s="12">
        <f>IF('Données projet'!$A$218&gt;35,FE16+FD17-FM16,IF(A17&lt;'Données projet'!$A$218,$FB$205^A17,IF(A17='Données projet'!$A$218,'Données projet'!$B$218,FE16+FD17-FM16)))</f>
        <v>107.4</v>
      </c>
      <c r="FF17" s="17">
        <f>FE17*VLOOKUP('Données projet'!$B$16,Paramètres!$A$1:$I$89,3,0)*VLOOKUP('Données projet'!$B$16,Paramètres!$A$1:$I$89,5,0)</f>
        <v>60.036600000000007</v>
      </c>
      <c r="FG17" s="13">
        <f t="shared" si="47"/>
        <v>17.177522312374215</v>
      </c>
      <c r="FH17" s="20">
        <f t="shared" si="22"/>
        <v>134.48126302738513</v>
      </c>
      <c r="FI17" s="59">
        <f t="shared" si="23"/>
        <v>336.51112479965832</v>
      </c>
      <c r="FJ17" s="59">
        <f ca="1">AVERAGE(OFFSET($FI$3,0,0,'Données projet'!$E$16+1,1))-AVERAGE(OFFSET($H$3,0,0,'Données projet'!$E$16+1,1))</f>
        <v>549.85684198202534</v>
      </c>
      <c r="FK17" s="59">
        <f t="shared" si="48"/>
        <v>539.63748606275431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9.1999999999999993</v>
      </c>
      <c r="FZ17" s="12">
        <f>IF('Données projet'!$A$244&gt;35,FZ16+FY17-GH16,IF(A17&lt;'Données projet'!$A$244,$FW$205^A17,IF(A17='Données projet'!$A$244,'Données projet'!$B$244,FZ16+FY17-GH16)))</f>
        <v>38.492177172622277</v>
      </c>
      <c r="GA17" s="17">
        <f>FZ17*VLOOKUP('Données projet'!$B$17,Paramètres!$A$1:$I$89,3,0)*VLOOKUP('Données projet'!$B$17,Paramètres!$A$1:$I$89,5,0)</f>
        <v>23.018321949228124</v>
      </c>
      <c r="GB17" s="13">
        <f t="shared" si="49"/>
        <v>7.3634331934353119</v>
      </c>
      <c r="GC17" s="20">
        <f t="shared" si="25"/>
        <v>52.914890206805474</v>
      </c>
      <c r="GD17" s="59">
        <f t="shared" si="26"/>
        <v>254.94475197907866</v>
      </c>
      <c r="GE17" s="59">
        <f ca="1">AVERAGE(OFFSET($GD$3,0,0,'Données projet'!$E$17+1,1))-AVERAGE(OFFSET($H$3,0,0,'Données projet'!$E$17+1,1))</f>
        <v>495.6641415122013</v>
      </c>
      <c r="GF17" s="59">
        <f t="shared" si="50"/>
        <v>488.90534169400757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9.1999999999999993</v>
      </c>
      <c r="GU17" s="12">
        <f>IF('Données projet'!$A$270&gt;35,GU16+GT17-HC16,IF(A17&lt;'Données projet'!$A$270,$GR$205^A17,IF(A17='Données projet'!$A$270,'Données projet'!$B$270,GU16+GT17-HC16)))</f>
        <v>38.492177172622277</v>
      </c>
      <c r="GV17" s="17">
        <f>GU17*VLOOKUP('Données projet'!$B$18,Paramètres!$A$1:$I$89,3,0)*VLOOKUP('Données projet'!$B$18,Paramètres!$A$1:$I$89,5,0)</f>
        <v>23.018321949228124</v>
      </c>
      <c r="GW17" s="13">
        <f t="shared" si="51"/>
        <v>7.3634331934353119</v>
      </c>
      <c r="GX17" s="20">
        <f t="shared" si="28"/>
        <v>52.914890206805474</v>
      </c>
      <c r="GY17" s="59">
        <f t="shared" si="29"/>
        <v>254.94475197907866</v>
      </c>
      <c r="GZ17" s="59">
        <f ca="1">AVERAGE(OFFSET($GY$3,0,0,'Données projet'!$E$18+1,1))-AVERAGE(OFFSET($H$3,0,0,'Données projet'!$E$18+1,1))</f>
        <v>-18.333333333333343</v>
      </c>
      <c r="HA17" s="59">
        <f t="shared" si="52"/>
        <v>-18.333333333333343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252.57587954511902</v>
      </c>
      <c r="S18" s="59">
        <f ca="1">AVERAGE(OFFSET($R$3,0,0,'Données projet'!$E$9+1,1))-AVERAGE(OFFSET($H$3,0,0,'Données projet'!$E$9+1,1))</f>
        <v>376.11581547534814</v>
      </c>
      <c r="T18" s="59">
        <f t="shared" si="34"/>
        <v>300.91675649863294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9">
        <f t="shared" si="5"/>
        <v>256.46949622159559</v>
      </c>
      <c r="AN18" s="59">
        <f ca="1">AVERAGE(OFFSET($AM$3,0,0,'Données projet'!$E$10+1,1))-AVERAGE(OFFSET($H$3,0,0,'Données projet'!$E$10+1,1))</f>
        <v>505.38595282220405</v>
      </c>
      <c r="AO18" s="59">
        <f t="shared" si="36"/>
        <v>351.72130415456365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57.681000000000004</v>
      </c>
      <c r="BF18" s="13">
        <f t="shared" si="37"/>
        <v>16.580614810327479</v>
      </c>
      <c r="BG18" s="20">
        <f t="shared" si="7"/>
        <v>129.33897912798705</v>
      </c>
      <c r="BH18" s="59">
        <f t="shared" si="8"/>
        <v>333.83572906086806</v>
      </c>
      <c r="BI18" s="59">
        <f ca="1">AVERAGE(OFFSET($BH$3,0,0,'Données projet'!$E$11+1,1))-AVERAGE(OFFSET($H$3,0,0,'Données projet'!$E$11+1,1))</f>
        <v>394.14657090341535</v>
      </c>
      <c r="BJ18" s="59">
        <f t="shared" si="38"/>
        <v>424.06445894109982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16.7</v>
      </c>
      <c r="BY18" s="12">
        <f>IF('Données projet'!$A$114&gt;35,BY17+BX18-CG17,IF(A18&lt;'Données projet'!$A$114,$BV$205^A18,IF(A18='Données projet'!$A$114,'Données projet'!$B$114,BY17+BX18-CG17)))</f>
        <v>126.50000000000001</v>
      </c>
      <c r="BZ18" s="13">
        <f>BY18*VLOOKUP('Données projet'!$B$12,Paramètres!$A$1:$I$89,3,0)*VLOOKUP('Données projet'!$B$12,Paramètres!$A$1:$I$89,5,0)</f>
        <v>69.069000000000003</v>
      </c>
      <c r="CA18" s="13">
        <f t="shared" si="39"/>
        <v>19.442077604017239</v>
      </c>
      <c r="CB18" s="20">
        <f t="shared" si="10"/>
        <v>154.15679349366337</v>
      </c>
      <c r="CC18" s="59">
        <f t="shared" si="11"/>
        <v>358.65354342654439</v>
      </c>
      <c r="CD18" s="59">
        <f ca="1">AVERAGE(OFFSET($CC$3,0,0,'Données projet'!$E$12+1,1))-AVERAGE(OFFSET($H$3,0,0,'Données projet'!$E$12+1,1))</f>
        <v>382.09004346384319</v>
      </c>
      <c r="CE18" s="59">
        <f t="shared" si="40"/>
        <v>410.18893995284986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1.5073457597151871</v>
      </c>
      <c r="CM18" s="21">
        <f>EXP(-LN(2)/2)*CM17+(1-EXP(-LN(2)/2))/(LN(2)/2)*CG18*CJ18*VLOOKUP('Données projet'!$B$12,Paramètres!$A$1:$I$89,3,0)*0.475*44/12</f>
        <v>0.43713258796082638</v>
      </c>
      <c r="CN18" s="22">
        <f t="shared" si="12"/>
        <v>1.9444783476760135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87</v>
      </c>
      <c r="CR18" s="12">
        <f>VLOOKUP(A18,'Données projet'!$A$139:$I$159,9,0)</f>
        <v>5.8</v>
      </c>
      <c r="CS18" s="12">
        <f t="array" ref="CS18">INDEX(CR:CR,MIN(IF(ISNUMBER(CR18:CR214),ROW(CR18:CR214),"")))</f>
        <v>5.8</v>
      </c>
      <c r="CT18" s="12">
        <f>IF('Données projet'!$A$140&gt;35,CT17+CS18-DB17,IF(A18&lt;'Données projet'!$A$140,$CQ$205^A18,IF(A18='Données projet'!$A$140,'Données projet'!$B$140,CT17+CS18-DB17)))</f>
        <v>87</v>
      </c>
      <c r="CU18" s="17">
        <f>CT18*VLOOKUP('Données projet'!$B$13,Paramètres!$A$1:$I$89,3,0)*VLOOKUP('Données projet'!$B$13,Paramètres!$A$1:$I$89,5,0)</f>
        <v>76.003200000000007</v>
      </c>
      <c r="CV18" s="13">
        <f t="shared" si="41"/>
        <v>21.157049992000456</v>
      </c>
      <c r="CW18" s="20">
        <f t="shared" si="13"/>
        <v>169.22076873606747</v>
      </c>
      <c r="CX18" s="59">
        <f t="shared" si="14"/>
        <v>373.71751866894851</v>
      </c>
      <c r="CY18" s="59">
        <f ca="1">AVERAGE(OFFSET($CX$3,0,0,'Données projet'!$E$13+1,1))-AVERAGE(OFFSET($H$3,0,0,'Données projet'!$E$13+1,1))</f>
        <v>363.02374534486341</v>
      </c>
      <c r="CZ18" s="59">
        <f t="shared" si="42"/>
        <v>489.00477393029598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21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0.1075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2.1715715165565586</v>
      </c>
      <c r="DH18" s="21">
        <f>EXP(-LN(2)/2)*DH17+(1-EXP(-LN(2)/2))/(LN(2)/2)*DB18*DE18*VLOOKUP('Données projet'!$B$13,Paramètres!$A$1:$I$89,3,0)*0.475*44/12</f>
        <v>4.3273918411461532</v>
      </c>
      <c r="DI18" s="22">
        <f t="shared" si="15"/>
        <v>6.4989633577027117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>
        <f>DO18*VLOOKUP('Données projet'!$B$14,Paramètres!$A$1:$I$89,3,0)*VLOOKUP('Données projet'!$B$14,Paramètres!$A$1:$I$89,5,0)</f>
        <v>53.156999999999996</v>
      </c>
      <c r="DQ18" s="13">
        <f t="shared" si="43"/>
        <v>15.426140758986149</v>
      </c>
      <c r="DR18" s="20">
        <f t="shared" si="16"/>
        <v>119.44897015523419</v>
      </c>
      <c r="DS18" s="59">
        <f t="shared" si="17"/>
        <v>323.94572008811525</v>
      </c>
      <c r="DT18" s="59">
        <f ca="1">AVERAGE(OFFSET($DS$3,0,0,'Données projet'!$E$14+1,1))-AVERAGE(OFFSET($H$3,0,0,'Données projet'!$E$14+1,1))</f>
        <v>368.03281986807173</v>
      </c>
      <c r="DU18" s="59">
        <f t="shared" si="44"/>
        <v>395.83504504492248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8.5</v>
      </c>
      <c r="EJ18" s="12">
        <f>IF('Données projet'!$A$192&gt;35,EJ17+EI18-ER17,IF(A18&lt;'Données projet'!$A$192,$EG$205^A18,IF(A18='Données projet'!$A$192,'Données projet'!$B$192,EJ17+EI18-ER17)))</f>
        <v>50.5</v>
      </c>
      <c r="EK18" s="17">
        <f>EJ18*VLOOKUP('Données projet'!$B$15,Paramètres!$A$1:$I$89,3,0)*VLOOKUP('Données projet'!$B$15,Paramètres!$A$1:$I$89,5,0)</f>
        <v>30.199000000000002</v>
      </c>
      <c r="EL18" s="13">
        <f t="shared" si="45"/>
        <v>9.3599492233623032</v>
      </c>
      <c r="EM18" s="20">
        <f t="shared" si="19"/>
        <v>68.898503230689343</v>
      </c>
      <c r="EN18" s="59">
        <f t="shared" si="20"/>
        <v>273.39525316357037</v>
      </c>
      <c r="EO18" s="59">
        <f ca="1">AVERAGE(OFFSET($EN$3,0,0,'Données projet'!$E$15+1,1))-AVERAGE(OFFSET($H$3,0,0,'Données projet'!$E$15+1,1))</f>
        <v>225.2264820414552</v>
      </c>
      <c r="EP18" s="59">
        <f t="shared" si="46"/>
        <v>249.91838548328681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20.100000000000001</v>
      </c>
      <c r="FE18" s="12">
        <f>IF('Données projet'!$A$218&gt;35,FE17+FD18-FM17,IF(A18&lt;'Données projet'!$A$218,$FB$205^A18,IF(A18='Données projet'!$A$218,'Données projet'!$B$218,FE17+FD18-FM17)))</f>
        <v>127.5</v>
      </c>
      <c r="FF18" s="17">
        <f>FE18*VLOOKUP('Données projet'!$B$16,Paramètres!$A$1:$I$89,3,0)*VLOOKUP('Données projet'!$B$16,Paramètres!$A$1:$I$89,5,0)</f>
        <v>71.272499999999994</v>
      </c>
      <c r="FG18" s="13">
        <f t="shared" si="47"/>
        <v>19.989132077392792</v>
      </c>
      <c r="FH18" s="20">
        <f t="shared" si="22"/>
        <v>158.94734253479243</v>
      </c>
      <c r="FI18" s="59">
        <f t="shared" si="23"/>
        <v>363.4440924676735</v>
      </c>
      <c r="FJ18" s="59">
        <f ca="1">AVERAGE(OFFSET($FI$3,0,0,'Données projet'!$E$16+1,1))-AVERAGE(OFFSET($H$3,0,0,'Données projet'!$E$16+1,1))</f>
        <v>549.85684198202534</v>
      </c>
      <c r="FK18" s="59">
        <f t="shared" si="48"/>
        <v>539.63748606275431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9.1999999999999993</v>
      </c>
      <c r="FZ18" s="12">
        <f>IF('Données projet'!$A$244&gt;35,FZ17+FY18-GH17,IF(A18&lt;'Données projet'!$A$244,$FW$205^A18,IF(A18='Données projet'!$A$244,'Données projet'!$B$244,FZ17+FY18-GH17)))</f>
        <v>49.958957493027157</v>
      </c>
      <c r="GA18" s="17">
        <f>FZ18*VLOOKUP('Données projet'!$B$17,Paramètres!$A$1:$I$89,3,0)*VLOOKUP('Données projet'!$B$17,Paramètres!$A$1:$I$89,5,0)</f>
        <v>29.875456580830239</v>
      </c>
      <c r="GB18" s="13">
        <f t="shared" si="49"/>
        <v>9.2712865119325407</v>
      </c>
      <c r="GC18" s="20">
        <f t="shared" si="25"/>
        <v>68.180577553228503</v>
      </c>
      <c r="GD18" s="59">
        <f t="shared" si="26"/>
        <v>272.67732748610956</v>
      </c>
      <c r="GE18" s="59">
        <f ca="1">AVERAGE(OFFSET($GD$3,0,0,'Données projet'!$E$17+1,1))-AVERAGE(OFFSET($H$3,0,0,'Données projet'!$E$17+1,1))</f>
        <v>495.6641415122013</v>
      </c>
      <c r="GF18" s="59">
        <f t="shared" si="50"/>
        <v>488.90534169400757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9.1999999999999993</v>
      </c>
      <c r="GU18" s="12">
        <f>IF('Données projet'!$A$270&gt;35,GU17+GT18-HC17,IF(A18&lt;'Données projet'!$A$270,$GR$205^A18,IF(A18='Données projet'!$A$270,'Données projet'!$B$270,GU17+GT18-HC17)))</f>
        <v>49.958957493027157</v>
      </c>
      <c r="GV18" s="17">
        <f>GU18*VLOOKUP('Données projet'!$B$18,Paramètres!$A$1:$I$89,3,0)*VLOOKUP('Données projet'!$B$18,Paramètres!$A$1:$I$89,5,0)</f>
        <v>29.875456580830239</v>
      </c>
      <c r="GW18" s="13">
        <f t="shared" si="51"/>
        <v>9.2712865119325407</v>
      </c>
      <c r="GX18" s="20">
        <f t="shared" si="28"/>
        <v>68.180577553228503</v>
      </c>
      <c r="GY18" s="59">
        <f t="shared" si="29"/>
        <v>272.67732748610956</v>
      </c>
      <c r="GZ18" s="59">
        <f ca="1">AVERAGE(OFFSET($GY$3,0,0,'Données projet'!$E$18+1,1))-AVERAGE(OFFSET($H$3,0,0,'Données projet'!$E$18+1,1))</f>
        <v>-18.333333333333343</v>
      </c>
      <c r="HA18" s="59">
        <f t="shared" si="52"/>
        <v>-18.333333333333343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268.43080252293612</v>
      </c>
      <c r="S19" s="59">
        <f ca="1">AVERAGE(OFFSET($R$3,0,0,'Données projet'!$E$9+1,1))-AVERAGE(OFFSET($H$3,0,0,'Données projet'!$E$9+1,1))</f>
        <v>376.11581547534814</v>
      </c>
      <c r="T19" s="59">
        <f t="shared" si="34"/>
        <v>300.91675649863294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9">
        <f t="shared" si="5"/>
        <v>270.96474543463864</v>
      </c>
      <c r="AN19" s="59">
        <f ca="1">AVERAGE(OFFSET($AM$3,0,0,'Données projet'!$E$10+1,1))-AVERAGE(OFFSET($H$3,0,0,'Données projet'!$E$10+1,1))</f>
        <v>505.38595282220405</v>
      </c>
      <c r="AO19" s="59">
        <f t="shared" si="36"/>
        <v>351.72130415456365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67.466880000000003</v>
      </c>
      <c r="BF19" s="13">
        <f t="shared" si="37"/>
        <v>19.043051531232432</v>
      </c>
      <c r="BG19" s="20">
        <f t="shared" si="7"/>
        <v>150.67146408356317</v>
      </c>
      <c r="BH19" s="59">
        <f t="shared" si="8"/>
        <v>357.6135100056772</v>
      </c>
      <c r="BI19" s="59">
        <f ca="1">AVERAGE(OFFSET($BH$3,0,0,'Données projet'!$E$11+1,1))-AVERAGE(OFFSET($H$3,0,0,'Données projet'!$E$11+1,1))</f>
        <v>394.14657090341535</v>
      </c>
      <c r="BJ19" s="59">
        <f t="shared" si="38"/>
        <v>424.06445894109982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16.7</v>
      </c>
      <c r="BY19" s="12">
        <f>IF('Données projet'!$A$114&gt;35,BY18+BX19-CG18,IF(A19&lt;'Données projet'!$A$114,$BV$205^A19,IF(A19='Données projet'!$A$114,'Données projet'!$B$114,BY18+BX19-CG18)))</f>
        <v>143.20000000000002</v>
      </c>
      <c r="BZ19" s="13">
        <f>BY19*VLOOKUP('Données projet'!$B$12,Paramètres!$A$1:$I$89,3,0)*VLOOKUP('Données projet'!$B$12,Paramètres!$A$1:$I$89,5,0)</f>
        <v>78.187200000000004</v>
      </c>
      <c r="CA19" s="13">
        <f t="shared" si="39"/>
        <v>21.693355566332489</v>
      </c>
      <c r="CB19" s="20">
        <f t="shared" si="10"/>
        <v>173.95863427802908</v>
      </c>
      <c r="CC19" s="59">
        <f t="shared" si="11"/>
        <v>380.90068020014314</v>
      </c>
      <c r="CD19" s="59">
        <f ca="1">AVERAGE(OFFSET($CC$3,0,0,'Données projet'!$E$12+1,1))-AVERAGE(OFFSET($H$3,0,0,'Données projet'!$E$12+1,1))</f>
        <v>382.09004346384319</v>
      </c>
      <c r="CE19" s="59">
        <f t="shared" si="40"/>
        <v>410.18893995284986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1.4661273106479069</v>
      </c>
      <c r="CM19" s="21">
        <f>EXP(-LN(2)/2)*CM18+(1-EXP(-LN(2)/2))/(LN(2)/2)*CG19*CJ19*VLOOKUP('Données projet'!$B$12,Paramètres!$A$1:$I$89,3,0)*0.475*44/12</f>
        <v>0.30909941722472534</v>
      </c>
      <c r="CN19" s="22">
        <f t="shared" si="12"/>
        <v>1.7752267278726324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</v>
      </c>
      <c r="CT19" s="12">
        <f>IF('Données projet'!$A$140&gt;35,CT18+CS19-DB18,IF(A19&lt;'Données projet'!$A$140,$CQ$205^A19,IF(A19='Données projet'!$A$140,'Données projet'!$B$140,CT18+CS19-DB18)))</f>
        <v>80.2</v>
      </c>
      <c r="CU19" s="17">
        <f>CT19*VLOOKUP('Données projet'!$B$13,Paramètres!$A$1:$I$89,3,0)*VLOOKUP('Données projet'!$B$13,Paramètres!$A$1:$I$89,5,0)</f>
        <v>70.062720000000013</v>
      </c>
      <c r="CV19" s="13">
        <f t="shared" si="41"/>
        <v>19.689032345957123</v>
      </c>
      <c r="CW19" s="20">
        <f t="shared" si="13"/>
        <v>156.31763533587534</v>
      </c>
      <c r="CX19" s="59">
        <f t="shared" si="14"/>
        <v>363.25968125798943</v>
      </c>
      <c r="CY19" s="59">
        <f ca="1">AVERAGE(OFFSET($CX$3,0,0,'Données projet'!$E$13+1,1))-AVERAGE(OFFSET($H$3,0,0,'Données projet'!$E$13+1,1))</f>
        <v>363.02374534486341</v>
      </c>
      <c r="CZ19" s="59">
        <f t="shared" si="42"/>
        <v>489.00477393029598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2.1121897792383364</v>
      </c>
      <c r="DH19" s="21">
        <f>EXP(-LN(2)/2)*DH18+(1-EXP(-LN(2)/2))/(LN(2)/2)*DB19*DE19*VLOOKUP('Données projet'!$B$13,Paramètres!$A$1:$I$89,3,0)*0.475*44/12</f>
        <v>3.0599281157257843</v>
      </c>
      <c r="DI19" s="22">
        <f t="shared" si="15"/>
        <v>5.1721178949641207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>
        <f>DO19*VLOOKUP('Données projet'!$B$14,Paramètres!$A$1:$I$89,3,0)*VLOOKUP('Données projet'!$B$14,Paramètres!$A$1:$I$89,5,0)</f>
        <v>62.175359999999991</v>
      </c>
      <c r="DQ19" s="13">
        <f t="shared" si="43"/>
        <v>17.717123083906696</v>
      </c>
      <c r="DR19" s="20">
        <f t="shared" si="16"/>
        <v>139.14607470447081</v>
      </c>
      <c r="DS19" s="59">
        <f t="shared" si="17"/>
        <v>346.0881206265849</v>
      </c>
      <c r="DT19" s="59">
        <f ca="1">AVERAGE(OFFSET($DS$3,0,0,'Données projet'!$E$14+1,1))-AVERAGE(OFFSET($H$3,0,0,'Données projet'!$E$14+1,1))</f>
        <v>368.03281986807173</v>
      </c>
      <c r="DU19" s="59">
        <f t="shared" si="44"/>
        <v>395.83504504492248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>
        <f>VLOOKUP(A19,'Données projet'!$A$191:$I$211,2,0)</f>
        <v>59</v>
      </c>
      <c r="EH19" s="12">
        <f>VLOOKUP(A19,'Données projet'!$A$191:$I$211,9,0)</f>
        <v>8.5</v>
      </c>
      <c r="EI19" s="12">
        <f t="array" ref="EI19">INDEX(EH:EH,MIN(IF(ISNUMBER(EH19:EH215),ROW(EH19:EH215),"")))</f>
        <v>8.5</v>
      </c>
      <c r="EJ19" s="12">
        <f>IF('Données projet'!$A$192&gt;35,EJ18+EI19-ER18,IF(A19&lt;'Données projet'!$A$192,$EG$205^A19,IF(A19='Données projet'!$A$192,'Données projet'!$B$192,EJ18+EI19-ER18)))</f>
        <v>59</v>
      </c>
      <c r="EK19" s="17">
        <f>EJ19*VLOOKUP('Données projet'!$B$15,Paramètres!$A$1:$I$89,3,0)*VLOOKUP('Données projet'!$B$15,Paramètres!$A$1:$I$89,5,0)</f>
        <v>35.282000000000004</v>
      </c>
      <c r="EL19" s="13">
        <f t="shared" si="45"/>
        <v>10.73915395799758</v>
      </c>
      <c r="EM19" s="20">
        <f t="shared" si="19"/>
        <v>80.153509810179131</v>
      </c>
      <c r="EN19" s="59">
        <f t="shared" si="20"/>
        <v>287.09555573229318</v>
      </c>
      <c r="EO19" s="59">
        <f ca="1">AVERAGE(OFFSET($EN$3,0,0,'Données projet'!$E$15+1,1))-AVERAGE(OFFSET($H$3,0,0,'Données projet'!$E$15+1,1))</f>
        <v>225.2264820414552</v>
      </c>
      <c r="EP19" s="59">
        <f t="shared" si="46"/>
        <v>249.91838548328681</v>
      </c>
      <c r="EQ19" s="15">
        <f>IF(ISNA(VLOOKUP(A19,'Données projet'!$A$191:$I$211,3,0)),0,VLOOKUP(A19,'Données projet'!$A$191:$I$211,3,0))</f>
        <v>1</v>
      </c>
      <c r="ER19" s="15">
        <f>IF(ISNA(VLOOKUP(A19,'Données projet'!$A$191:$I$211,4,0)),0,VLOOKUP(A19,'Données projet'!$A$191:$I$211,4,0))</f>
        <v>8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0.22500000000000001</v>
      </c>
      <c r="EU19" s="16">
        <f>IF(ISNA(VLOOKUP(A19,'Données projet'!$A$191:$I$211,7,0)),0%,VLOOKUP(A19,'Données projet'!$A$191:$I$211,7,0))</f>
        <v>0.5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1.4222917384186289</v>
      </c>
      <c r="EX19" s="21">
        <f>EXP(-LN(2)/2)*EX18+(1-EXP(-LN(2)/2))/(LN(2)/2)*ER19*EU19*VLOOKUP('Données projet'!$B$15,Paramètres!$A$1:$I$89,3,0)*0.475*44/12</f>
        <v>2.7082996556833066</v>
      </c>
      <c r="EY19" s="22">
        <f t="shared" si="21"/>
        <v>4.1305913941019359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20.100000000000001</v>
      </c>
      <c r="FE19" s="12">
        <f>IF('Données projet'!$A$218&gt;35,FE18+FD19-FM18,IF(A19&lt;'Données projet'!$A$218,$FB$205^A19,IF(A19='Données projet'!$A$218,'Données projet'!$B$218,FE18+FD19-FM18)))</f>
        <v>147.6</v>
      </c>
      <c r="FF19" s="17">
        <f>FE19*VLOOKUP('Données projet'!$B$16,Paramètres!$A$1:$I$89,3,0)*VLOOKUP('Données projet'!$B$16,Paramètres!$A$1:$I$89,5,0)</f>
        <v>82.508399999999995</v>
      </c>
      <c r="FG19" s="13">
        <f t="shared" si="47"/>
        <v>22.749394597897183</v>
      </c>
      <c r="FH19" s="20">
        <f t="shared" si="22"/>
        <v>183.32399225800421</v>
      </c>
      <c r="FI19" s="59">
        <f t="shared" si="23"/>
        <v>390.26603818011824</v>
      </c>
      <c r="FJ19" s="59">
        <f ca="1">AVERAGE(OFFSET($FI$3,0,0,'Données projet'!$E$16+1,1))-AVERAGE(OFFSET($H$3,0,0,'Données projet'!$E$16+1,1))</f>
        <v>549.85684198202534</v>
      </c>
      <c r="FK19" s="59">
        <f t="shared" si="48"/>
        <v>539.63748606275431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9.1999999999999993</v>
      </c>
      <c r="FZ19" s="12">
        <f>IF('Données projet'!$A$244&gt;35,FZ18+FY19-GH18,IF(A19&lt;'Données projet'!$A$244,$FW$205^A19,IF(A19='Données projet'!$A$244,'Données projet'!$B$244,FZ18+FY19-GH18)))</f>
        <v>64.841679975569477</v>
      </c>
      <c r="GA19" s="17">
        <f>FZ19*VLOOKUP('Données projet'!$B$17,Paramètres!$A$1:$I$89,3,0)*VLOOKUP('Données projet'!$B$17,Paramètres!$A$1:$I$89,5,0)</f>
        <v>38.775324625390546</v>
      </c>
      <c r="GB19" s="13">
        <f t="shared" si="49"/>
        <v>11.673461458572737</v>
      </c>
      <c r="GC19" s="20">
        <f t="shared" si="25"/>
        <v>87.864969096236052</v>
      </c>
      <c r="GD19" s="59">
        <f t="shared" si="26"/>
        <v>294.80701501835011</v>
      </c>
      <c r="GE19" s="59">
        <f ca="1">AVERAGE(OFFSET($GD$3,0,0,'Données projet'!$E$17+1,1))-AVERAGE(OFFSET($H$3,0,0,'Données projet'!$E$17+1,1))</f>
        <v>495.6641415122013</v>
      </c>
      <c r="GF19" s="59">
        <f t="shared" si="50"/>
        <v>488.90534169400757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9.1999999999999993</v>
      </c>
      <c r="GU19" s="12">
        <f>IF('Données projet'!$A$270&gt;35,GU18+GT19-HC18,IF(A19&lt;'Données projet'!$A$270,$GR$205^A19,IF(A19='Données projet'!$A$270,'Données projet'!$B$270,GU18+GT19-HC18)))</f>
        <v>64.841679975569477</v>
      </c>
      <c r="GV19" s="17">
        <f>GU19*VLOOKUP('Données projet'!$B$18,Paramètres!$A$1:$I$89,3,0)*VLOOKUP('Données projet'!$B$18,Paramètres!$A$1:$I$89,5,0)</f>
        <v>38.775324625390546</v>
      </c>
      <c r="GW19" s="13">
        <f t="shared" si="51"/>
        <v>11.673461458572737</v>
      </c>
      <c r="GX19" s="20">
        <f t="shared" si="28"/>
        <v>87.864969096236052</v>
      </c>
      <c r="GY19" s="59">
        <f t="shared" si="29"/>
        <v>294.80701501835011</v>
      </c>
      <c r="GZ19" s="59">
        <f ca="1">AVERAGE(OFFSET($GY$3,0,0,'Données projet'!$E$18+1,1))-AVERAGE(OFFSET($H$3,0,0,'Données projet'!$E$18+1,1))</f>
        <v>-18.333333333333343</v>
      </c>
      <c r="HA19" s="59">
        <f t="shared" si="52"/>
        <v>-18.333333333333343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288.01697308330836</v>
      </c>
      <c r="S20" s="59">
        <f ca="1">AVERAGE(OFFSET($R$3,0,0,'Données projet'!$E$9+1,1))-AVERAGE(OFFSET($H$3,0,0,'Données projet'!$E$9+1,1))</f>
        <v>376.11581547534814</v>
      </c>
      <c r="T20" s="59">
        <f t="shared" si="34"/>
        <v>300.91675649863294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9">
        <f t="shared" si="5"/>
        <v>288.24149918328646</v>
      </c>
      <c r="AN20" s="59">
        <f ca="1">AVERAGE(OFFSET($AM$3,0,0,'Données projet'!$E$10+1,1))-AVERAGE(OFFSET($H$3,0,0,'Données projet'!$E$10+1,1))</f>
        <v>505.38595282220405</v>
      </c>
      <c r="AO20" s="59">
        <f t="shared" si="36"/>
        <v>351.72130415456365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77.252760000000009</v>
      </c>
      <c r="BF20" s="13">
        <f t="shared" si="37"/>
        <v>21.4641096918828</v>
      </c>
      <c r="BG20" s="20">
        <f t="shared" si="7"/>
        <v>171.93188138002924</v>
      </c>
      <c r="BH20" s="59">
        <f t="shared" si="8"/>
        <v>381.29800569590196</v>
      </c>
      <c r="BI20" s="59">
        <f ca="1">AVERAGE(OFFSET($BH$3,0,0,'Données projet'!$E$11+1,1))-AVERAGE(OFFSET($H$3,0,0,'Données projet'!$E$11+1,1))</f>
        <v>394.14657090341535</v>
      </c>
      <c r="BJ20" s="59">
        <f t="shared" si="38"/>
        <v>424.06445894109982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16.7</v>
      </c>
      <c r="BY20" s="12">
        <f>IF('Données projet'!$A$114&gt;35,BY19+BX20-CG19,IF(A20&lt;'Données projet'!$A$114,$BV$205^A20,IF(A20='Données projet'!$A$114,'Données projet'!$B$114,BY19+BX20-CG19)))</f>
        <v>159.9</v>
      </c>
      <c r="BZ20" s="13">
        <f>BY20*VLOOKUP('Données projet'!$B$12,Paramètres!$A$1:$I$89,3,0)*VLOOKUP('Données projet'!$B$12,Paramètres!$A$1:$I$89,5,0)</f>
        <v>87.305400000000006</v>
      </c>
      <c r="CA20" s="13">
        <f t="shared" si="39"/>
        <v>23.914207130877781</v>
      </c>
      <c r="CB20" s="20">
        <f t="shared" si="10"/>
        <v>193.70748241961215</v>
      </c>
      <c r="CC20" s="59">
        <f t="shared" si="11"/>
        <v>403.07360673548487</v>
      </c>
      <c r="CD20" s="59">
        <f ca="1">AVERAGE(OFFSET($CC$3,0,0,'Données projet'!$E$12+1,1))-AVERAGE(OFFSET($H$3,0,0,'Données projet'!$E$12+1,1))</f>
        <v>382.09004346384319</v>
      </c>
      <c r="CE20" s="59">
        <f t="shared" si="40"/>
        <v>410.18893995284986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1.4260359822379556</v>
      </c>
      <c r="CM20" s="21">
        <f>EXP(-LN(2)/2)*CM19+(1-EXP(-LN(2)/2))/(LN(2)/2)*CG20*CJ20*VLOOKUP('Données projet'!$B$12,Paramètres!$A$1:$I$89,3,0)*0.475*44/12</f>
        <v>0.21856629398041325</v>
      </c>
      <c r="CN20" s="22">
        <f t="shared" si="12"/>
        <v>1.6446022762183687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</v>
      </c>
      <c r="CT20" s="12">
        <f>IF('Données projet'!$A$140&gt;35,CT19+CS20-DB19,IF(A20&lt;'Données projet'!$A$140,$CQ$205^A20,IF(A20='Données projet'!$A$140,'Données projet'!$B$140,CT19+CS20-DB19)))</f>
        <v>94.4</v>
      </c>
      <c r="CU20" s="17">
        <f>CT20*VLOOKUP('Données projet'!$B$13,Paramètres!$A$1:$I$89,3,0)*VLOOKUP('Données projet'!$B$13,Paramètres!$A$1:$I$89,5,0)</f>
        <v>82.467840000000024</v>
      </c>
      <c r="CV20" s="13">
        <f t="shared" si="41"/>
        <v>22.739512759227473</v>
      </c>
      <c r="CW20" s="20">
        <f t="shared" si="13"/>
        <v>183.23613938898788</v>
      </c>
      <c r="CX20" s="59">
        <f t="shared" si="14"/>
        <v>392.6022637048606</v>
      </c>
      <c r="CY20" s="59">
        <f ca="1">AVERAGE(OFFSET($CX$3,0,0,'Données projet'!$E$13+1,1))-AVERAGE(OFFSET($H$3,0,0,'Données projet'!$E$13+1,1))</f>
        <v>363.02374534486341</v>
      </c>
      <c r="CZ20" s="59">
        <f t="shared" si="42"/>
        <v>489.00477393029598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2.054431838649831</v>
      </c>
      <c r="DH20" s="21">
        <f>EXP(-LN(2)/2)*DH19+(1-EXP(-LN(2)/2))/(LN(2)/2)*DB20*DE20*VLOOKUP('Données projet'!$B$13,Paramètres!$A$1:$I$89,3,0)*0.475*44/12</f>
        <v>2.163695920573077</v>
      </c>
      <c r="DI20" s="22">
        <f t="shared" si="15"/>
        <v>4.2181277592229076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>
        <f>DO20*VLOOKUP('Données projet'!$B$14,Paramètres!$A$1:$I$89,3,0)*VLOOKUP('Données projet'!$B$14,Paramètres!$A$1:$I$89,5,0)</f>
        <v>71.193719999999999</v>
      </c>
      <c r="DQ20" s="13">
        <f t="shared" si="43"/>
        <v>19.969607952478761</v>
      </c>
      <c r="DR20" s="20">
        <f t="shared" si="16"/>
        <v>158.77612951723384</v>
      </c>
      <c r="DS20" s="59">
        <f t="shared" si="17"/>
        <v>368.14225383310657</v>
      </c>
      <c r="DT20" s="59">
        <f ca="1">AVERAGE(OFFSET($DS$3,0,0,'Données projet'!$E$14+1,1))-AVERAGE(OFFSET($H$3,0,0,'Données projet'!$E$14+1,1))</f>
        <v>368.03281986807173</v>
      </c>
      <c r="DU20" s="59">
        <f t="shared" si="44"/>
        <v>395.83504504492248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10</v>
      </c>
      <c r="EJ20" s="12">
        <f>IF('Données projet'!$A$192&gt;35,EJ19+EI20-ER19,IF(A20&lt;'Données projet'!$A$192,$EG$205^A20,IF(A20='Données projet'!$A$192,'Données projet'!$B$192,EJ19+EI20-ER19)))</f>
        <v>61</v>
      </c>
      <c r="EK20" s="17">
        <f>EJ20*VLOOKUP('Données projet'!$B$15,Paramètres!$A$1:$I$89,3,0)*VLOOKUP('Données projet'!$B$15,Paramètres!$A$1:$I$89,5,0)</f>
        <v>36.478000000000002</v>
      </c>
      <c r="EL20" s="13">
        <f t="shared" si="45"/>
        <v>11.06019217991456</v>
      </c>
      <c r="EM20" s="20">
        <f t="shared" si="19"/>
        <v>82.795684713351179</v>
      </c>
      <c r="EN20" s="59">
        <f t="shared" si="20"/>
        <v>292.16180902922389</v>
      </c>
      <c r="EO20" s="59">
        <f ca="1">AVERAGE(OFFSET($EN$3,0,0,'Données projet'!$E$15+1,1))-AVERAGE(OFFSET($H$3,0,0,'Données projet'!$E$15+1,1))</f>
        <v>225.2264820414552</v>
      </c>
      <c r="EP20" s="59">
        <f t="shared" si="46"/>
        <v>249.91838548328681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1.3833990960364997</v>
      </c>
      <c r="EX20" s="21">
        <f>EXP(-LN(2)/2)*EX19+(1-EXP(-LN(2)/2))/(LN(2)/2)*ER20*EU20*VLOOKUP('Données projet'!$B$15,Paramètres!$A$1:$I$89,3,0)*0.475*44/12</f>
        <v>1.9150570520188579</v>
      </c>
      <c r="EY20" s="22">
        <f t="shared" si="21"/>
        <v>3.2984561480553576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20.100000000000001</v>
      </c>
      <c r="FE20" s="12">
        <f>IF('Données projet'!$A$218&gt;35,FE19+FD20-FM19,IF(A20&lt;'Données projet'!$A$218,$FB$205^A20,IF(A20='Données projet'!$A$218,'Données projet'!$B$218,FE19+FD20-FM19)))</f>
        <v>167.7</v>
      </c>
      <c r="FF20" s="17">
        <f>FE20*VLOOKUP('Données projet'!$B$16,Paramètres!$A$1:$I$89,3,0)*VLOOKUP('Données projet'!$B$16,Paramètres!$A$1:$I$89,5,0)</f>
        <v>93.744299999999996</v>
      </c>
      <c r="FG20" s="13">
        <f t="shared" si="47"/>
        <v>25.466106585554108</v>
      </c>
      <c r="FH20" s="20">
        <f t="shared" si="22"/>
        <v>207.62479146984003</v>
      </c>
      <c r="FI20" s="59">
        <f t="shared" si="23"/>
        <v>416.99091578571279</v>
      </c>
      <c r="FJ20" s="59">
        <f ca="1">AVERAGE(OFFSET($FI$3,0,0,'Données projet'!$E$16+1,1))-AVERAGE(OFFSET($H$3,0,0,'Données projet'!$E$16+1,1))</f>
        <v>549.85684198202534</v>
      </c>
      <c r="FK20" s="59">
        <f t="shared" si="48"/>
        <v>539.63748606275431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9.1999999999999993</v>
      </c>
      <c r="FZ20" s="12">
        <f>IF('Données projet'!$A$244&gt;35,FZ19+FY20-GH19,IF(A20&lt;'Données projet'!$A$244,$FW$205^A20,IF(A20='Données projet'!$A$244,'Données projet'!$B$244,FZ19+FY20-GH19)))</f>
        <v>84.157950306328701</v>
      </c>
      <c r="GA20" s="17">
        <f>FZ20*VLOOKUP('Données projet'!$B$17,Paramètres!$A$1:$I$89,3,0)*VLOOKUP('Données projet'!$B$17,Paramètres!$A$1:$I$89,5,0)</f>
        <v>50.326454283184567</v>
      </c>
      <c r="GB20" s="13">
        <f t="shared" si="49"/>
        <v>14.6980359467263</v>
      </c>
      <c r="GC20" s="20">
        <f t="shared" si="25"/>
        <v>113.2509871504281</v>
      </c>
      <c r="GD20" s="59">
        <f t="shared" si="26"/>
        <v>322.6171114663008</v>
      </c>
      <c r="GE20" s="59">
        <f ca="1">AVERAGE(OFFSET($GD$3,0,0,'Données projet'!$E$17+1,1))-AVERAGE(OFFSET($H$3,0,0,'Données projet'!$E$17+1,1))</f>
        <v>495.6641415122013</v>
      </c>
      <c r="GF20" s="59">
        <f t="shared" si="50"/>
        <v>488.90534169400757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9.1999999999999993</v>
      </c>
      <c r="GU20" s="12">
        <f>IF('Données projet'!$A$270&gt;35,GU19+GT20-HC19,IF(A20&lt;'Données projet'!$A$270,$GR$205^A20,IF(A20='Données projet'!$A$270,'Données projet'!$B$270,GU19+GT20-HC19)))</f>
        <v>84.157950306328701</v>
      </c>
      <c r="GV20" s="17">
        <f>GU20*VLOOKUP('Données projet'!$B$18,Paramètres!$A$1:$I$89,3,0)*VLOOKUP('Données projet'!$B$18,Paramètres!$A$1:$I$89,5,0)</f>
        <v>50.326454283184567</v>
      </c>
      <c r="GW20" s="13">
        <f t="shared" si="51"/>
        <v>14.6980359467263</v>
      </c>
      <c r="GX20" s="20">
        <f t="shared" si="28"/>
        <v>113.2509871504281</v>
      </c>
      <c r="GY20" s="59">
        <f t="shared" si="29"/>
        <v>322.6171114663008</v>
      </c>
      <c r="GZ20" s="59">
        <f ca="1">AVERAGE(OFFSET($GY$3,0,0,'Données projet'!$E$18+1,1))-AVERAGE(OFFSET($H$3,0,0,'Données projet'!$E$18+1,1))</f>
        <v>-18.333333333333343</v>
      </c>
      <c r="HA20" s="59">
        <f t="shared" si="52"/>
        <v>-18.333333333333343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312.38804068758367</v>
      </c>
      <c r="S21" s="59">
        <f ca="1">AVERAGE(OFFSET($R$3,0,0,'Données projet'!$E$9+1,1))-AVERAGE(OFFSET($H$3,0,0,'Données projet'!$E$9+1,1))</f>
        <v>376.11581547534814</v>
      </c>
      <c r="T21" s="59">
        <f t="shared" si="34"/>
        <v>300.91675649863294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9">
        <f t="shared" si="5"/>
        <v>308.95393822316214</v>
      </c>
      <c r="AN21" s="59">
        <f ca="1">AVERAGE(OFFSET($AM$3,0,0,'Données projet'!$E$10+1,1))-AVERAGE(OFFSET($H$3,0,0,'Données projet'!$E$10+1,1))</f>
        <v>505.38595282220405</v>
      </c>
      <c r="AO21" s="59">
        <f t="shared" si="36"/>
        <v>351.72130415456365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87.038640000000001</v>
      </c>
      <c r="BF21" s="13">
        <f t="shared" si="37"/>
        <v>23.849631507508057</v>
      </c>
      <c r="BG21" s="20">
        <f t="shared" si="7"/>
        <v>193.13040620890987</v>
      </c>
      <c r="BH21" s="59">
        <f t="shared" si="8"/>
        <v>404.89975940091301</v>
      </c>
      <c r="BI21" s="59">
        <f ca="1">AVERAGE(OFFSET($BH$3,0,0,'Données projet'!$E$11+1,1))-AVERAGE(OFFSET($H$3,0,0,'Données projet'!$E$11+1,1))</f>
        <v>394.14657090341535</v>
      </c>
      <c r="BJ21" s="59">
        <f t="shared" si="38"/>
        <v>424.06445894109982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16.7</v>
      </c>
      <c r="BY21" s="12">
        <f>IF('Données projet'!$A$114&gt;35,BY20+BX21-CG20,IF(A21&lt;'Données projet'!$A$114,$BV$205^A21,IF(A21='Données projet'!$A$114,'Données projet'!$B$114,BY20+BX21-CG20)))</f>
        <v>176.6</v>
      </c>
      <c r="BZ21" s="13">
        <f>BY21*VLOOKUP('Données projet'!$B$12,Paramètres!$A$1:$I$89,3,0)*VLOOKUP('Données projet'!$B$12,Paramètres!$A$1:$I$89,5,0)</f>
        <v>96.423599999999993</v>
      </c>
      <c r="CA21" s="13">
        <f t="shared" si="39"/>
        <v>26.108172039585249</v>
      </c>
      <c r="CB21" s="20">
        <f t="shared" si="10"/>
        <v>213.40950296894428</v>
      </c>
      <c r="CC21" s="59">
        <f t="shared" si="11"/>
        <v>425.17885616094736</v>
      </c>
      <c r="CD21" s="59">
        <f ca="1">AVERAGE(OFFSET($CC$3,0,0,'Données projet'!$E$12+1,1))-AVERAGE(OFFSET($H$3,0,0,'Données projet'!$E$12+1,1))</f>
        <v>382.09004346384319</v>
      </c>
      <c r="CE21" s="59">
        <f t="shared" si="40"/>
        <v>410.18893995284986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1.3870409533116856</v>
      </c>
      <c r="CM21" s="21">
        <f>EXP(-LN(2)/2)*CM20+(1-EXP(-LN(2)/2))/(LN(2)/2)*CG21*CJ21*VLOOKUP('Données projet'!$B$12,Paramètres!$A$1:$I$89,3,0)*0.475*44/12</f>
        <v>0.1545497086123627</v>
      </c>
      <c r="CN21" s="22">
        <f t="shared" si="12"/>
        <v>1.5415906619240483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</v>
      </c>
      <c r="CT21" s="12">
        <f>IF('Données projet'!$A$140&gt;35,CT20+CS21-DB20,IF(A21&lt;'Données projet'!$A$140,$CQ$205^A21,IF(A21='Données projet'!$A$140,'Données projet'!$B$140,CT20+CS21-DB20)))</f>
        <v>108.60000000000001</v>
      </c>
      <c r="CU21" s="17">
        <f>CT21*VLOOKUP('Données projet'!$B$13,Paramètres!$A$1:$I$89,3,0)*VLOOKUP('Données projet'!$B$13,Paramètres!$A$1:$I$89,5,0)</f>
        <v>94.87296000000002</v>
      </c>
      <c r="CV21" s="13">
        <f t="shared" si="41"/>
        <v>25.736834760472274</v>
      </c>
      <c r="CW21" s="20">
        <f t="shared" si="13"/>
        <v>210.06205920782259</v>
      </c>
      <c r="CX21" s="59">
        <f t="shared" si="14"/>
        <v>421.83141239982569</v>
      </c>
      <c r="CY21" s="59">
        <f ca="1">AVERAGE(OFFSET($CX$3,0,0,'Données projet'!$E$13+1,1))-AVERAGE(OFFSET($H$3,0,0,'Données projet'!$E$13+1,1))</f>
        <v>363.02374534486341</v>
      </c>
      <c r="CZ21" s="59">
        <f t="shared" si="42"/>
        <v>489.00477393029598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1.9982532919840765</v>
      </c>
      <c r="DH21" s="21">
        <f>EXP(-LN(2)/2)*DH20+(1-EXP(-LN(2)/2))/(LN(2)/2)*DB21*DE21*VLOOKUP('Données projet'!$B$13,Paramètres!$A$1:$I$89,3,0)*0.475*44/12</f>
        <v>1.5299640578628924</v>
      </c>
      <c r="DI21" s="22">
        <f t="shared" si="15"/>
        <v>3.5282173498469689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>
        <f>DO21*VLOOKUP('Données projet'!$B$14,Paramètres!$A$1:$I$89,3,0)*VLOOKUP('Données projet'!$B$14,Paramètres!$A$1:$I$89,5,0)</f>
        <v>80.212079999999986</v>
      </c>
      <c r="DQ21" s="13">
        <f t="shared" si="43"/>
        <v>22.189030798521017</v>
      </c>
      <c r="DR21" s="20">
        <f t="shared" si="16"/>
        <v>178.34860130742405</v>
      </c>
      <c r="DS21" s="59">
        <f t="shared" si="17"/>
        <v>390.11795449942713</v>
      </c>
      <c r="DT21" s="59">
        <f ca="1">AVERAGE(OFFSET($DS$3,0,0,'Données projet'!$E$14+1,1))-AVERAGE(OFFSET($H$3,0,0,'Données projet'!$E$14+1,1))</f>
        <v>368.03281986807173</v>
      </c>
      <c r="DU21" s="59">
        <f t="shared" si="44"/>
        <v>395.83504504492248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10</v>
      </c>
      <c r="EJ21" s="12">
        <f>IF('Données projet'!$A$192&gt;35,EJ20+EI21-ER20,IF(A21&lt;'Données projet'!$A$192,$EG$205^A21,IF(A21='Données projet'!$A$192,'Données projet'!$B$192,EJ20+EI21-ER20)))</f>
        <v>71</v>
      </c>
      <c r="EK21" s="17">
        <f>EJ21*VLOOKUP('Données projet'!$B$15,Paramètres!$A$1:$I$89,3,0)*VLOOKUP('Données projet'!$B$15,Paramètres!$A$1:$I$89,5,0)</f>
        <v>42.458000000000006</v>
      </c>
      <c r="EL21" s="13">
        <f t="shared" si="45"/>
        <v>12.647861696503936</v>
      </c>
      <c r="EM21" s="20">
        <f t="shared" si="19"/>
        <v>95.976042454744359</v>
      </c>
      <c r="EN21" s="59">
        <f t="shared" si="20"/>
        <v>307.74539564674745</v>
      </c>
      <c r="EO21" s="59">
        <f ca="1">AVERAGE(OFFSET($EN$3,0,0,'Données projet'!$E$15+1,1))-AVERAGE(OFFSET($H$3,0,0,'Données projet'!$E$15+1,1))</f>
        <v>225.2264820414552</v>
      </c>
      <c r="EP21" s="59">
        <f t="shared" si="46"/>
        <v>249.91838548328681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1.345569975005585</v>
      </c>
      <c r="EX21" s="21">
        <f>EXP(-LN(2)/2)*EX20+(1-EXP(-LN(2)/2))/(LN(2)/2)*ER21*EU21*VLOOKUP('Données projet'!$B$15,Paramètres!$A$1:$I$89,3,0)*0.475*44/12</f>
        <v>1.3541498278416535</v>
      </c>
      <c r="EY21" s="22">
        <f t="shared" si="21"/>
        <v>2.6997198028472384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20.100000000000001</v>
      </c>
      <c r="FE21" s="12">
        <f>IF('Données projet'!$A$218&gt;35,FE20+FD21-FM20,IF(A21&lt;'Données projet'!$A$218,$FB$205^A21,IF(A21='Données projet'!$A$218,'Données projet'!$B$218,FE20+FD21-FM20)))</f>
        <v>187.79999999999998</v>
      </c>
      <c r="FF21" s="17">
        <f>FE21*VLOOKUP('Données projet'!$B$16,Paramètres!$A$1:$I$89,3,0)*VLOOKUP('Données projet'!$B$16,Paramètres!$A$1:$I$89,5,0)</f>
        <v>104.9802</v>
      </c>
      <c r="FG21" s="13">
        <f t="shared" si="47"/>
        <v>28.145084690033578</v>
      </c>
      <c r="FH21" s="20">
        <f t="shared" si="22"/>
        <v>231.85987083514178</v>
      </c>
      <c r="FI21" s="59">
        <f t="shared" si="23"/>
        <v>443.62922402714491</v>
      </c>
      <c r="FJ21" s="59">
        <f ca="1">AVERAGE(OFFSET($FI$3,0,0,'Données projet'!$E$16+1,1))-AVERAGE(OFFSET($H$3,0,0,'Données projet'!$E$16+1,1))</f>
        <v>549.85684198202534</v>
      </c>
      <c r="FK21" s="59">
        <f t="shared" si="48"/>
        <v>539.63748606275431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9.1999999999999993</v>
      </c>
      <c r="FZ21" s="12">
        <f>IF('Données projet'!$A$244&gt;35,FZ20+FY21-GH20,IF(A21&lt;'Données projet'!$A$244,$FW$205^A21,IF(A21='Données projet'!$A$244,'Données projet'!$B$244,FZ20+FY21-GH20)))</f>
        <v>109.228517867381</v>
      </c>
      <c r="GA21" s="17">
        <f>FZ21*VLOOKUP('Données projet'!$B$17,Paramètres!$A$1:$I$89,3,0)*VLOOKUP('Données projet'!$B$17,Paramètres!$A$1:$I$89,5,0)</f>
        <v>65.318653684693842</v>
      </c>
      <c r="GB21" s="13">
        <f t="shared" si="49"/>
        <v>18.506272664532506</v>
      </c>
      <c r="GC21" s="20">
        <f t="shared" si="25"/>
        <v>145.99508005823589</v>
      </c>
      <c r="GD21" s="59">
        <f t="shared" si="26"/>
        <v>357.76443325023899</v>
      </c>
      <c r="GE21" s="59">
        <f ca="1">AVERAGE(OFFSET($GD$3,0,0,'Données projet'!$E$17+1,1))-AVERAGE(OFFSET($H$3,0,0,'Données projet'!$E$17+1,1))</f>
        <v>495.6641415122013</v>
      </c>
      <c r="GF21" s="59">
        <f t="shared" si="50"/>
        <v>488.90534169400757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9.1999999999999993</v>
      </c>
      <c r="GU21" s="12">
        <f>IF('Données projet'!$A$270&gt;35,GU20+GT21-HC20,IF(A21&lt;'Données projet'!$A$270,$GR$205^A21,IF(A21='Données projet'!$A$270,'Données projet'!$B$270,GU20+GT21-HC20)))</f>
        <v>109.228517867381</v>
      </c>
      <c r="GV21" s="17">
        <f>GU21*VLOOKUP('Données projet'!$B$18,Paramètres!$A$1:$I$89,3,0)*VLOOKUP('Données projet'!$B$18,Paramètres!$A$1:$I$89,5,0)</f>
        <v>65.318653684693842</v>
      </c>
      <c r="GW21" s="13">
        <f t="shared" si="51"/>
        <v>18.506272664532506</v>
      </c>
      <c r="GX21" s="20">
        <f t="shared" si="28"/>
        <v>145.99508005823589</v>
      </c>
      <c r="GY21" s="59">
        <f t="shared" si="29"/>
        <v>357.76443325023899</v>
      </c>
      <c r="GZ21" s="59">
        <f ca="1">AVERAGE(OFFSET($GY$3,0,0,'Données projet'!$E$18+1,1))-AVERAGE(OFFSET($H$3,0,0,'Données projet'!$E$18+1,1))</f>
        <v>-18.333333333333343</v>
      </c>
      <c r="HA21" s="59">
        <f t="shared" si="52"/>
        <v>-18.333333333333343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342.8941240850686</v>
      </c>
      <c r="S22" s="59">
        <f ca="1">AVERAGE(OFFSET($R$3,0,0,'Données projet'!$E$9+1,1))-AVERAGE(OFFSET($H$3,0,0,'Données projet'!$E$9+1,1))</f>
        <v>376.11581547534814</v>
      </c>
      <c r="T22" s="59">
        <f t="shared" si="34"/>
        <v>300.91675649863294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9">
        <f t="shared" si="5"/>
        <v>333.90916953776684</v>
      </c>
      <c r="AN22" s="59">
        <f ca="1">AVERAGE(OFFSET($AM$3,0,0,'Données projet'!$E$10+1,1))-AVERAGE(OFFSET($H$3,0,0,'Données projet'!$E$10+1,1))</f>
        <v>505.38595282220405</v>
      </c>
      <c r="AO22" s="59">
        <f t="shared" si="36"/>
        <v>351.72130415456365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96.824519999999993</v>
      </c>
      <c r="BF22" s="13">
        <f t="shared" si="37"/>
        <v>26.20406828580953</v>
      </c>
      <c r="BG22" s="20">
        <f t="shared" si="7"/>
        <v>214.27479126445158</v>
      </c>
      <c r="BH22" s="59">
        <f t="shared" si="8"/>
        <v>428.42688550747511</v>
      </c>
      <c r="BI22" s="59">
        <f ca="1">AVERAGE(OFFSET($BH$3,0,0,'Données projet'!$E$11+1,1))-AVERAGE(OFFSET($H$3,0,0,'Données projet'!$E$11+1,1))</f>
        <v>394.14657090341535</v>
      </c>
      <c r="BJ22" s="59">
        <f t="shared" si="38"/>
        <v>424.06445894109982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16.7</v>
      </c>
      <c r="BY22" s="12">
        <f>IF('Données projet'!$A$114&gt;35,BY21+BX22-CG21,IF(A22&lt;'Données projet'!$A$114,$BV$205^A22,IF(A22='Données projet'!$A$114,'Données projet'!$B$114,BY21+BX22-CG21)))</f>
        <v>193.29999999999998</v>
      </c>
      <c r="BZ22" s="13">
        <f>BY22*VLOOKUP('Données projet'!$B$12,Paramètres!$A$1:$I$89,3,0)*VLOOKUP('Données projet'!$B$12,Paramètres!$A$1:$I$89,5,0)</f>
        <v>105.54179999999999</v>
      </c>
      <c r="CA22" s="13">
        <f t="shared" si="39"/>
        <v>28.278082044462533</v>
      </c>
      <c r="CB22" s="20">
        <f t="shared" si="10"/>
        <v>233.06962789410557</v>
      </c>
      <c r="CC22" s="59">
        <f t="shared" si="11"/>
        <v>447.22172213712906</v>
      </c>
      <c r="CD22" s="59">
        <f ca="1">AVERAGE(OFFSET($CC$3,0,0,'Données projet'!$E$12+1,1))-AVERAGE(OFFSET($H$3,0,0,'Données projet'!$E$12+1,1))</f>
        <v>382.09004346384319</v>
      </c>
      <c r="CE22" s="59">
        <f t="shared" si="40"/>
        <v>410.18893995284986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1.3491122455020639</v>
      </c>
      <c r="CM22" s="21">
        <f>EXP(-LN(2)/2)*CM21+(1-EXP(-LN(2)/2))/(LN(2)/2)*CG22*CJ22*VLOOKUP('Données projet'!$B$12,Paramètres!$A$1:$I$89,3,0)*0.475*44/12</f>
        <v>0.10928314699020664</v>
      </c>
      <c r="CN22" s="22">
        <f t="shared" si="12"/>
        <v>1.4583953924922706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</v>
      </c>
      <c r="CT22" s="12">
        <f>IF('Données projet'!$A$140&gt;35,CT21+CS22-DB21,IF(A22&lt;'Données projet'!$A$140,$CQ$205^A22,IF(A22='Données projet'!$A$140,'Données projet'!$B$140,CT21+CS22-DB21)))</f>
        <v>122.80000000000001</v>
      </c>
      <c r="CU22" s="17">
        <f>CT22*VLOOKUP('Données projet'!$B$13,Paramètres!$A$1:$I$89,3,0)*VLOOKUP('Données projet'!$B$13,Paramètres!$A$1:$I$89,5,0)</f>
        <v>107.27808000000003</v>
      </c>
      <c r="CV22" s="13">
        <f t="shared" si="41"/>
        <v>28.688746800886673</v>
      </c>
      <c r="CW22" s="20">
        <f t="shared" si="13"/>
        <v>236.80889001154432</v>
      </c>
      <c r="CX22" s="59">
        <f t="shared" si="14"/>
        <v>450.96098425456785</v>
      </c>
      <c r="CY22" s="59">
        <f ca="1">AVERAGE(OFFSET($CX$3,0,0,'Données projet'!$E$13+1,1))-AVERAGE(OFFSET($H$3,0,0,'Données projet'!$E$13+1,1))</f>
        <v>363.02374534486341</v>
      </c>
      <c r="CZ22" s="59">
        <f t="shared" si="42"/>
        <v>489.00477393029598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1.9436109506311985</v>
      </c>
      <c r="DH22" s="21">
        <f>EXP(-LN(2)/2)*DH21+(1-EXP(-LN(2)/2))/(LN(2)/2)*DB22*DE22*VLOOKUP('Données projet'!$B$13,Paramètres!$A$1:$I$89,3,0)*0.475*44/12</f>
        <v>1.0818479602865387</v>
      </c>
      <c r="DI22" s="22">
        <f t="shared" si="15"/>
        <v>3.0254589109177372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>
        <f>DO22*VLOOKUP('Données projet'!$B$14,Paramètres!$A$1:$I$89,3,0)*VLOOKUP('Données projet'!$B$14,Paramètres!$A$1:$I$89,5,0)</f>
        <v>89.230439999999987</v>
      </c>
      <c r="DQ22" s="13">
        <f t="shared" si="43"/>
        <v>24.379532994349749</v>
      </c>
      <c r="DR22" s="20">
        <f t="shared" si="16"/>
        <v>197.87070296515913</v>
      </c>
      <c r="DS22" s="59">
        <f t="shared" si="17"/>
        <v>412.02279720818262</v>
      </c>
      <c r="DT22" s="59">
        <f ca="1">AVERAGE(OFFSET($DS$3,0,0,'Données projet'!$E$14+1,1))-AVERAGE(OFFSET($H$3,0,0,'Données projet'!$E$14+1,1))</f>
        <v>368.03281986807173</v>
      </c>
      <c r="DU22" s="59">
        <f t="shared" si="44"/>
        <v>395.83504504492248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10</v>
      </c>
      <c r="EJ22" s="12">
        <f>IF('Données projet'!$A$192&gt;35,EJ21+EI22-ER21,IF(A22&lt;'Données projet'!$A$192,$EG$205^A22,IF(A22='Données projet'!$A$192,'Données projet'!$B$192,EJ21+EI22-ER21)))</f>
        <v>81</v>
      </c>
      <c r="EK22" s="17">
        <f>EJ22*VLOOKUP('Données projet'!$B$15,Paramètres!$A$1:$I$89,3,0)*VLOOKUP('Données projet'!$B$15,Paramètres!$A$1:$I$89,5,0)</f>
        <v>48.438000000000009</v>
      </c>
      <c r="EL22" s="13">
        <f t="shared" si="45"/>
        <v>14.209624244846971</v>
      </c>
      <c r="EM22" s="20">
        <f t="shared" si="19"/>
        <v>109.11127889310849</v>
      </c>
      <c r="EN22" s="59">
        <f t="shared" si="20"/>
        <v>323.26337313613203</v>
      </c>
      <c r="EO22" s="59">
        <f ca="1">AVERAGE(OFFSET($EN$3,0,0,'Données projet'!$E$15+1,1))-AVERAGE(OFFSET($H$3,0,0,'Données projet'!$E$15+1,1))</f>
        <v>225.2264820414552</v>
      </c>
      <c r="EP22" s="59">
        <f t="shared" si="46"/>
        <v>249.91838548328681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1.3087752932786076</v>
      </c>
      <c r="EX22" s="21">
        <f>EXP(-LN(2)/2)*EX21+(1-EXP(-LN(2)/2))/(LN(2)/2)*ER22*EU22*VLOOKUP('Données projet'!$B$15,Paramètres!$A$1:$I$89,3,0)*0.475*44/12</f>
        <v>0.95752852600942917</v>
      </c>
      <c r="EY22" s="22">
        <f t="shared" si="21"/>
        <v>2.2663038192880367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20.100000000000001</v>
      </c>
      <c r="FE22" s="12">
        <f>IF('Données projet'!$A$218&gt;35,FE21+FD22-FM21,IF(A22&lt;'Données projet'!$A$218,$FB$205^A22,IF(A22='Données projet'!$A$218,'Données projet'!$B$218,FE21+FD22-FM21)))</f>
        <v>207.89999999999998</v>
      </c>
      <c r="FF22" s="17">
        <f>FE22*VLOOKUP('Données projet'!$B$16,Paramètres!$A$1:$I$89,3,0)*VLOOKUP('Données projet'!$B$16,Paramètres!$A$1:$I$89,5,0)</f>
        <v>116.2161</v>
      </c>
      <c r="FG22" s="13">
        <f t="shared" si="47"/>
        <v>30.790827813105789</v>
      </c>
      <c r="FH22" s="20">
        <f t="shared" si="22"/>
        <v>256.03706594115926</v>
      </c>
      <c r="FI22" s="59">
        <f t="shared" si="23"/>
        <v>470.18916018418281</v>
      </c>
      <c r="FJ22" s="59">
        <f ca="1">AVERAGE(OFFSET($FI$3,0,0,'Données projet'!$E$16+1,1))-AVERAGE(OFFSET($H$3,0,0,'Données projet'!$E$16+1,1))</f>
        <v>549.85684198202534</v>
      </c>
      <c r="FK22" s="59">
        <f t="shared" si="48"/>
        <v>539.63748606275431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9.1999999999999993</v>
      </c>
      <c r="FZ22" s="12">
        <f>IF('Données projet'!$A$244&gt;35,FZ21+FY22-GH21,IF(A22&lt;'Données projet'!$A$244,$FW$205^A22,IF(A22='Données projet'!$A$244,'Données projet'!$B$244,FZ21+FY22-GH21)))</f>
        <v>141.76758193465133</v>
      </c>
      <c r="GA22" s="17">
        <f>FZ22*VLOOKUP('Données projet'!$B$17,Paramètres!$A$1:$I$89,3,0)*VLOOKUP('Données projet'!$B$17,Paramètres!$A$1:$I$89,5,0)</f>
        <v>84.777013996921497</v>
      </c>
      <c r="GB22" s="13">
        <f t="shared" si="49"/>
        <v>23.301217194961634</v>
      </c>
      <c r="GC22" s="20">
        <f t="shared" si="25"/>
        <v>188.23625265919645</v>
      </c>
      <c r="GD22" s="59">
        <f t="shared" si="26"/>
        <v>402.38834690221995</v>
      </c>
      <c r="GE22" s="59">
        <f ca="1">AVERAGE(OFFSET($GD$3,0,0,'Données projet'!$E$17+1,1))-AVERAGE(OFFSET($H$3,0,0,'Données projet'!$E$17+1,1))</f>
        <v>495.6641415122013</v>
      </c>
      <c r="GF22" s="59">
        <f t="shared" si="50"/>
        <v>488.90534169400757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9.1999999999999993</v>
      </c>
      <c r="GU22" s="12">
        <f>IF('Données projet'!$A$270&gt;35,GU21+GT22-HC21,IF(A22&lt;'Données projet'!$A$270,$GR$205^A22,IF(A22='Données projet'!$A$270,'Données projet'!$B$270,GU21+GT22-HC21)))</f>
        <v>141.76758193465133</v>
      </c>
      <c r="GV22" s="17">
        <f>GU22*VLOOKUP('Données projet'!$B$18,Paramètres!$A$1:$I$89,3,0)*VLOOKUP('Données projet'!$B$18,Paramètres!$A$1:$I$89,5,0)</f>
        <v>84.777013996921497</v>
      </c>
      <c r="GW22" s="13">
        <f t="shared" si="51"/>
        <v>23.301217194961634</v>
      </c>
      <c r="GX22" s="20">
        <f t="shared" si="28"/>
        <v>188.23625265919645</v>
      </c>
      <c r="GY22" s="59">
        <f t="shared" si="29"/>
        <v>402.38834690221995</v>
      </c>
      <c r="GZ22" s="59">
        <f ca="1">AVERAGE(OFFSET($GY$3,0,0,'Données projet'!$E$18+1,1))-AVERAGE(OFFSET($H$3,0,0,'Données projet'!$E$18+1,1))</f>
        <v>-18.333333333333343</v>
      </c>
      <c r="HA22" s="59">
        <f t="shared" si="52"/>
        <v>-18.333333333333343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381.26547623001761</v>
      </c>
      <c r="S23" s="59">
        <f ca="1">AVERAGE(OFFSET($R$3,0,0,'Données projet'!$E$9+1,1))-AVERAGE(OFFSET($H$3,0,0,'Données projet'!$E$9+1,1))</f>
        <v>376.11581547534814</v>
      </c>
      <c r="T23" s="59">
        <f t="shared" si="34"/>
        <v>300.91675649863294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12.5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2.1257077612234943</v>
      </c>
      <c r="AB23" s="21">
        <f>EXP(-LN(2)/2)*AB22+(1-EXP(-LN(2)/2))/(LN(2)/2)*V23*Y23*VLOOKUP('Données projet'!$B$9,Paramètres!$A$1:$I$89,3,0)*0.475*44/12</f>
        <v>3.3117794702649124</v>
      </c>
      <c r="AC23" s="22">
        <f t="shared" si="3"/>
        <v>5.4374872314884062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9">
        <f t="shared" si="5"/>
        <v>364.10308709124286</v>
      </c>
      <c r="AN23" s="59">
        <f ca="1">AVERAGE(OFFSET($AM$3,0,0,'Données projet'!$E$10+1,1))-AVERAGE(OFFSET($H$3,0,0,'Données projet'!$E$10+1,1))</f>
        <v>505.38595282220405</v>
      </c>
      <c r="AO23" s="59">
        <f t="shared" si="36"/>
        <v>351.72130415456365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0.64260789775653271</v>
      </c>
      <c r="AW23" s="21">
        <f>EXP(-LN(2)/2)*AW22+(1-EXP(-LN(2)/2))/(LN(2)/2)*AQ23*AT23*VLOOKUP('Données projet'!$B$10,Paramètres!$A$1:$I$89,3,0)*0.475*44/12</f>
        <v>1.2805547285024328</v>
      </c>
      <c r="AX23" s="21">
        <f t="shared" si="6"/>
        <v>1.9231626262589656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106.61040000000001</v>
      </c>
      <c r="BF23" s="13">
        <f t="shared" si="37"/>
        <v>28.530919434405451</v>
      </c>
      <c r="BG23" s="20">
        <f t="shared" si="7"/>
        <v>235.3711313482562</v>
      </c>
      <c r="BH23" s="59">
        <f t="shared" si="8"/>
        <v>451.88583423515195</v>
      </c>
      <c r="BI23" s="59">
        <f ca="1">AVERAGE(OFFSET($BH$3,0,0,'Données projet'!$E$11+1,1))-AVERAGE(OFFSET($H$3,0,0,'Données projet'!$E$11+1,1))</f>
        <v>394.14657090341535</v>
      </c>
      <c r="BJ23" s="59">
        <f t="shared" si="38"/>
        <v>424.06445894109982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7.7771272982896171</v>
      </c>
      <c r="BR23" s="21">
        <f>EXP(-LN(2)/2)*BR22+(1-EXP(-LN(2)/2))/(LN(2)/2)*BL23*BO23*VLOOKUP('Données projet'!$B$11,Paramètres!$A$1:$I$89,3,0)*0.475*44/12</f>
        <v>12.573722722105785</v>
      </c>
      <c r="BS23" s="22">
        <f t="shared" si="9"/>
        <v>20.350850020395402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210</v>
      </c>
      <c r="BW23" s="12">
        <f>VLOOKUP(A23,'Données projet'!$A$113:$I$133,9,0)</f>
        <v>16.7</v>
      </c>
      <c r="BX23" s="12">
        <f t="array" ref="BX23">INDEX(BW:BW,MIN(IF(ISNUMBER(BW23:BW219),ROW(BW23:BW219),"")))</f>
        <v>16.7</v>
      </c>
      <c r="BY23" s="12">
        <f>IF('Données projet'!$A$114&gt;35,BY22+BX23-CG22,IF(A23&lt;'Données projet'!$A$114,$BV$205^A23,IF(A23='Données projet'!$A$114,'Données projet'!$B$114,BY22+BX23-CG22)))</f>
        <v>209.99999999999997</v>
      </c>
      <c r="BZ23" s="13">
        <f>BY23*VLOOKUP('Données projet'!$B$12,Paramètres!$A$1:$I$89,3,0)*VLOOKUP('Données projet'!$B$12,Paramètres!$A$1:$I$89,5,0)</f>
        <v>114.65999999999998</v>
      </c>
      <c r="CA23" s="13">
        <f t="shared" si="39"/>
        <v>30.426251641117418</v>
      </c>
      <c r="CB23" s="20">
        <f t="shared" si="10"/>
        <v>252.69188827494611</v>
      </c>
      <c r="CC23" s="59">
        <f t="shared" si="11"/>
        <v>469.20659116184186</v>
      </c>
      <c r="CD23" s="59">
        <f ca="1">AVERAGE(OFFSET($CC$3,0,0,'Données projet'!$E$12+1,1))-AVERAGE(OFFSET($H$3,0,0,'Données projet'!$E$12+1,1))</f>
        <v>382.09004346384319</v>
      </c>
      <c r="CE23" s="59">
        <f t="shared" si="40"/>
        <v>410.18893995284986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98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22.522919234010324</v>
      </c>
      <c r="CM23" s="21">
        <f>EXP(-LN(2)/2)*CM22+(1-EXP(-LN(2)/2))/(LN(2)/2)*CG23*CJ23*VLOOKUP('Données projet'!$B$12,Paramètres!$A$1:$I$89,3,0)*0.475*44/12</f>
        <v>30.369017742329248</v>
      </c>
      <c r="CN23" s="22">
        <f t="shared" si="12"/>
        <v>52.891936976339572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137</v>
      </c>
      <c r="CR23" s="12">
        <f>VLOOKUP(A23,'Données projet'!$A$139:$I$159,9,0)</f>
        <v>14.2</v>
      </c>
      <c r="CS23" s="12">
        <f t="array" ref="CS23">INDEX(CR:CR,MIN(IF(ISNUMBER(CR23:CR219),ROW(CR23:CR219),"")))</f>
        <v>14.2</v>
      </c>
      <c r="CT23" s="12">
        <f>IF('Données projet'!$A$140&gt;35,CT22+CS23-DB22,IF(A23&lt;'Données projet'!$A$140,$CQ$205^A23,IF(A23='Données projet'!$A$140,'Données projet'!$B$140,CT22+CS23-DB22)))</f>
        <v>137</v>
      </c>
      <c r="CU23" s="17">
        <f>CT23*VLOOKUP('Données projet'!$B$13,Paramètres!$A$1:$I$89,3,0)*VLOOKUP('Données projet'!$B$13,Paramètres!$A$1:$I$89,5,0)</f>
        <v>119.68320000000003</v>
      </c>
      <c r="CV23" s="13">
        <f t="shared" si="41"/>
        <v>31.601099532596194</v>
      </c>
      <c r="CW23" s="20">
        <f t="shared" si="13"/>
        <v>263.48682168593842</v>
      </c>
      <c r="CX23" s="59">
        <f t="shared" si="14"/>
        <v>480.00152457283411</v>
      </c>
      <c r="CY23" s="59">
        <f ca="1">AVERAGE(OFFSET($CX$3,0,0,'Données projet'!$E$13+1,1))-AVERAGE(OFFSET($H$3,0,0,'Données projet'!$E$13+1,1))</f>
        <v>363.02374534486341</v>
      </c>
      <c r="CZ23" s="59">
        <f t="shared" si="42"/>
        <v>489.00477393029598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6.3370140075443224</v>
      </c>
      <c r="DH23" s="21">
        <f>EXP(-LN(2)/2)*DH22+(1-EXP(-LN(2)/2))/(LN(2)/2)*DB23*DE23*VLOOKUP('Données projet'!$B$13,Paramètres!$A$1:$I$89,3,0)*0.475*44/12</f>
        <v>9.6258319893735695</v>
      </c>
      <c r="DI23" s="22">
        <f t="shared" si="15"/>
        <v>15.962845996917892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>
        <f>DO23*VLOOKUP('Données projet'!$B$14,Paramètres!$A$1:$I$89,3,0)*VLOOKUP('Données projet'!$B$14,Paramètres!$A$1:$I$89,5,0)</f>
        <v>98.248800000000003</v>
      </c>
      <c r="DQ23" s="13">
        <f t="shared" si="43"/>
        <v>26.544370291039833</v>
      </c>
      <c r="DR23" s="20">
        <f t="shared" si="16"/>
        <v>217.34810492356107</v>
      </c>
      <c r="DS23" s="59">
        <f t="shared" si="17"/>
        <v>433.86280781045679</v>
      </c>
      <c r="DT23" s="59">
        <f ca="1">AVERAGE(OFFSET($DS$3,0,0,'Données projet'!$E$14+1,1))-AVERAGE(OFFSET($H$3,0,0,'Données projet'!$E$14+1,1))</f>
        <v>368.03281986807173</v>
      </c>
      <c r="DU23" s="59">
        <f t="shared" si="44"/>
        <v>395.83504504492248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67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5.8148628449290847</v>
      </c>
      <c r="EC23" s="21">
        <f>EXP(-LN(2)/2)*EC22+(1-EXP(-LN(2)/2))/(LN(2)/2)*DW23*DZ23*VLOOKUP('Données projet'!$B$14,Paramètres!$A$1:$I$89,3,0)*0.475*44/12</f>
        <v>11.587548390960231</v>
      </c>
      <c r="ED23" s="22">
        <f t="shared" si="18"/>
        <v>17.402411235889318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91</v>
      </c>
      <c r="EH23" s="12">
        <f>VLOOKUP(A23,'Données projet'!$A$191:$I$211,9,0)</f>
        <v>10</v>
      </c>
      <c r="EI23" s="12">
        <f t="array" ref="EI23">INDEX(EH:EH,MIN(IF(ISNUMBER(EH23:EH219),ROW(EH23:EH219),"")))</f>
        <v>10</v>
      </c>
      <c r="EJ23" s="12">
        <f>IF('Données projet'!$A$192&gt;35,EJ22+EI23-ER22,IF(A23&lt;'Données projet'!$A$192,$EG$205^A23,IF(A23='Données projet'!$A$192,'Données projet'!$B$192,EJ22+EI23-ER22)))</f>
        <v>91</v>
      </c>
      <c r="EK23" s="17">
        <f>EJ23*VLOOKUP('Données projet'!$B$15,Paramètres!$A$1:$I$89,3,0)*VLOOKUP('Données projet'!$B$15,Paramètres!$A$1:$I$89,5,0)</f>
        <v>54.417999999999999</v>
      </c>
      <c r="EL23" s="13">
        <f t="shared" si="45"/>
        <v>15.749044324804036</v>
      </c>
      <c r="EM23" s="20">
        <f t="shared" si="19"/>
        <v>122.20760219903367</v>
      </c>
      <c r="EN23" s="59">
        <f t="shared" si="20"/>
        <v>338.72230508592941</v>
      </c>
      <c r="EO23" s="59">
        <f ca="1">AVERAGE(OFFSET($EN$3,0,0,'Données projet'!$E$15+1,1))-AVERAGE(OFFSET($H$3,0,0,'Données projet'!$E$15+1,1))</f>
        <v>225.2264820414552</v>
      </c>
      <c r="EP23" s="59">
        <f t="shared" si="46"/>
        <v>249.91838548328681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14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0.22500000000000001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3.7619973062910037</v>
      </c>
      <c r="EX23" s="21">
        <f>EXP(-LN(2)/2)*EX22+(1-EXP(-LN(2)/2))/(LN(2)/2)*ER23*EU23*VLOOKUP('Données projet'!$B$15,Paramètres!$A$1:$I$89,3,0)*0.475*44/12</f>
        <v>5.416599311366614</v>
      </c>
      <c r="EY23" s="22">
        <f t="shared" si="21"/>
        <v>9.1785966176576181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228</v>
      </c>
      <c r="FC23" s="12">
        <f>VLOOKUP(A23,'Données projet'!$A$217:$I$237,9,0)</f>
        <v>20.100000000000001</v>
      </c>
      <c r="FD23" s="12">
        <f t="array" ref="FD23">INDEX(FC:FC,MIN(IF(ISNUMBER(FC23:FC219),ROW(FC23:FC219),"")))</f>
        <v>20.100000000000001</v>
      </c>
      <c r="FE23" s="12">
        <f>IF('Données projet'!$A$218&gt;35,FE22+FD23-FM22,IF(A23&lt;'Données projet'!$A$218,$FB$205^A23,IF(A23='Données projet'!$A$218,'Données projet'!$B$218,FE22+FD23-FM22)))</f>
        <v>227.99999999999997</v>
      </c>
      <c r="FF23" s="17">
        <f>FE23*VLOOKUP('Données projet'!$B$16,Paramètres!$A$1:$I$89,3,0)*VLOOKUP('Données projet'!$B$16,Paramètres!$A$1:$I$89,5,0)</f>
        <v>127.452</v>
      </c>
      <c r="FG23" s="13">
        <f t="shared" si="47"/>
        <v>33.406914773953936</v>
      </c>
      <c r="FH23" s="20">
        <f t="shared" si="22"/>
        <v>280.16260989796973</v>
      </c>
      <c r="FI23" s="59">
        <f t="shared" si="23"/>
        <v>496.67731278486542</v>
      </c>
      <c r="FJ23" s="59">
        <f ca="1">AVERAGE(OFFSET($FI$3,0,0,'Données projet'!$E$16+1,1))-AVERAGE(OFFSET($H$3,0,0,'Données projet'!$E$16+1,1))</f>
        <v>549.85684198202534</v>
      </c>
      <c r="FK23" s="59">
        <f t="shared" si="48"/>
        <v>539.63748606275431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104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0.27500000000000002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21.124811351536597</v>
      </c>
      <c r="FS23" s="21">
        <f>EXP(-LN(2)/2)*FS22+(1-EXP(-LN(2)/2))/(LN(2)/2)*FM23*FP23*VLOOKUP('Données projet'!$B$16,Paramètres!$A$1:$I$89,3,0)*0.475*44/12</f>
        <v>32.911728424499309</v>
      </c>
      <c r="FT23" s="22">
        <f t="shared" si="24"/>
        <v>54.036539776035909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184</v>
      </c>
      <c r="FX23" s="12">
        <f>VLOOKUP(A23,'Données projet'!$A$243:$I$263,9,0)</f>
        <v>9.1999999999999993</v>
      </c>
      <c r="FY23" s="12">
        <f t="array" ref="FY23">INDEX(FX:FX,MIN(IF(ISNUMBER(FX23:FX219),ROW(FX23:FX219),"")))</f>
        <v>9.1999999999999993</v>
      </c>
      <c r="FZ23" s="12">
        <f>IF('Données projet'!$A$244&gt;35,FZ22+FY23-GH22,IF(A23&lt;'Données projet'!$A$244,$FW$205^A23,IF(A23='Données projet'!$A$244,'Données projet'!$B$244,FZ22+FY23-GH22)))</f>
        <v>184</v>
      </c>
      <c r="GA23" s="17">
        <f>FZ23*VLOOKUP('Données projet'!$B$17,Paramètres!$A$1:$I$89,3,0)*VLOOKUP('Données projet'!$B$17,Paramètres!$A$1:$I$89,5,0)</f>
        <v>110.03200000000001</v>
      </c>
      <c r="GB23" s="13">
        <f t="shared" si="49"/>
        <v>29.338523894513916</v>
      </c>
      <c r="GC23" s="20">
        <f t="shared" si="25"/>
        <v>242.73699578294506</v>
      </c>
      <c r="GD23" s="59">
        <f t="shared" si="26"/>
        <v>459.25169866984078</v>
      </c>
      <c r="GE23" s="59">
        <f ca="1">AVERAGE(OFFSET($GD$3,0,0,'Données projet'!$E$17+1,1))-AVERAGE(OFFSET($H$3,0,0,'Données projet'!$E$17+1,1))</f>
        <v>495.6641415122013</v>
      </c>
      <c r="GF23" s="59">
        <f t="shared" si="50"/>
        <v>488.90534169400757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60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0.22500000000000001</v>
      </c>
      <c r="GK23" s="16">
        <f>IF(ISNA(VLOOKUP(A23,'Données projet'!$A$243:$I$263,7,0)),0%,VLOOKUP(A23,'Données projet'!$A$243:$I$263,7,0))</f>
        <v>0.5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10.667188038139718</v>
      </c>
      <c r="GN23" s="21">
        <f>EXP(-LN(2)/2)*GN22+(1-EXP(-LN(2)/2))/(LN(2)/2)*GH23*GK23*VLOOKUP('Données projet'!$B$17,Paramètres!$A$1:$I$89,3,0)*0.475*44/12</f>
        <v>20.3122474176248</v>
      </c>
      <c r="GO23" s="21">
        <f t="shared" si="27"/>
        <v>30.979435455764516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>
        <f>VLOOKUP(A23,'Données projet'!$A$269:$I$289,2,0)</f>
        <v>184</v>
      </c>
      <c r="GS23" s="12">
        <f>VLOOKUP(A23,'Données projet'!$A$269:$I$289,9,0)</f>
        <v>9.1999999999999993</v>
      </c>
      <c r="GT23" s="12">
        <f t="array" ref="GT23">INDEX(GS:GS,MIN(IF(ISNUMBER(GS23:GS219),ROW(GS23:GS219),"")))</f>
        <v>9.1999999999999993</v>
      </c>
      <c r="GU23" s="12">
        <f>IF('Données projet'!$A$270&gt;35,GU22+GT23-HC22,IF(A23&lt;'Données projet'!$A$270,$GR$205^A23,IF(A23='Données projet'!$A$270,'Données projet'!$B$270,GU22+GT23-HC22)))</f>
        <v>184</v>
      </c>
      <c r="GV23" s="17">
        <f>GU23*VLOOKUP('Données projet'!$B$18,Paramètres!$A$1:$I$89,3,0)*VLOOKUP('Données projet'!$B$18,Paramètres!$A$1:$I$89,5,0)</f>
        <v>110.03200000000001</v>
      </c>
      <c r="GW23" s="13">
        <f t="shared" si="51"/>
        <v>29.338523894513916</v>
      </c>
      <c r="GX23" s="20">
        <f t="shared" si="28"/>
        <v>242.73699578294506</v>
      </c>
      <c r="GY23" s="59">
        <f t="shared" si="29"/>
        <v>459.25169866984078</v>
      </c>
      <c r="GZ23" s="59">
        <f ca="1">AVERAGE(OFFSET($GY$3,0,0,'Données projet'!$E$18+1,1))-AVERAGE(OFFSET($H$3,0,0,'Données projet'!$E$18+1,1))</f>
        <v>-18.333333333333343</v>
      </c>
      <c r="HA23" s="59">
        <f t="shared" si="52"/>
        <v>-18.333333333333343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60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0.22500000000000001</v>
      </c>
      <c r="HF23" s="16">
        <f>IF(ISNA(VLOOKUP(A23,'Données projet'!$A$269:$I$289,7,0)),0%,VLOOKUP(A23,'Données projet'!$A$269:$I$289,7,0))</f>
        <v>0.5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10.667188038139718</v>
      </c>
      <c r="HI23" s="21">
        <f>EXP(-LN(2)/2)*HI22+(1-EXP(-LN(2)/2))/(LN(2)/2)*HC23*HF23*VLOOKUP('Données projet'!$B$18,Paramètres!$A$1:$I$89,3,0)*0.475*44/12</f>
        <v>20.3122474176248</v>
      </c>
      <c r="HJ23" s="22">
        <f t="shared" si="30"/>
        <v>30.979435455764516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154.69999999999999</v>
      </c>
      <c r="O24" s="13">
        <f>N24*VLOOKUP('Données projet'!$B$9,Paramètres!$A$1:$I$89,3,0)*VLOOKUP('Données projet'!$B$9,Paramètres!$A$1:$I$89,5,0)</f>
        <v>72.399599999999992</v>
      </c>
      <c r="P24" s="13">
        <f t="shared" si="33"/>
        <v>20.268188832715463</v>
      </c>
      <c r="Q24" s="20">
        <f t="shared" si="2"/>
        <v>161.3963988836461</v>
      </c>
      <c r="R24" s="59">
        <f t="shared" si="0"/>
        <v>380.25392725952048</v>
      </c>
      <c r="S24" s="59">
        <f ca="1">AVERAGE(OFFSET($R$3,0,0,'Données projet'!$E$9+1,1))-AVERAGE(OFFSET($H$3,0,0,'Données projet'!$E$9+1,1))</f>
        <v>376.11581547534814</v>
      </c>
      <c r="T24" s="59">
        <f t="shared" si="34"/>
        <v>300.91675649863294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2.0675801707067252</v>
      </c>
      <c r="AB24" s="21">
        <f>EXP(-LN(2)/2)*AB23+(1-EXP(-LN(2)/2))/(LN(2)/2)*V24*Y24*VLOOKUP('Données projet'!$B$9,Paramètres!$A$1:$I$89,3,0)*0.475*44/12</f>
        <v>2.341781721218712</v>
      </c>
      <c r="AC24" s="22">
        <f t="shared" si="3"/>
        <v>4.4093618919254371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68.040959999999998</v>
      </c>
      <c r="AK24" s="13">
        <f t="shared" si="35"/>
        <v>19.186158107165539</v>
      </c>
      <c r="AL24" s="20">
        <f t="shared" si="4"/>
        <v>151.92056403664665</v>
      </c>
      <c r="AM24" s="59">
        <f t="shared" si="5"/>
        <v>370.778092412521</v>
      </c>
      <c r="AN24" s="59">
        <f ca="1">AVERAGE(OFFSET($AM$3,0,0,'Données projet'!$E$10+1,1))-AVERAGE(OFFSET($H$3,0,0,'Données projet'!$E$10+1,1))</f>
        <v>505.38595282220405</v>
      </c>
      <c r="AO24" s="59">
        <f t="shared" si="36"/>
        <v>351.72130415456365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0.62503575099909969</v>
      </c>
      <c r="AW24" s="21">
        <f>EXP(-LN(2)/2)*AW23+(1-EXP(-LN(2)/2))/(LN(2)/2)*AQ24*AT24*VLOOKUP('Données projet'!$B$10,Paramètres!$A$1:$I$89,3,0)*0.475*44/12</f>
        <v>0.90548893220456861</v>
      </c>
      <c r="AX24" s="21">
        <f t="shared" si="6"/>
        <v>1.5305246832036683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64.841399999999993</v>
      </c>
      <c r="BF24" s="13">
        <f t="shared" si="37"/>
        <v>18.386744053291277</v>
      </c>
      <c r="BG24" s="20">
        <f t="shared" si="7"/>
        <v>144.95568422614897</v>
      </c>
      <c r="BH24" s="59">
        <f t="shared" si="8"/>
        <v>363.81321260202333</v>
      </c>
      <c r="BI24" s="59">
        <f ca="1">AVERAGE(OFFSET($BH$3,0,0,'Données projet'!$E$11+1,1))-AVERAGE(OFFSET($H$3,0,0,'Données projet'!$E$11+1,1))</f>
        <v>394.14657090341535</v>
      </c>
      <c r="BJ24" s="59">
        <f t="shared" si="38"/>
        <v>424.06445894109982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7.5644613433365375</v>
      </c>
      <c r="BR24" s="21">
        <f>EXP(-LN(2)/2)*BR23+(1-EXP(-LN(2)/2))/(LN(2)/2)*BL24*BO24*VLOOKUP('Données projet'!$B$11,Paramètres!$A$1:$I$89,3,0)*0.475*44/12</f>
        <v>8.8909646015603769</v>
      </c>
      <c r="BS24" s="22">
        <f t="shared" si="9"/>
        <v>16.455425944896916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18.5</v>
      </c>
      <c r="BY24" s="12">
        <f>IF('Données projet'!$A$114&gt;35,BY23+BX24-CG23,IF(A24&lt;'Données projet'!$A$114,$BV$205^A24,IF(A24='Données projet'!$A$114,'Données projet'!$B$114,BY23+BX24-CG23)))</f>
        <v>130.49999999999997</v>
      </c>
      <c r="BZ24" s="13">
        <f>BY24*VLOOKUP('Données projet'!$B$12,Paramètres!$A$1:$I$89,3,0)*VLOOKUP('Données projet'!$B$12,Paramètres!$A$1:$I$89,5,0)</f>
        <v>71.252999999999986</v>
      </c>
      <c r="CA24" s="13">
        <f t="shared" si="39"/>
        <v>19.98429960724846</v>
      </c>
      <c r="CB24" s="20">
        <f t="shared" si="10"/>
        <v>158.90496348262437</v>
      </c>
      <c r="CC24" s="59">
        <f t="shared" si="11"/>
        <v>377.76249185849872</v>
      </c>
      <c r="CD24" s="59">
        <f ca="1">AVERAGE(OFFSET($CC$3,0,0,'Données projet'!$E$12+1,1))-AVERAGE(OFFSET($H$3,0,0,'Données projet'!$E$12+1,1))</f>
        <v>382.09004346384319</v>
      </c>
      <c r="CE24" s="59">
        <f t="shared" si="40"/>
        <v>410.18893995284986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21.907028823127465</v>
      </c>
      <c r="CM24" s="21">
        <f>EXP(-LN(2)/2)*CM23+(1-EXP(-LN(2)/2))/(LN(2)/2)*CG24*CJ24*VLOOKUP('Données projet'!$B$12,Paramètres!$A$1:$I$89,3,0)*0.475*44/12</f>
        <v>21.474138383575589</v>
      </c>
      <c r="CN24" s="22">
        <f t="shared" si="12"/>
        <v>43.381167206703054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13.4</v>
      </c>
      <c r="CT24" s="12">
        <f>IF('Données projet'!$A$140&gt;35,CT23+CS24-DB23,IF(A24&lt;'Données projet'!$A$140,$CQ$205^A24,IF(A24='Données projet'!$A$140,'Données projet'!$B$140,CT23+CS24-DB23)))</f>
        <v>107.4</v>
      </c>
      <c r="CU24" s="17">
        <f>CT24*VLOOKUP('Données projet'!$B$13,Paramètres!$A$1:$I$89,3,0)*VLOOKUP('Données projet'!$B$13,Paramètres!$A$1:$I$89,5,0)</f>
        <v>93.824640000000016</v>
      </c>
      <c r="CV24" s="13">
        <f t="shared" si="41"/>
        <v>25.48538998338303</v>
      </c>
      <c r="CW24" s="20">
        <f t="shared" si="13"/>
        <v>207.79830222105878</v>
      </c>
      <c r="CX24" s="59">
        <f t="shared" si="14"/>
        <v>426.65583059693313</v>
      </c>
      <c r="CY24" s="59">
        <f ca="1">AVERAGE(OFFSET($CX$3,0,0,'Données projet'!$E$13+1,1))-AVERAGE(OFFSET($H$3,0,0,'Données projet'!$E$13+1,1))</f>
        <v>363.02374534486341</v>
      </c>
      <c r="CZ24" s="59">
        <f t="shared" si="42"/>
        <v>489.00477393029598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6.1637280262589398</v>
      </c>
      <c r="DH24" s="21">
        <f>EXP(-LN(2)/2)*DH23+(1-EXP(-LN(2)/2))/(LN(2)/2)*DB24*DE24*VLOOKUP('Données projet'!$B$13,Paramètres!$A$1:$I$89,3,0)*0.475*44/12</f>
        <v>6.8064910742484468</v>
      </c>
      <c r="DI24" s="22">
        <f t="shared" si="15"/>
        <v>12.970219100507386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>
        <f>DO24*VLOOKUP('Données projet'!$B$14,Paramètres!$A$1:$I$89,3,0)*VLOOKUP('Données projet'!$B$14,Paramètres!$A$1:$I$89,5,0)</f>
        <v>59.755800000000001</v>
      </c>
      <c r="DQ24" s="13">
        <f t="shared" si="43"/>
        <v>17.106512943588541</v>
      </c>
      <c r="DR24" s="20">
        <f t="shared" si="16"/>
        <v>133.86852837675002</v>
      </c>
      <c r="DS24" s="59">
        <f t="shared" si="17"/>
        <v>352.7260567526244</v>
      </c>
      <c r="DT24" s="59">
        <f ca="1">AVERAGE(OFFSET($DS$3,0,0,'Données projet'!$E$14+1,1))-AVERAGE(OFFSET($H$3,0,0,'Données projet'!$E$14+1,1))</f>
        <v>368.03281986807173</v>
      </c>
      <c r="DU24" s="59">
        <f t="shared" si="44"/>
        <v>395.83504504492248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5.6558551146441518</v>
      </c>
      <c r="EC24" s="21">
        <f>EXP(-LN(2)/2)*EC23+(1-EXP(-LN(2)/2))/(LN(2)/2)*DW24*DZ24*VLOOKUP('Données projet'!$B$14,Paramètres!$A$1:$I$89,3,0)*0.475*44/12</f>
        <v>8.1936340445752478</v>
      </c>
      <c r="ED24" s="22">
        <f t="shared" si="18"/>
        <v>13.849489159219399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11</v>
      </c>
      <c r="EJ24" s="12">
        <f>IF('Données projet'!$A$192&gt;35,EJ23+EI24-ER23,IF(A24&lt;'Données projet'!$A$192,$EG$205^A24,IF(A24='Données projet'!$A$192,'Données projet'!$B$192,EJ23+EI24-ER23)))</f>
        <v>88</v>
      </c>
      <c r="EK24" s="17">
        <f>EJ24*VLOOKUP('Données projet'!$B$15,Paramètres!$A$1:$I$89,3,0)*VLOOKUP('Données projet'!$B$15,Paramètres!$A$1:$I$89,5,0)</f>
        <v>52.624000000000009</v>
      </c>
      <c r="EL24" s="13">
        <f t="shared" si="45"/>
        <v>15.289388641788772</v>
      </c>
      <c r="EM24" s="20">
        <f t="shared" si="19"/>
        <v>118.28248521778211</v>
      </c>
      <c r="EN24" s="59">
        <f t="shared" si="20"/>
        <v>337.14001359365648</v>
      </c>
      <c r="EO24" s="59">
        <f ca="1">AVERAGE(OFFSET($EN$3,0,0,'Données projet'!$E$15+1,1))-AVERAGE(OFFSET($H$3,0,0,'Données projet'!$E$15+1,1))</f>
        <v>225.2264820414552</v>
      </c>
      <c r="EP24" s="59">
        <f t="shared" si="46"/>
        <v>249.91838548328681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3.6591252921156361</v>
      </c>
      <c r="EX24" s="21">
        <f>EXP(-LN(2)/2)*EX23+(1-EXP(-LN(2)/2))/(LN(2)/2)*ER24*EU24*VLOOKUP('Données projet'!$B$15,Paramètres!$A$1:$I$89,3,0)*0.475*44/12</f>
        <v>3.8301141040377167</v>
      </c>
      <c r="EY24" s="22">
        <f t="shared" si="21"/>
        <v>7.4892393961533532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27.5</v>
      </c>
      <c r="FE24" s="12">
        <f>IF('Données projet'!$A$218&gt;35,FE23+FD24-FM23,IF(A24&lt;'Données projet'!$A$218,$FB$205^A24,IF(A24='Données projet'!$A$218,'Données projet'!$B$218,FE23+FD24-FM23)))</f>
        <v>151.49999999999997</v>
      </c>
      <c r="FF24" s="17">
        <f>FE24*VLOOKUP('Données projet'!$B$16,Paramètres!$A$1:$I$89,3,0)*VLOOKUP('Données projet'!$B$16,Paramètres!$A$1:$I$89,5,0)</f>
        <v>84.688499999999976</v>
      </c>
      <c r="FG24" s="13">
        <f t="shared" si="47"/>
        <v>23.279719368585155</v>
      </c>
      <c r="FH24" s="20">
        <f t="shared" si="22"/>
        <v>188.04464873361908</v>
      </c>
      <c r="FI24" s="59">
        <f t="shared" si="23"/>
        <v>406.90217710949344</v>
      </c>
      <c r="FJ24" s="59">
        <f ca="1">AVERAGE(OFFSET($FI$3,0,0,'Données projet'!$E$16+1,1))-AVERAGE(OFFSET($H$3,0,0,'Données projet'!$E$16+1,1))</f>
        <v>549.85684198202534</v>
      </c>
      <c r="FK24" s="59">
        <f t="shared" si="48"/>
        <v>539.63748606275431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20.547152274223279</v>
      </c>
      <c r="FS24" s="21">
        <f>EXP(-LN(2)/2)*FS23+(1-EXP(-LN(2)/2))/(LN(2)/2)*FM24*FP24*VLOOKUP('Données projet'!$B$16,Paramètres!$A$1:$I$89,3,0)*0.475*44/12</f>
        <v>23.272106349533512</v>
      </c>
      <c r="FT24" s="22">
        <f t="shared" si="24"/>
        <v>43.819258623756795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20.9</v>
      </c>
      <c r="FZ24" s="12">
        <f>IF('Données projet'!$A$244&gt;35,FZ23+FY24-GH23,IF(A24&lt;'Données projet'!$A$244,$FW$205^A24,IF(A24='Données projet'!$A$244,'Données projet'!$B$244,FZ23+FY24-GH23)))</f>
        <v>144.9</v>
      </c>
      <c r="GA24" s="17">
        <f>FZ24*VLOOKUP('Données projet'!$B$17,Paramètres!$A$1:$I$89,3,0)*VLOOKUP('Données projet'!$B$17,Paramètres!$A$1:$I$89,5,0)</f>
        <v>86.650200000000012</v>
      </c>
      <c r="GB24" s="13">
        <f t="shared" si="49"/>
        <v>23.75555911158321</v>
      </c>
      <c r="GC24" s="20">
        <f t="shared" si="25"/>
        <v>192.29003045267413</v>
      </c>
      <c r="GD24" s="59">
        <f t="shared" si="26"/>
        <v>411.14755882854854</v>
      </c>
      <c r="GE24" s="59">
        <f ca="1">AVERAGE(OFFSET($GD$3,0,0,'Données projet'!$E$17+1,1))-AVERAGE(OFFSET($H$3,0,0,'Données projet'!$E$17+1,1))</f>
        <v>495.6641415122013</v>
      </c>
      <c r="GF24" s="59">
        <f t="shared" si="50"/>
        <v>488.90534169400757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10.375493220273748</v>
      </c>
      <c r="GN24" s="21">
        <f>EXP(-LN(2)/2)*GN23+(1-EXP(-LN(2)/2))/(LN(2)/2)*GH24*GK24*VLOOKUP('Données projet'!$B$17,Paramètres!$A$1:$I$89,3,0)*0.475*44/12</f>
        <v>14.362927890141435</v>
      </c>
      <c r="GO24" s="21">
        <f t="shared" si="27"/>
        <v>24.738421110415182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20.9</v>
      </c>
      <c r="GU24" s="12">
        <f>IF('Données projet'!$A$270&gt;35,GU23+GT24-HC23,IF(A24&lt;'Données projet'!$A$270,$GR$205^A24,IF(A24='Données projet'!$A$270,'Données projet'!$B$270,GU23+GT24-HC23)))</f>
        <v>144.9</v>
      </c>
      <c r="GV24" s="17">
        <f>GU24*VLOOKUP('Données projet'!$B$18,Paramètres!$A$1:$I$89,3,0)*VLOOKUP('Données projet'!$B$18,Paramètres!$A$1:$I$89,5,0)</f>
        <v>86.650200000000012</v>
      </c>
      <c r="GW24" s="13">
        <f t="shared" si="51"/>
        <v>23.75555911158321</v>
      </c>
      <c r="GX24" s="20">
        <f t="shared" si="28"/>
        <v>192.29003045267413</v>
      </c>
      <c r="GY24" s="59">
        <f t="shared" si="29"/>
        <v>411.14755882854854</v>
      </c>
      <c r="GZ24" s="59">
        <f ca="1">AVERAGE(OFFSET($GY$3,0,0,'Données projet'!$E$18+1,1))-AVERAGE(OFFSET($H$3,0,0,'Données projet'!$E$18+1,1))</f>
        <v>-18.333333333333343</v>
      </c>
      <c r="HA24" s="59">
        <f t="shared" si="52"/>
        <v>-18.333333333333343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10.375493220273748</v>
      </c>
      <c r="HI24" s="21">
        <f>EXP(-LN(2)/2)*HI23+(1-EXP(-LN(2)/2))/(LN(2)/2)*HC24*HF24*VLOOKUP('Données projet'!$B$18,Paramètres!$A$1:$I$89,3,0)*0.475*44/12</f>
        <v>14.362927890141435</v>
      </c>
      <c r="HJ24" s="22">
        <f t="shared" si="30"/>
        <v>24.738421110415182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163.89999999999998</v>
      </c>
      <c r="O25" s="13">
        <f>N25*VLOOKUP('Données projet'!$B$9,Paramètres!$A$1:$I$89,3,0)*VLOOKUP('Données projet'!$B$9,Paramètres!$A$1:$I$89,5,0)</f>
        <v>76.705199999999991</v>
      </c>
      <c r="P25" s="13">
        <f t="shared" si="33"/>
        <v>21.32962715676695</v>
      </c>
      <c r="Q25" s="20">
        <f t="shared" si="2"/>
        <v>170.74399063136909</v>
      </c>
      <c r="R25" s="59">
        <f t="shared" si="0"/>
        <v>391.92490453483748</v>
      </c>
      <c r="S25" s="59">
        <f ca="1">AVERAGE(OFFSET($R$3,0,0,'Données projet'!$E$9+1,1))-AVERAGE(OFFSET($H$3,0,0,'Données projet'!$E$9+1,1))</f>
        <v>376.11581547534814</v>
      </c>
      <c r="T25" s="59">
        <f t="shared" si="34"/>
        <v>300.91675649863294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2.0110420822094341</v>
      </c>
      <c r="AB25" s="21">
        <f>EXP(-LN(2)/2)*AB24+(1-EXP(-LN(2)/2))/(LN(2)/2)*V25*Y25*VLOOKUP('Données projet'!$B$9,Paramètres!$A$1:$I$89,3,0)*0.475*44/12</f>
        <v>1.6558897351324564</v>
      </c>
      <c r="AC25" s="22">
        <f t="shared" si="3"/>
        <v>3.6669318173418906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75.460319999999996</v>
      </c>
      <c r="AK25" s="13">
        <f t="shared" si="35"/>
        <v>21.023463123249066</v>
      </c>
      <c r="AL25" s="20">
        <f t="shared" si="4"/>
        <v>168.04258893965877</v>
      </c>
      <c r="AM25" s="59">
        <f t="shared" si="5"/>
        <v>389.22350284312716</v>
      </c>
      <c r="AN25" s="59">
        <f ca="1">AVERAGE(OFFSET($AM$3,0,0,'Données projet'!$E$10+1,1))-AVERAGE(OFFSET($H$3,0,0,'Données projet'!$E$10+1,1))</f>
        <v>505.38595282220405</v>
      </c>
      <c r="AO25" s="59">
        <f t="shared" si="36"/>
        <v>351.72130415456365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0.60794411551882765</v>
      </c>
      <c r="AW25" s="21">
        <f>EXP(-LN(2)/2)*AW24+(1-EXP(-LN(2)/2))/(LN(2)/2)*AQ25*AT25*VLOOKUP('Données projet'!$B$10,Paramètres!$A$1:$I$89,3,0)*0.475*44/12</f>
        <v>0.64027736425121651</v>
      </c>
      <c r="AX25" s="21">
        <f t="shared" si="6"/>
        <v>1.2482214797700442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76.377600000000001</v>
      </c>
      <c r="BF25" s="13">
        <f t="shared" si="37"/>
        <v>21.249114127498419</v>
      </c>
      <c r="BG25" s="20">
        <f t="shared" si="7"/>
        <v>170.03319377205972</v>
      </c>
      <c r="BH25" s="59">
        <f t="shared" si="8"/>
        <v>391.21410767552811</v>
      </c>
      <c r="BI25" s="59">
        <f ca="1">AVERAGE(OFFSET($BH$3,0,0,'Données projet'!$E$11+1,1))-AVERAGE(OFFSET($H$3,0,0,'Données projet'!$E$11+1,1))</f>
        <v>394.14657090341535</v>
      </c>
      <c r="BJ25" s="59">
        <f t="shared" si="38"/>
        <v>424.06445894109982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7.357610750105267</v>
      </c>
      <c r="BR25" s="21">
        <f>EXP(-LN(2)/2)*BR24+(1-EXP(-LN(2)/2))/(LN(2)/2)*BL25*BO25*VLOOKUP('Données projet'!$B$11,Paramètres!$A$1:$I$89,3,0)*0.475*44/12</f>
        <v>6.2868613610528934</v>
      </c>
      <c r="BS25" s="22">
        <f t="shared" si="9"/>
        <v>13.64447211115816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18.5</v>
      </c>
      <c r="BY25" s="12">
        <f>IF('Données projet'!$A$114&gt;35,BY24+BX25-CG24,IF(A25&lt;'Données projet'!$A$114,$BV$205^A25,IF(A25='Données projet'!$A$114,'Données projet'!$B$114,BY24+BX25-CG24)))</f>
        <v>148.99999999999997</v>
      </c>
      <c r="BZ25" s="13">
        <f>BY25*VLOOKUP('Données projet'!$B$12,Paramètres!$A$1:$I$89,3,0)*VLOOKUP('Données projet'!$B$12,Paramètres!$A$1:$I$89,5,0)</f>
        <v>81.353999999999985</v>
      </c>
      <c r="CA25" s="13">
        <f t="shared" si="39"/>
        <v>22.467920097706006</v>
      </c>
      <c r="CB25" s="20">
        <f t="shared" si="10"/>
        <v>180.82317750350458</v>
      </c>
      <c r="CC25" s="59">
        <f t="shared" si="11"/>
        <v>402.00409140697298</v>
      </c>
      <c r="CD25" s="59">
        <f ca="1">AVERAGE(OFFSET($CC$3,0,0,'Données projet'!$E$12+1,1))-AVERAGE(OFFSET($H$3,0,0,'Données projet'!$E$12+1,1))</f>
        <v>382.09004346384319</v>
      </c>
      <c r="CE25" s="59">
        <f t="shared" si="40"/>
        <v>410.18893995284986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21.307979967918467</v>
      </c>
      <c r="CM25" s="21">
        <f>EXP(-LN(2)/2)*CM24+(1-EXP(-LN(2)/2))/(LN(2)/2)*CG25*CJ25*VLOOKUP('Données projet'!$B$12,Paramètres!$A$1:$I$89,3,0)*0.475*44/12</f>
        <v>15.184508871164626</v>
      </c>
      <c r="CN25" s="22">
        <f t="shared" si="12"/>
        <v>36.492488839083094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13.4</v>
      </c>
      <c r="CT25" s="12">
        <f>IF('Données projet'!$A$140&gt;35,CT24+CS25-DB24,IF(A25&lt;'Données projet'!$A$140,$CQ$205^A25,IF(A25='Données projet'!$A$140,'Données projet'!$B$140,CT24+CS25-DB24)))</f>
        <v>120.80000000000001</v>
      </c>
      <c r="CU25" s="17">
        <f>CT25*VLOOKUP('Données projet'!$B$13,Paramètres!$A$1:$I$89,3,0)*VLOOKUP('Données projet'!$B$13,Paramètres!$A$1:$I$89,5,0)</f>
        <v>105.53088000000002</v>
      </c>
      <c r="CV25" s="13">
        <f t="shared" si="41"/>
        <v>28.275496771440064</v>
      </c>
      <c r="CW25" s="20">
        <f t="shared" si="13"/>
        <v>233.04610621025813</v>
      </c>
      <c r="CX25" s="59">
        <f t="shared" si="14"/>
        <v>454.22702011372655</v>
      </c>
      <c r="CY25" s="59">
        <f ca="1">AVERAGE(OFFSET($CX$3,0,0,'Données projet'!$E$13+1,1))-AVERAGE(OFFSET($H$3,0,0,'Données projet'!$E$13+1,1))</f>
        <v>363.02374534486341</v>
      </c>
      <c r="CZ25" s="59">
        <f t="shared" si="42"/>
        <v>489.00477393029598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5.9951805592445195</v>
      </c>
      <c r="DH25" s="21">
        <f>EXP(-LN(2)/2)*DH24+(1-EXP(-LN(2)/2))/(LN(2)/2)*DB25*DE25*VLOOKUP('Données projet'!$B$13,Paramètres!$A$1:$I$89,3,0)*0.475*44/12</f>
        <v>4.8129159946867857</v>
      </c>
      <c r="DI25" s="22">
        <f t="shared" si="15"/>
        <v>10.808096553931305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>
        <f>DO25*VLOOKUP('Données projet'!$B$14,Paramètres!$A$1:$I$89,3,0)*VLOOKUP('Données projet'!$B$14,Paramètres!$A$1:$I$89,5,0)</f>
        <v>70.387199999999993</v>
      </c>
      <c r="DQ25" s="13">
        <f t="shared" si="43"/>
        <v>19.769582086327805</v>
      </c>
      <c r="DR25" s="20">
        <f t="shared" si="16"/>
        <v>157.02306213368757</v>
      </c>
      <c r="DS25" s="59">
        <f t="shared" si="17"/>
        <v>378.20397603715594</v>
      </c>
      <c r="DT25" s="59">
        <f ca="1">AVERAGE(OFFSET($DS$3,0,0,'Données projet'!$E$14+1,1))-AVERAGE(OFFSET($H$3,0,0,'Données projet'!$E$14+1,1))</f>
        <v>368.03281986807173</v>
      </c>
      <c r="DU25" s="59">
        <f t="shared" si="44"/>
        <v>395.83504504492248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5.5011954591057135</v>
      </c>
      <c r="EC25" s="21">
        <f>EXP(-LN(2)/2)*EC24+(1-EXP(-LN(2)/2))/(LN(2)/2)*DW25*DZ25*VLOOKUP('Données projet'!$B$14,Paramètres!$A$1:$I$89,3,0)*0.475*44/12</f>
        <v>5.7937741954801165</v>
      </c>
      <c r="ED25" s="22">
        <f t="shared" si="18"/>
        <v>11.294969654585831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11</v>
      </c>
      <c r="EJ25" s="12">
        <f>IF('Données projet'!$A$192&gt;35,EJ24+EI25-ER24,IF(A25&lt;'Données projet'!$A$192,$EG$205^A25,IF(A25='Données projet'!$A$192,'Données projet'!$B$192,EJ24+EI25-ER24)))</f>
        <v>99</v>
      </c>
      <c r="EK25" s="17">
        <f>EJ25*VLOOKUP('Données projet'!$B$15,Paramètres!$A$1:$I$89,3,0)*VLOOKUP('Données projet'!$B$15,Paramètres!$A$1:$I$89,5,0)</f>
        <v>59.201999999999998</v>
      </c>
      <c r="EL25" s="13">
        <f t="shared" si="45"/>
        <v>16.966352622896878</v>
      </c>
      <c r="EM25" s="20">
        <f t="shared" si="19"/>
        <v>132.65988081821206</v>
      </c>
      <c r="EN25" s="59">
        <f t="shared" si="20"/>
        <v>353.84079472168048</v>
      </c>
      <c r="EO25" s="59">
        <f ca="1">AVERAGE(OFFSET($EN$3,0,0,'Données projet'!$E$15+1,1))-AVERAGE(OFFSET($H$3,0,0,'Données projet'!$E$15+1,1))</f>
        <v>225.2264820414552</v>
      </c>
      <c r="EP25" s="59">
        <f t="shared" si="46"/>
        <v>249.91838548328681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3.5590663185776981</v>
      </c>
      <c r="EX25" s="21">
        <f>EXP(-LN(2)/2)*EX24+(1-EXP(-LN(2)/2))/(LN(2)/2)*ER25*EU25*VLOOKUP('Données projet'!$B$15,Paramètres!$A$1:$I$89,3,0)*0.475*44/12</f>
        <v>2.7082996556833074</v>
      </c>
      <c r="EY25" s="22">
        <f t="shared" si="21"/>
        <v>6.2673659742610059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27.5</v>
      </c>
      <c r="FE25" s="12">
        <f>IF('Données projet'!$A$218&gt;35,FE24+FD25-FM24,IF(A25&lt;'Données projet'!$A$218,$FB$205^A25,IF(A25='Données projet'!$A$218,'Données projet'!$B$218,FE24+FD25-FM24)))</f>
        <v>178.99999999999997</v>
      </c>
      <c r="FF25" s="17">
        <f>FE25*VLOOKUP('Données projet'!$B$16,Paramètres!$A$1:$I$89,3,0)*VLOOKUP('Données projet'!$B$16,Paramètres!$A$1:$I$89,5,0)</f>
        <v>100.06099999999998</v>
      </c>
      <c r="FG25" s="13">
        <f t="shared" si="47"/>
        <v>26.976529441369074</v>
      </c>
      <c r="FH25" s="20">
        <f t="shared" si="22"/>
        <v>221.25703044371778</v>
      </c>
      <c r="FI25" s="59">
        <f t="shared" si="23"/>
        <v>442.4379443471862</v>
      </c>
      <c r="FJ25" s="59">
        <f ca="1">AVERAGE(OFFSET($FI$3,0,0,'Données projet'!$E$16+1,1))-AVERAGE(OFFSET($H$3,0,0,'Données projet'!$E$16+1,1))</f>
        <v>549.85684198202534</v>
      </c>
      <c r="FK25" s="59">
        <f t="shared" si="48"/>
        <v>539.63748606275431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19.985289314756866</v>
      </c>
      <c r="FS25" s="21">
        <f>EXP(-LN(2)/2)*FS24+(1-EXP(-LN(2)/2))/(LN(2)/2)*FM25*FP25*VLOOKUP('Données projet'!$B$16,Paramètres!$A$1:$I$89,3,0)*0.475*44/12</f>
        <v>16.455864212249658</v>
      </c>
      <c r="FT25" s="22">
        <f t="shared" si="24"/>
        <v>36.44115352700652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20.9</v>
      </c>
      <c r="FZ25" s="12">
        <f>IF('Données projet'!$A$244&gt;35,FZ24+FY25-GH24,IF(A25&lt;'Données projet'!$A$244,$FW$205^A25,IF(A25='Données projet'!$A$244,'Données projet'!$B$244,FZ24+FY25-GH24)))</f>
        <v>165.8</v>
      </c>
      <c r="GA25" s="17">
        <f>FZ25*VLOOKUP('Données projet'!$B$17,Paramètres!$A$1:$I$89,3,0)*VLOOKUP('Données projet'!$B$17,Paramètres!$A$1:$I$89,5,0)</f>
        <v>99.148400000000024</v>
      </c>
      <c r="GB25" s="13">
        <f t="shared" si="49"/>
        <v>26.759014716890203</v>
      </c>
      <c r="GC25" s="20">
        <f t="shared" si="25"/>
        <v>219.28874729858379</v>
      </c>
      <c r="GD25" s="59">
        <f t="shared" si="26"/>
        <v>440.46966120205218</v>
      </c>
      <c r="GE25" s="59">
        <f ca="1">AVERAGE(OFFSET($GD$3,0,0,'Données projet'!$E$17+1,1))-AVERAGE(OFFSET($H$3,0,0,'Données projet'!$E$17+1,1))</f>
        <v>495.6641415122013</v>
      </c>
      <c r="GF25" s="59">
        <f t="shared" si="50"/>
        <v>488.90534169400757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10.091774812541887</v>
      </c>
      <c r="GN25" s="21">
        <f>EXP(-LN(2)/2)*GN24+(1-EXP(-LN(2)/2))/(LN(2)/2)*GH25*GK25*VLOOKUP('Données projet'!$B$17,Paramètres!$A$1:$I$89,3,0)*0.475*44/12</f>
        <v>10.156123708812402</v>
      </c>
      <c r="GO25" s="21">
        <f t="shared" si="27"/>
        <v>20.247898521354287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20.9</v>
      </c>
      <c r="GU25" s="12">
        <f>IF('Données projet'!$A$270&gt;35,GU24+GT25-HC24,IF(A25&lt;'Données projet'!$A$270,$GR$205^A25,IF(A25='Données projet'!$A$270,'Données projet'!$B$270,GU24+GT25-HC24)))</f>
        <v>165.8</v>
      </c>
      <c r="GV25" s="17">
        <f>GU25*VLOOKUP('Données projet'!$B$18,Paramètres!$A$1:$I$89,3,0)*VLOOKUP('Données projet'!$B$18,Paramètres!$A$1:$I$89,5,0)</f>
        <v>99.148400000000024</v>
      </c>
      <c r="GW25" s="13">
        <f t="shared" si="51"/>
        <v>26.759014716890203</v>
      </c>
      <c r="GX25" s="20">
        <f t="shared" si="28"/>
        <v>219.28874729858379</v>
      </c>
      <c r="GY25" s="59">
        <f t="shared" si="29"/>
        <v>440.46966120205218</v>
      </c>
      <c r="GZ25" s="59">
        <f ca="1">AVERAGE(OFFSET($GY$3,0,0,'Données projet'!$E$18+1,1))-AVERAGE(OFFSET($H$3,0,0,'Données projet'!$E$18+1,1))</f>
        <v>-18.333333333333343</v>
      </c>
      <c r="HA25" s="59">
        <f t="shared" si="52"/>
        <v>-18.333333333333343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10.091774812541887</v>
      </c>
      <c r="HI25" s="21">
        <f>EXP(-LN(2)/2)*HI24+(1-EXP(-LN(2)/2))/(LN(2)/2)*HC25*HF25*VLOOKUP('Données projet'!$B$18,Paramètres!$A$1:$I$89,3,0)*0.475*44/12</f>
        <v>10.156123708812402</v>
      </c>
      <c r="HJ25" s="22">
        <f t="shared" si="30"/>
        <v>20.247898521354287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173.09999999999997</v>
      </c>
      <c r="O26" s="13">
        <f>N26*VLOOKUP('Données projet'!$B$9,Paramètres!$A$1:$I$89,3,0)*VLOOKUP('Données projet'!$B$9,Paramètres!$A$1:$I$89,5,0)</f>
        <v>81.010799999999989</v>
      </c>
      <c r="P26" s="13">
        <f t="shared" si="33"/>
        <v>22.384149091932141</v>
      </c>
      <c r="Q26" s="20">
        <f t="shared" si="2"/>
        <v>180.07953633511511</v>
      </c>
      <c r="R26" s="59">
        <f t="shared" si="0"/>
        <v>403.56473304466158</v>
      </c>
      <c r="S26" s="59">
        <f ca="1">AVERAGE(OFFSET($R$3,0,0,'Données projet'!$E$9+1,1))-AVERAGE(OFFSET($H$3,0,0,'Données projet'!$E$9+1,1))</f>
        <v>376.11581547534814</v>
      </c>
      <c r="T26" s="59">
        <f t="shared" si="34"/>
        <v>300.91675649863294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1.9560500307153104</v>
      </c>
      <c r="AB26" s="21">
        <f>EXP(-LN(2)/2)*AB25+(1-EXP(-LN(2)/2))/(LN(2)/2)*V26*Y26*VLOOKUP('Données projet'!$B$9,Paramètres!$A$1:$I$89,3,0)*0.475*44/12</f>
        <v>1.170890860609356</v>
      </c>
      <c r="AC26" s="22">
        <f t="shared" si="3"/>
        <v>3.1269408913246663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82.879680000000008</v>
      </c>
      <c r="AK26" s="13">
        <f t="shared" si="35"/>
        <v>22.83982519050506</v>
      </c>
      <c r="AL26" s="20">
        <f t="shared" si="4"/>
        <v>184.12813820679631</v>
      </c>
      <c r="AM26" s="59">
        <f t="shared" si="5"/>
        <v>407.61333491634281</v>
      </c>
      <c r="AN26" s="59">
        <f ca="1">AVERAGE(OFFSET($AM$3,0,0,'Données projet'!$E$10+1,1))-AVERAGE(OFFSET($H$3,0,0,'Données projet'!$E$10+1,1))</f>
        <v>505.38595282220405</v>
      </c>
      <c r="AO26" s="59">
        <f t="shared" si="36"/>
        <v>351.72130415456365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0.5913198517095738</v>
      </c>
      <c r="AW26" s="21">
        <f>EXP(-LN(2)/2)*AW25+(1-EXP(-LN(2)/2))/(LN(2)/2)*AQ26*AT26*VLOOKUP('Données projet'!$B$10,Paramètres!$A$1:$I$89,3,0)*0.475*44/12</f>
        <v>0.45274446610228436</v>
      </c>
      <c r="AX26" s="21">
        <f t="shared" si="6"/>
        <v>1.0440643178118583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87.913800000000009</v>
      </c>
      <c r="BF26" s="13">
        <f t="shared" si="37"/>
        <v>24.061399085756083</v>
      </c>
      <c r="BG26" s="20">
        <f t="shared" si="7"/>
        <v>195.02347174102519</v>
      </c>
      <c r="BH26" s="59">
        <f t="shared" si="8"/>
        <v>418.50866845057169</v>
      </c>
      <c r="BI26" s="59">
        <f ca="1">AVERAGE(OFFSET($BH$3,0,0,'Données projet'!$E$11+1,1))-AVERAGE(OFFSET($H$3,0,0,'Données projet'!$E$11+1,1))</f>
        <v>394.14657090341535</v>
      </c>
      <c r="BJ26" s="59">
        <f t="shared" si="38"/>
        <v>424.06445894109982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7.156416497223705</v>
      </c>
      <c r="BR26" s="21">
        <f>EXP(-LN(2)/2)*BR25+(1-EXP(-LN(2)/2))/(LN(2)/2)*BL26*BO26*VLOOKUP('Données projet'!$B$11,Paramètres!$A$1:$I$89,3,0)*0.475*44/12</f>
        <v>4.4454823007801894</v>
      </c>
      <c r="BS26" s="22">
        <f t="shared" si="9"/>
        <v>11.601898798003894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18.5</v>
      </c>
      <c r="BY26" s="12">
        <f>IF('Données projet'!$A$114&gt;35,BY25+BX26-CG25,IF(A26&lt;'Données projet'!$A$114,$BV$205^A26,IF(A26='Données projet'!$A$114,'Données projet'!$B$114,BY25+BX26-CG25)))</f>
        <v>167.49999999999997</v>
      </c>
      <c r="BZ26" s="13">
        <f>BY26*VLOOKUP('Données projet'!$B$12,Paramètres!$A$1:$I$89,3,0)*VLOOKUP('Données projet'!$B$12,Paramètres!$A$1:$I$89,5,0)</f>
        <v>91.454999999999984</v>
      </c>
      <c r="CA26" s="13">
        <f t="shared" si="39"/>
        <v>24.915807755003627</v>
      </c>
      <c r="CB26" s="20">
        <f t="shared" si="10"/>
        <v>202.67915683996458</v>
      </c>
      <c r="CC26" s="59">
        <f t="shared" si="11"/>
        <v>426.16435354951108</v>
      </c>
      <c r="CD26" s="59">
        <f ca="1">AVERAGE(OFFSET($CC$3,0,0,'Données projet'!$E$12+1,1))-AVERAGE(OFFSET($H$3,0,0,'Données projet'!$E$12+1,1))</f>
        <v>382.09004346384319</v>
      </c>
      <c r="CE26" s="59">
        <f t="shared" si="40"/>
        <v>410.18893995284986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20.725312135157768</v>
      </c>
      <c r="CM26" s="21">
        <f>EXP(-LN(2)/2)*CM25+(1-EXP(-LN(2)/2))/(LN(2)/2)*CG26*CJ26*VLOOKUP('Données projet'!$B$12,Paramètres!$A$1:$I$89,3,0)*0.475*44/12</f>
        <v>10.737069191787796</v>
      </c>
      <c r="CN26" s="22">
        <f t="shared" si="12"/>
        <v>31.462381326945565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13.4</v>
      </c>
      <c r="CT26" s="12">
        <f>IF('Données projet'!$A$140&gt;35,CT25+CS26-DB25,IF(A26&lt;'Données projet'!$A$140,$CQ$205^A26,IF(A26='Données projet'!$A$140,'Données projet'!$B$140,CT25+CS26-DB25)))</f>
        <v>134.20000000000002</v>
      </c>
      <c r="CU26" s="17">
        <f>CT26*VLOOKUP('Données projet'!$B$13,Paramètres!$A$1:$I$89,3,0)*VLOOKUP('Données projet'!$B$13,Paramètres!$A$1:$I$89,5,0)</f>
        <v>117.23712000000003</v>
      </c>
      <c r="CV26" s="13">
        <f t="shared" si="41"/>
        <v>31.029731926851252</v>
      </c>
      <c r="CW26" s="20">
        <f t="shared" si="13"/>
        <v>258.2314337725993</v>
      </c>
      <c r="CX26" s="59">
        <f t="shared" si="14"/>
        <v>481.71663048214577</v>
      </c>
      <c r="CY26" s="59">
        <f ca="1">AVERAGE(OFFSET($CX$3,0,0,'Données projet'!$E$13+1,1))-AVERAGE(OFFSET($H$3,0,0,'Données projet'!$E$13+1,1))</f>
        <v>363.02374534486341</v>
      </c>
      <c r="CZ26" s="59">
        <f t="shared" si="42"/>
        <v>489.00477393029598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5.8312420315791345</v>
      </c>
      <c r="DH26" s="21">
        <f>EXP(-LN(2)/2)*DH25+(1-EXP(-LN(2)/2))/(LN(2)/2)*DB26*DE26*VLOOKUP('Données projet'!$B$13,Paramètres!$A$1:$I$89,3,0)*0.475*44/12</f>
        <v>3.4032455371242238</v>
      </c>
      <c r="DI26" s="22">
        <f t="shared" si="15"/>
        <v>9.2344875687033579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>
        <f>DO26*VLOOKUP('Données projet'!$B$14,Paramètres!$A$1:$I$89,3,0)*VLOOKUP('Données projet'!$B$14,Paramètres!$A$1:$I$89,5,0)</f>
        <v>81.018599999999992</v>
      </c>
      <c r="DQ26" s="13">
        <f t="shared" si="43"/>
        <v>22.386053436560296</v>
      </c>
      <c r="DR26" s="20">
        <f t="shared" si="16"/>
        <v>180.09643806867584</v>
      </c>
      <c r="DS26" s="59">
        <f t="shared" si="17"/>
        <v>403.58163477822234</v>
      </c>
      <c r="DT26" s="59">
        <f ca="1">AVERAGE(OFFSET($DS$3,0,0,'Données projet'!$E$14+1,1))-AVERAGE(OFFSET($H$3,0,0,'Données projet'!$E$14+1,1))</f>
        <v>368.03281986807173</v>
      </c>
      <c r="DU26" s="59">
        <f t="shared" si="44"/>
        <v>395.83504504492248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5.3507649799811716</v>
      </c>
      <c r="EC26" s="21">
        <f>EXP(-LN(2)/2)*EC25+(1-EXP(-LN(2)/2))/(LN(2)/2)*DW26*DZ26*VLOOKUP('Données projet'!$B$14,Paramètres!$A$1:$I$89,3,0)*0.475*44/12</f>
        <v>4.0968170222876248</v>
      </c>
      <c r="ED26" s="22">
        <f t="shared" si="18"/>
        <v>9.4475820022687955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11</v>
      </c>
      <c r="EJ26" s="12">
        <f>IF('Données projet'!$A$192&gt;35,EJ25+EI26-ER25,IF(A26&lt;'Données projet'!$A$192,$EG$205^A26,IF(A26='Données projet'!$A$192,'Données projet'!$B$192,EJ25+EI26-ER25)))</f>
        <v>110</v>
      </c>
      <c r="EK26" s="17">
        <f>EJ26*VLOOKUP('Données projet'!$B$15,Paramètres!$A$1:$I$89,3,0)*VLOOKUP('Données projet'!$B$15,Paramètres!$A$1:$I$89,5,0)</f>
        <v>65.78</v>
      </c>
      <c r="EL26" s="13">
        <f t="shared" si="45"/>
        <v>18.621720661480644</v>
      </c>
      <c r="EM26" s="20">
        <f t="shared" si="19"/>
        <v>146.99966348541213</v>
      </c>
      <c r="EN26" s="59">
        <f t="shared" si="20"/>
        <v>370.48486019495863</v>
      </c>
      <c r="EO26" s="59">
        <f ca="1">AVERAGE(OFFSET($EN$3,0,0,'Données projet'!$E$15+1,1))-AVERAGE(OFFSET($H$3,0,0,'Données projet'!$E$15+1,1))</f>
        <v>225.2264820414552</v>
      </c>
      <c r="EP26" s="59">
        <f t="shared" si="46"/>
        <v>249.91838548328681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3.4617434629330277</v>
      </c>
      <c r="EX26" s="21">
        <f>EXP(-LN(2)/2)*EX25+(1-EXP(-LN(2)/2))/(LN(2)/2)*ER26*EU26*VLOOKUP('Données projet'!$B$15,Paramètres!$A$1:$I$89,3,0)*0.475*44/12</f>
        <v>1.9150570520188586</v>
      </c>
      <c r="EY26" s="22">
        <f t="shared" si="21"/>
        <v>5.3768005149518867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27.5</v>
      </c>
      <c r="FE26" s="12">
        <f>IF('Données projet'!$A$218&gt;35,FE25+FD26-FM25,IF(A26&lt;'Données projet'!$A$218,$FB$205^A26,IF(A26='Données projet'!$A$218,'Données projet'!$B$218,FE25+FD26-FM25)))</f>
        <v>206.49999999999997</v>
      </c>
      <c r="FF26" s="17">
        <f>FE26*VLOOKUP('Données projet'!$B$16,Paramètres!$A$1:$I$89,3,0)*VLOOKUP('Données projet'!$B$16,Paramètres!$A$1:$I$89,5,0)</f>
        <v>115.43349999999998</v>
      </c>
      <c r="FG26" s="13">
        <f t="shared" si="47"/>
        <v>30.60754521964256</v>
      </c>
      <c r="FH26" s="20">
        <f t="shared" si="22"/>
        <v>254.35482042421077</v>
      </c>
      <c r="FI26" s="59">
        <f t="shared" si="23"/>
        <v>477.84001713375727</v>
      </c>
      <c r="FJ26" s="59">
        <f ca="1">AVERAGE(OFFSET($FI$3,0,0,'Données projet'!$E$16+1,1))-AVERAGE(OFFSET($H$3,0,0,'Données projet'!$E$16+1,1))</f>
        <v>549.85684198202534</v>
      </c>
      <c r="FK26" s="59">
        <f t="shared" si="48"/>
        <v>539.63748606275431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19.43879052746415</v>
      </c>
      <c r="FS26" s="21">
        <f>EXP(-LN(2)/2)*FS25+(1-EXP(-LN(2)/2))/(LN(2)/2)*FM26*FP26*VLOOKUP('Données projet'!$B$16,Paramètres!$A$1:$I$89,3,0)*0.475*44/12</f>
        <v>11.636053174766758</v>
      </c>
      <c r="FT26" s="22">
        <f t="shared" si="24"/>
        <v>31.074843702230908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20.9</v>
      </c>
      <c r="FZ26" s="12">
        <f>IF('Données projet'!$A$244&gt;35,FZ25+FY26-GH25,IF(A26&lt;'Données projet'!$A$244,$FW$205^A26,IF(A26='Données projet'!$A$244,'Données projet'!$B$244,FZ25+FY26-GH25)))</f>
        <v>186.70000000000002</v>
      </c>
      <c r="GA26" s="17">
        <f>FZ26*VLOOKUP('Données projet'!$B$17,Paramètres!$A$1:$I$89,3,0)*VLOOKUP('Données projet'!$B$17,Paramètres!$A$1:$I$89,5,0)</f>
        <v>111.64660000000001</v>
      </c>
      <c r="GB26" s="13">
        <f t="shared" si="49"/>
        <v>29.718600259496139</v>
      </c>
      <c r="GC26" s="20">
        <f t="shared" si="25"/>
        <v>246.21105711862242</v>
      </c>
      <c r="GD26" s="59">
        <f t="shared" si="26"/>
        <v>469.69625382816889</v>
      </c>
      <c r="GE26" s="59">
        <f ca="1">AVERAGE(OFFSET($GD$3,0,0,'Données projet'!$E$17+1,1))-AVERAGE(OFFSET($H$3,0,0,'Données projet'!$E$17+1,1))</f>
        <v>495.6641415122013</v>
      </c>
      <c r="GF26" s="59">
        <f t="shared" si="50"/>
        <v>488.90534169400757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9.8158146995895574</v>
      </c>
      <c r="GN26" s="21">
        <f>EXP(-LN(2)/2)*GN25+(1-EXP(-LN(2)/2))/(LN(2)/2)*GH26*GK26*VLOOKUP('Données projet'!$B$17,Paramètres!$A$1:$I$89,3,0)*0.475*44/12</f>
        <v>7.1814639450707185</v>
      </c>
      <c r="GO26" s="21">
        <f t="shared" si="27"/>
        <v>16.997278644660277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20.9</v>
      </c>
      <c r="GU26" s="12">
        <f>IF('Données projet'!$A$270&gt;35,GU25+GT26-HC25,IF(A26&lt;'Données projet'!$A$270,$GR$205^A26,IF(A26='Données projet'!$A$270,'Données projet'!$B$270,GU25+GT26-HC25)))</f>
        <v>186.70000000000002</v>
      </c>
      <c r="GV26" s="17">
        <f>GU26*VLOOKUP('Données projet'!$B$18,Paramètres!$A$1:$I$89,3,0)*VLOOKUP('Données projet'!$B$18,Paramètres!$A$1:$I$89,5,0)</f>
        <v>111.64660000000001</v>
      </c>
      <c r="GW26" s="13">
        <f t="shared" si="51"/>
        <v>29.718600259496139</v>
      </c>
      <c r="GX26" s="20">
        <f t="shared" si="28"/>
        <v>246.21105711862242</v>
      </c>
      <c r="GY26" s="59">
        <f t="shared" si="29"/>
        <v>469.69625382816889</v>
      </c>
      <c r="GZ26" s="59">
        <f ca="1">AVERAGE(OFFSET($GY$3,0,0,'Données projet'!$E$18+1,1))-AVERAGE(OFFSET($H$3,0,0,'Données projet'!$E$18+1,1))</f>
        <v>-18.333333333333343</v>
      </c>
      <c r="HA26" s="59">
        <f t="shared" si="52"/>
        <v>-18.333333333333343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9.8158146995895574</v>
      </c>
      <c r="HI26" s="21">
        <f>EXP(-LN(2)/2)*HI25+(1-EXP(-LN(2)/2))/(LN(2)/2)*HC26*HF26*VLOOKUP('Données projet'!$B$18,Paramètres!$A$1:$I$89,3,0)*0.475*44/12</f>
        <v>7.1814639450707185</v>
      </c>
      <c r="HJ26" s="22">
        <f t="shared" si="30"/>
        <v>16.997278644660277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182.29999999999995</v>
      </c>
      <c r="O27" s="13">
        <f>N27*VLOOKUP('Données projet'!$B$9,Paramètres!$A$1:$I$89,3,0)*VLOOKUP('Données projet'!$B$9,Paramètres!$A$1:$I$89,5,0)</f>
        <v>85.316399999999987</v>
      </c>
      <c r="P27" s="13">
        <f t="shared" si="33"/>
        <v>23.432164150529264</v>
      </c>
      <c r="Q27" s="20">
        <f t="shared" si="2"/>
        <v>189.40374922883845</v>
      </c>
      <c r="R27" s="59">
        <f t="shared" si="0"/>
        <v>415.17445741245825</v>
      </c>
      <c r="S27" s="59">
        <f ca="1">AVERAGE(OFFSET($R$3,0,0,'Données projet'!$E$9+1,1))-AVERAGE(OFFSET($H$3,0,0,'Données projet'!$E$9+1,1))</f>
        <v>376.11581547534814</v>
      </c>
      <c r="T27" s="59">
        <f t="shared" si="34"/>
        <v>300.91675649863294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1.9025617397611998</v>
      </c>
      <c r="AB27" s="21">
        <f>EXP(-LN(2)/2)*AB26+(1-EXP(-LN(2)/2))/(LN(2)/2)*V27*Y27*VLOOKUP('Données projet'!$B$9,Paramètres!$A$1:$I$89,3,0)*0.475*44/12</f>
        <v>0.8279448675662282</v>
      </c>
      <c r="AC27" s="22">
        <f t="shared" si="3"/>
        <v>2.730506607327428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90.299040000000005</v>
      </c>
      <c r="AK27" s="13">
        <f t="shared" si="35"/>
        <v>24.637332311507059</v>
      </c>
      <c r="AL27" s="20">
        <f t="shared" si="4"/>
        <v>200.18084844254145</v>
      </c>
      <c r="AM27" s="59">
        <f t="shared" si="5"/>
        <v>425.95155662616128</v>
      </c>
      <c r="AN27" s="59">
        <f ca="1">AVERAGE(OFFSET($AM$3,0,0,'Données projet'!$E$10+1,1))-AVERAGE(OFFSET($H$3,0,0,'Données projet'!$E$10+1,1))</f>
        <v>505.38595282220405</v>
      </c>
      <c r="AO27" s="59">
        <f t="shared" si="36"/>
        <v>351.72130415456365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0.57515017926841594</v>
      </c>
      <c r="AW27" s="21">
        <f>EXP(-LN(2)/2)*AW26+(1-EXP(-LN(2)/2))/(LN(2)/2)*AQ27*AT27*VLOOKUP('Données projet'!$B$10,Paramètres!$A$1:$I$89,3,0)*0.475*44/12</f>
        <v>0.32013868212560831</v>
      </c>
      <c r="AX27" s="21">
        <f t="shared" si="6"/>
        <v>0.89528886139402419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99.45</v>
      </c>
      <c r="BF27" s="13">
        <f t="shared" si="37"/>
        <v>26.830925603893352</v>
      </c>
      <c r="BG27" s="20">
        <f t="shared" si="7"/>
        <v>219.93927876011423</v>
      </c>
      <c r="BH27" s="59">
        <f t="shared" si="8"/>
        <v>445.70998694373407</v>
      </c>
      <c r="BI27" s="59">
        <f ca="1">AVERAGE(OFFSET($BH$3,0,0,'Données projet'!$E$11+1,1))-AVERAGE(OFFSET($H$3,0,0,'Données projet'!$E$11+1,1))</f>
        <v>394.14657090341535</v>
      </c>
      <c r="BJ27" s="59">
        <f t="shared" si="38"/>
        <v>424.06445894109982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6.960723911767535</v>
      </c>
      <c r="BR27" s="21">
        <f>EXP(-LN(2)/2)*BR26+(1-EXP(-LN(2)/2))/(LN(2)/2)*BL27*BO27*VLOOKUP('Données projet'!$B$11,Paramètres!$A$1:$I$89,3,0)*0.475*44/12</f>
        <v>3.1434306805264476</v>
      </c>
      <c r="BS27" s="22">
        <f t="shared" si="9"/>
        <v>10.104154592293982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18.5</v>
      </c>
      <c r="BY27" s="12">
        <f>IF('Données projet'!$A$114&gt;35,BY26+BX27-CG26,IF(A27&lt;'Données projet'!$A$114,$BV$205^A27,IF(A27='Données projet'!$A$114,'Données projet'!$B$114,BY26+BX27-CG26)))</f>
        <v>185.99999999999997</v>
      </c>
      <c r="BZ27" s="13">
        <f>BY27*VLOOKUP('Données projet'!$B$12,Paramètres!$A$1:$I$89,3,0)*VLOOKUP('Données projet'!$B$12,Paramètres!$A$1:$I$89,5,0)</f>
        <v>101.556</v>
      </c>
      <c r="CA27" s="13">
        <f t="shared" si="39"/>
        <v>27.332359320696909</v>
      </c>
      <c r="CB27" s="20">
        <f t="shared" si="10"/>
        <v>224.48055915021379</v>
      </c>
      <c r="CC27" s="59">
        <f t="shared" si="11"/>
        <v>450.2512673338336</v>
      </c>
      <c r="CD27" s="59">
        <f ca="1">AVERAGE(OFFSET($CC$3,0,0,'Données projet'!$E$12+1,1))-AVERAGE(OFFSET($H$3,0,0,'Données projet'!$E$12+1,1))</f>
        <v>382.09004346384319</v>
      </c>
      <c r="CE27" s="59">
        <f t="shared" si="40"/>
        <v>410.18893995284986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20.158577384925081</v>
      </c>
      <c r="CM27" s="21">
        <f>EXP(-LN(2)/2)*CM26+(1-EXP(-LN(2)/2))/(LN(2)/2)*CG27*CJ27*VLOOKUP('Données projet'!$B$12,Paramètres!$A$1:$I$89,3,0)*0.475*44/12</f>
        <v>7.5922544355823147</v>
      </c>
      <c r="CN27" s="22">
        <f t="shared" si="12"/>
        <v>27.750831820507397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13.4</v>
      </c>
      <c r="CT27" s="12">
        <f>IF('Données projet'!$A$140&gt;35,CT26+CS27-DB26,IF(A27&lt;'Données projet'!$A$140,$CQ$205^A27,IF(A27='Données projet'!$A$140,'Données projet'!$B$140,CT26+CS27-DB26)))</f>
        <v>147.60000000000002</v>
      </c>
      <c r="CU27" s="17">
        <f>CT27*VLOOKUP('Données projet'!$B$13,Paramètres!$A$1:$I$89,3,0)*VLOOKUP('Données projet'!$B$13,Paramètres!$A$1:$I$89,5,0)</f>
        <v>128.94336000000004</v>
      </c>
      <c r="CV27" s="13">
        <f t="shared" si="41"/>
        <v>33.752085002132198</v>
      </c>
      <c r="CW27" s="20">
        <f t="shared" si="13"/>
        <v>283.36123337871362</v>
      </c>
      <c r="CX27" s="59">
        <f t="shared" si="14"/>
        <v>509.1319415623334</v>
      </c>
      <c r="CY27" s="59">
        <f ca="1">AVERAGE(OFFSET($CX$3,0,0,'Données projet'!$E$13+1,1))-AVERAGE(OFFSET($H$3,0,0,'Données projet'!$E$13+1,1))</f>
        <v>363.02374534486341</v>
      </c>
      <c r="CZ27" s="59">
        <f t="shared" si="42"/>
        <v>489.00477393029598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5.6717864115739118</v>
      </c>
      <c r="DH27" s="21">
        <f>EXP(-LN(2)/2)*DH26+(1-EXP(-LN(2)/2))/(LN(2)/2)*DB27*DE27*VLOOKUP('Données projet'!$B$13,Paramètres!$A$1:$I$89,3,0)*0.475*44/12</f>
        <v>2.4064579973433933</v>
      </c>
      <c r="DI27" s="22">
        <f t="shared" si="15"/>
        <v>8.0782444089173051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>
        <f>DO27*VLOOKUP('Données projet'!$B$14,Paramètres!$A$1:$I$89,3,0)*VLOOKUP('Données projet'!$B$14,Paramètres!$A$1:$I$89,5,0)</f>
        <v>91.65</v>
      </c>
      <c r="DQ27" s="13">
        <f t="shared" si="43"/>
        <v>24.962743528770854</v>
      </c>
      <c r="DR27" s="20">
        <f t="shared" si="16"/>
        <v>203.10052831260927</v>
      </c>
      <c r="DS27" s="59">
        <f t="shared" si="17"/>
        <v>428.87123649622907</v>
      </c>
      <c r="DT27" s="59">
        <f ca="1">AVERAGE(OFFSET($DS$3,0,0,'Données projet'!$E$14+1,1))-AVERAGE(OFFSET($H$3,0,0,'Données projet'!$E$14+1,1))</f>
        <v>368.03281986807173</v>
      </c>
      <c r="DU27" s="59">
        <f t="shared" si="44"/>
        <v>395.83504504492248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5.2044480302190852</v>
      </c>
      <c r="EC27" s="21">
        <f>EXP(-LN(2)/2)*EC26+(1-EXP(-LN(2)/2))/(LN(2)/2)*DW27*DZ27*VLOOKUP('Données projet'!$B$14,Paramètres!$A$1:$I$89,3,0)*0.475*44/12</f>
        <v>2.8968870977400587</v>
      </c>
      <c r="ED27" s="22">
        <f t="shared" si="18"/>
        <v>8.1013351279591443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121</v>
      </c>
      <c r="EH27" s="12">
        <f>VLOOKUP(A27,'Données projet'!$A$191:$I$211,9,0)</f>
        <v>11</v>
      </c>
      <c r="EI27" s="12">
        <f t="array" ref="EI27">INDEX(EH:EH,MIN(IF(ISNUMBER(EH27:EH223),ROW(EH27:EH223),"")))</f>
        <v>11</v>
      </c>
      <c r="EJ27" s="12">
        <f>IF('Données projet'!$A$192&gt;35,EJ26+EI27-ER26,IF(A27&lt;'Données projet'!$A$192,$EG$205^A27,IF(A27='Données projet'!$A$192,'Données projet'!$B$192,EJ26+EI27-ER26)))</f>
        <v>121</v>
      </c>
      <c r="EK27" s="17">
        <f>EJ27*VLOOKUP('Données projet'!$B$15,Paramètres!$A$1:$I$89,3,0)*VLOOKUP('Données projet'!$B$15,Paramètres!$A$1:$I$89,5,0)</f>
        <v>72.358000000000004</v>
      </c>
      <c r="EL27" s="13">
        <f t="shared" si="45"/>
        <v>20.257898193815318</v>
      </c>
      <c r="EM27" s="20">
        <f t="shared" si="19"/>
        <v>161.30602268756169</v>
      </c>
      <c r="EN27" s="59">
        <f t="shared" si="20"/>
        <v>387.0767308711815</v>
      </c>
      <c r="EO27" s="59">
        <f ca="1">AVERAGE(OFFSET($EN$3,0,0,'Données projet'!$E$15+1,1))-AVERAGE(OFFSET($H$3,0,0,'Données projet'!$E$15+1,1))</f>
        <v>225.2264820414552</v>
      </c>
      <c r="EP27" s="59">
        <f t="shared" si="46"/>
        <v>249.91838548328681</v>
      </c>
      <c r="EQ27" s="15">
        <f>IF(ISNA(VLOOKUP(A27,'Données projet'!$A$191:$I$211,3,0)),0,VLOOKUP(A27,'Données projet'!$A$191:$I$211,3,0))</f>
        <v>3</v>
      </c>
      <c r="ER27" s="15">
        <f>IF(ISNA(VLOOKUP(A27,'Données projet'!$A$191:$I$211,4,0)),0,VLOOKUP(A27,'Données projet'!$A$191:$I$211,4,0))</f>
        <v>20</v>
      </c>
      <c r="ES27" s="16">
        <f>IF(ISNA(VLOOKUP(A27,'Données projet'!$A$191:$I$211,5,0)),0%,VLOOKUP(A27,'Données projet'!$A$191:$I$211,5,0)*VLOOKUP('Données projet'!$B$15,Paramètres!$A$1:$I$89,7,0))</f>
        <v>4.5000000000000005E-2</v>
      </c>
      <c r="ET27" s="16">
        <f>IF(ISNA(VLOOKUP(A27,'Données projet'!$A$191:$I$211,6,0)),0%,VLOOKUP(A27,'Données projet'!$A$191:$I$211,6,0)*VLOOKUP('Données projet'!$B$15,Paramètres!$A$1:$I$89,7,0))</f>
        <v>0.20250000000000001</v>
      </c>
      <c r="EU27" s="16">
        <f>IF(ISNA(VLOOKUP(A27,'Données projet'!$A$191:$I$211,7,0)),0%,VLOOKUP(A27,'Données projet'!$A$191:$I$211,7,0))</f>
        <v>0.45</v>
      </c>
      <c r="EV27" s="21">
        <f>EXP(-LN(2)/35)*EV26+(1-EXP(-LN(2)/35))/(LN(2)/35)*ER27*ES27*VLOOKUP('Données projet'!$B$15,Paramètres!$A$1:$I$89,3,0)*0.475*44/12</f>
        <v>0.71395698991756051</v>
      </c>
      <c r="EW27" s="21">
        <f>EXP(-LN(2)/25)*EW26+(1-EXP(-LN(2)/25))/(LN(2)/25)*Calculateur!ER27*Calculateur!ET27*VLOOKUP('Données projet'!$B$15,Paramètres!$A$1:$I$89,3,0)*0.475*44/12</f>
        <v>6.5672383173358622</v>
      </c>
      <c r="EX27" s="21">
        <f>EXP(-LN(2)/2)*EX26+(1-EXP(-LN(2)/2))/(LN(2)/2)*ER27*EU27*VLOOKUP('Données projet'!$B$15,Paramètres!$A$1:$I$89,3,0)*0.475*44/12</f>
        <v>7.4478240531290929</v>
      </c>
      <c r="EY27" s="22">
        <f t="shared" si="21"/>
        <v>14.729019360382516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27.5</v>
      </c>
      <c r="FE27" s="12">
        <f>IF('Données projet'!$A$218&gt;35,FE26+FD27-FM26,IF(A27&lt;'Données projet'!$A$218,$FB$205^A27,IF(A27='Données projet'!$A$218,'Données projet'!$B$218,FE26+FD27-FM26)))</f>
        <v>233.99999999999997</v>
      </c>
      <c r="FF27" s="17">
        <f>FE27*VLOOKUP('Données projet'!$B$16,Paramètres!$A$1:$I$89,3,0)*VLOOKUP('Données projet'!$B$16,Paramètres!$A$1:$I$89,5,0)</f>
        <v>130.80599999999998</v>
      </c>
      <c r="FG27" s="13">
        <f t="shared" si="47"/>
        <v>34.182535218254536</v>
      </c>
      <c r="FH27" s="20">
        <f t="shared" si="22"/>
        <v>287.35503217179325</v>
      </c>
      <c r="FI27" s="59">
        <f t="shared" si="23"/>
        <v>513.12574035541309</v>
      </c>
      <c r="FJ27" s="59">
        <f ca="1">AVERAGE(OFFSET($FI$3,0,0,'Données projet'!$E$16+1,1))-AVERAGE(OFFSET($H$3,0,0,'Données projet'!$E$16+1,1))</f>
        <v>549.85684198202534</v>
      </c>
      <c r="FK27" s="59">
        <f t="shared" si="48"/>
        <v>539.63748606275431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18.907235778249078</v>
      </c>
      <c r="FS27" s="21">
        <f>EXP(-LN(2)/2)*FS26+(1-EXP(-LN(2)/2))/(LN(2)/2)*FM27*FP27*VLOOKUP('Données projet'!$B$16,Paramètres!$A$1:$I$89,3,0)*0.475*44/12</f>
        <v>8.2279321061248307</v>
      </c>
      <c r="FT27" s="22">
        <f t="shared" si="24"/>
        <v>27.135167884373907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20.9</v>
      </c>
      <c r="FZ27" s="12">
        <f>IF('Données projet'!$A$244&gt;35,FZ26+FY27-GH26,IF(A27&lt;'Données projet'!$A$244,$FW$205^A27,IF(A27='Données projet'!$A$244,'Données projet'!$B$244,FZ26+FY27-GH26)))</f>
        <v>207.60000000000002</v>
      </c>
      <c r="GA27" s="17">
        <f>FZ27*VLOOKUP('Données projet'!$B$17,Paramètres!$A$1:$I$89,3,0)*VLOOKUP('Données projet'!$B$17,Paramètres!$A$1:$I$89,5,0)</f>
        <v>124.14480000000002</v>
      </c>
      <c r="GB27" s="13">
        <f t="shared" si="49"/>
        <v>32.639787059542115</v>
      </c>
      <c r="GC27" s="20">
        <f t="shared" si="25"/>
        <v>273.06648912870259</v>
      </c>
      <c r="GD27" s="59">
        <f t="shared" si="26"/>
        <v>498.83719731232236</v>
      </c>
      <c r="GE27" s="59">
        <f ca="1">AVERAGE(OFFSET($GD$3,0,0,'Données projet'!$E$17+1,1))-AVERAGE(OFFSET($H$3,0,0,'Données projet'!$E$17+1,1))</f>
        <v>495.6641415122013</v>
      </c>
      <c r="GF27" s="59">
        <f t="shared" si="50"/>
        <v>488.90534169400757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9.5474007304380208</v>
      </c>
      <c r="GN27" s="21">
        <f>EXP(-LN(2)/2)*GN26+(1-EXP(-LN(2)/2))/(LN(2)/2)*GH27*GK27*VLOOKUP('Données projet'!$B$17,Paramètres!$A$1:$I$89,3,0)*0.475*44/12</f>
        <v>5.0780618544062008</v>
      </c>
      <c r="GO27" s="21">
        <f t="shared" si="27"/>
        <v>14.625462584844222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20.9</v>
      </c>
      <c r="GU27" s="12">
        <f>IF('Données projet'!$A$270&gt;35,GU26+GT27-HC26,IF(A27&lt;'Données projet'!$A$270,$GR$205^A27,IF(A27='Données projet'!$A$270,'Données projet'!$B$270,GU26+GT27-HC26)))</f>
        <v>207.60000000000002</v>
      </c>
      <c r="GV27" s="17">
        <f>GU27*VLOOKUP('Données projet'!$B$18,Paramètres!$A$1:$I$89,3,0)*VLOOKUP('Données projet'!$B$18,Paramètres!$A$1:$I$89,5,0)</f>
        <v>124.14480000000002</v>
      </c>
      <c r="GW27" s="13">
        <f t="shared" si="51"/>
        <v>32.639787059542115</v>
      </c>
      <c r="GX27" s="20">
        <f t="shared" si="28"/>
        <v>273.06648912870259</v>
      </c>
      <c r="GY27" s="59">
        <f t="shared" si="29"/>
        <v>498.83719731232236</v>
      </c>
      <c r="GZ27" s="59">
        <f ca="1">AVERAGE(OFFSET($GY$3,0,0,'Données projet'!$E$18+1,1))-AVERAGE(OFFSET($H$3,0,0,'Données projet'!$E$18+1,1))</f>
        <v>-18.333333333333343</v>
      </c>
      <c r="HA27" s="59">
        <f t="shared" si="52"/>
        <v>-18.333333333333343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9.5474007304380208</v>
      </c>
      <c r="HI27" s="21">
        <f>EXP(-LN(2)/2)*HI26+(1-EXP(-LN(2)/2))/(LN(2)/2)*HC27*HF27*VLOOKUP('Données projet'!$B$18,Paramètres!$A$1:$I$89,3,0)*0.475*44/12</f>
        <v>5.0780618544062008</v>
      </c>
      <c r="HJ27" s="22">
        <f t="shared" si="30"/>
        <v>14.625462584844222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191.49999999999994</v>
      </c>
      <c r="O28" s="13">
        <f>N28*VLOOKUP('Données projet'!$B$9,Paramètres!$A$1:$I$89,3,0)*VLOOKUP('Données projet'!$B$9,Paramètres!$A$1:$I$89,5,0)</f>
        <v>89.621999999999986</v>
      </c>
      <c r="P28" s="13">
        <f t="shared" si="33"/>
        <v>24.47403817697321</v>
      </c>
      <c r="Q28" s="20">
        <f t="shared" si="2"/>
        <v>198.71726649156165</v>
      </c>
      <c r="R28" s="59">
        <f t="shared" si="0"/>
        <v>426.75504045789376</v>
      </c>
      <c r="S28" s="59">
        <f ca="1">AVERAGE(OFFSET($R$3,0,0,'Données projet'!$E$9+1,1))-AVERAGE(OFFSET($H$3,0,0,'Données projet'!$E$9+1,1))</f>
        <v>376.11581547534814</v>
      </c>
      <c r="T28" s="59">
        <f t="shared" si="34"/>
        <v>300.91675649863294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1.8505360889360563</v>
      </c>
      <c r="AB28" s="21">
        <f>EXP(-LN(2)/2)*AB27+(1-EXP(-LN(2)/2))/(LN(2)/2)*V28*Y28*VLOOKUP('Données projet'!$B$9,Paramètres!$A$1:$I$89,3,0)*0.475*44/12</f>
        <v>0.58544543030467799</v>
      </c>
      <c r="AC28" s="22">
        <f t="shared" si="3"/>
        <v>2.4359815192407344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97.718400000000003</v>
      </c>
      <c r="AK28" s="13">
        <f t="shared" si="35"/>
        <v>26.417709819192194</v>
      </c>
      <c r="AL28" s="20">
        <f t="shared" si="4"/>
        <v>216.20372460175975</v>
      </c>
      <c r="AM28" s="59">
        <f t="shared" si="5"/>
        <v>444.24149856809186</v>
      </c>
      <c r="AN28" s="59">
        <f ca="1">AVERAGE(OFFSET($AM$3,0,0,'Données projet'!$E$10+1,1))-AVERAGE(OFFSET($H$3,0,0,'Données projet'!$E$10+1,1))</f>
        <v>505.38595282220405</v>
      </c>
      <c r="AO28" s="59">
        <f t="shared" si="36"/>
        <v>351.72130415456365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0.55942266737048774</v>
      </c>
      <c r="AW28" s="21">
        <f>EXP(-LN(2)/2)*AW27+(1-EXP(-LN(2)/2))/(LN(2)/2)*AQ28*AT28*VLOOKUP('Données projet'!$B$10,Paramètres!$A$1:$I$89,3,0)*0.475*44/12</f>
        <v>0.22637223305114224</v>
      </c>
      <c r="AX28" s="21">
        <f t="shared" si="6"/>
        <v>0.78579490042163003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110.9862</v>
      </c>
      <c r="BF28" s="13">
        <f t="shared" si="37"/>
        <v>29.563220146103436</v>
      </c>
      <c r="BG28" s="20">
        <f t="shared" si="7"/>
        <v>244.79024008779683</v>
      </c>
      <c r="BH28" s="59">
        <f t="shared" si="8"/>
        <v>472.82801405412897</v>
      </c>
      <c r="BI28" s="59">
        <f ca="1">AVERAGE(OFFSET($BH$3,0,0,'Données projet'!$E$11+1,1))-AVERAGE(OFFSET($H$3,0,0,'Données projet'!$E$11+1,1))</f>
        <v>394.14657090341535</v>
      </c>
      <c r="BJ28" s="59">
        <f t="shared" si="38"/>
        <v>424.06445894109982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6.7703825503516901</v>
      </c>
      <c r="BR28" s="21">
        <f>EXP(-LN(2)/2)*BR27+(1-EXP(-LN(2)/2))/(LN(2)/2)*BL28*BO28*VLOOKUP('Données projet'!$B$11,Paramètres!$A$1:$I$89,3,0)*0.475*44/12</f>
        <v>2.2227411503900951</v>
      </c>
      <c r="BS28" s="22">
        <f t="shared" si="9"/>
        <v>8.9931237007417852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18.5</v>
      </c>
      <c r="BY28" s="12">
        <f>IF('Données projet'!$A$114&gt;35,BY27+BX28-CG27,IF(A28&lt;'Données projet'!$A$114,$BV$205^A28,IF(A28='Données projet'!$A$114,'Données projet'!$B$114,BY27+BX28-CG27)))</f>
        <v>204.49999999999997</v>
      </c>
      <c r="BZ28" s="13">
        <f>BY28*VLOOKUP('Données projet'!$B$12,Paramètres!$A$1:$I$89,3,0)*VLOOKUP('Données projet'!$B$12,Paramètres!$A$1:$I$89,5,0)</f>
        <v>111.65699999999998</v>
      </c>
      <c r="CA28" s="13">
        <f t="shared" si="39"/>
        <v>29.721046333209543</v>
      </c>
      <c r="CB28" s="20">
        <f t="shared" si="10"/>
        <v>246.23343069700653</v>
      </c>
      <c r="CC28" s="59">
        <f t="shared" si="11"/>
        <v>474.27120466333861</v>
      </c>
      <c r="CD28" s="59">
        <f ca="1">AVERAGE(OFFSET($CC$3,0,0,'Données projet'!$E$12+1,1))-AVERAGE(OFFSET($H$3,0,0,'Données projet'!$E$12+1,1))</f>
        <v>382.09004346384319</v>
      </c>
      <c r="CE28" s="59">
        <f t="shared" si="40"/>
        <v>410.18893995284986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19.607340026240795</v>
      </c>
      <c r="CM28" s="21">
        <f>EXP(-LN(2)/2)*CM27+(1-EXP(-LN(2)/2))/(LN(2)/2)*CG28*CJ28*VLOOKUP('Données projet'!$B$12,Paramètres!$A$1:$I$89,3,0)*0.475*44/12</f>
        <v>5.368534595893899</v>
      </c>
      <c r="CN28" s="22">
        <f t="shared" si="12"/>
        <v>24.975874622134693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13.4</v>
      </c>
      <c r="CT28" s="12">
        <f>IF('Données projet'!$A$140&gt;35,CT27+CS28-DB27,IF(A28&lt;'Données projet'!$A$140,$CQ$205^A28,IF(A28='Données projet'!$A$140,'Données projet'!$B$140,CT27+CS28-DB27)))</f>
        <v>161.00000000000003</v>
      </c>
      <c r="CU28" s="17">
        <f>CT28*VLOOKUP('Données projet'!$B$13,Paramètres!$A$1:$I$89,3,0)*VLOOKUP('Données projet'!$B$13,Paramètres!$A$1:$I$89,5,0)</f>
        <v>140.64960000000005</v>
      </c>
      <c r="CV28" s="13">
        <f t="shared" si="41"/>
        <v>36.445779615258637</v>
      </c>
      <c r="CW28" s="20">
        <f t="shared" si="13"/>
        <v>308.44111949657554</v>
      </c>
      <c r="CX28" s="59">
        <f t="shared" si="14"/>
        <v>536.47889346290765</v>
      </c>
      <c r="CY28" s="59">
        <f ca="1">AVERAGE(OFFSET($CX$3,0,0,'Données projet'!$E$13+1,1))-AVERAGE(OFFSET($H$3,0,0,'Données projet'!$E$13+1,1))</f>
        <v>363.02374534486341</v>
      </c>
      <c r="CZ28" s="59">
        <f t="shared" si="42"/>
        <v>489.00477393029598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5.5166911138831392</v>
      </c>
      <c r="DH28" s="21">
        <f>EXP(-LN(2)/2)*DH27+(1-EXP(-LN(2)/2))/(LN(2)/2)*DB28*DE28*VLOOKUP('Données projet'!$B$13,Paramètres!$A$1:$I$89,3,0)*0.475*44/12</f>
        <v>1.7016227685621124</v>
      </c>
      <c r="DI28" s="22">
        <f t="shared" si="15"/>
        <v>7.2183138824452513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>
        <f>DO28*VLOOKUP('Données projet'!$B$14,Paramètres!$A$1:$I$89,3,0)*VLOOKUP('Données projet'!$B$14,Paramètres!$A$1:$I$89,5,0)</f>
        <v>102.2814</v>
      </c>
      <c r="DQ28" s="13">
        <f t="shared" si="43"/>
        <v>27.504794030836063</v>
      </c>
      <c r="DR28" s="20">
        <f t="shared" si="16"/>
        <v>226.04428793703948</v>
      </c>
      <c r="DS28" s="59">
        <f t="shared" si="17"/>
        <v>454.0820619033716</v>
      </c>
      <c r="DT28" s="59">
        <f ca="1">AVERAGE(OFFSET($DS$3,0,0,'Données projet'!$E$14+1,1))-AVERAGE(OFFSET($H$3,0,0,'Données projet'!$E$14+1,1))</f>
        <v>368.03281986807173</v>
      </c>
      <c r="DU28" s="59">
        <f t="shared" si="44"/>
        <v>395.83504504492248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5.0621321251427176</v>
      </c>
      <c r="EC28" s="21">
        <f>EXP(-LN(2)/2)*EC27+(1-EXP(-LN(2)/2))/(LN(2)/2)*DW28*DZ28*VLOOKUP('Données projet'!$B$14,Paramètres!$A$1:$I$89,3,0)*0.475*44/12</f>
        <v>2.0484085111438124</v>
      </c>
      <c r="ED28" s="22">
        <f t="shared" si="18"/>
        <v>7.1105406362865295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11.25</v>
      </c>
      <c r="EJ28" s="12">
        <f>IF('Données projet'!$A$192&gt;35,EJ27+EI28-ER27,IF(A28&lt;'Données projet'!$A$192,$EG$205^A28,IF(A28='Données projet'!$A$192,'Données projet'!$B$192,EJ27+EI28-ER27)))</f>
        <v>112.25</v>
      </c>
      <c r="EK28" s="17">
        <f>EJ28*VLOOKUP('Données projet'!$B$15,Paramètres!$A$1:$I$89,3,0)*VLOOKUP('Données projet'!$B$15,Paramètres!$A$1:$I$89,5,0)</f>
        <v>67.125500000000002</v>
      </c>
      <c r="EL28" s="13">
        <f t="shared" si="45"/>
        <v>18.957885224346715</v>
      </c>
      <c r="EM28" s="20">
        <f t="shared" si="19"/>
        <v>149.92856259907052</v>
      </c>
      <c r="EN28" s="59">
        <f t="shared" si="20"/>
        <v>377.96633656540263</v>
      </c>
      <c r="EO28" s="59">
        <f ca="1">AVERAGE(OFFSET($EN$3,0,0,'Données projet'!$E$15+1,1))-AVERAGE(OFFSET($H$3,0,0,'Données projet'!$E$15+1,1))</f>
        <v>225.2264820414552</v>
      </c>
      <c r="EP28" s="59">
        <f t="shared" si="46"/>
        <v>249.91838548328681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0.69995672881604187</v>
      </c>
      <c r="EW28" s="21">
        <f>EXP(-LN(2)/25)*EW27+(1-EXP(-LN(2)/25))/(LN(2)/25)*Calculateur!ER28*Calculateur!ET28*VLOOKUP('Données projet'!$B$15,Paramètres!$A$1:$I$89,3,0)*0.475*44/12</f>
        <v>6.3876568401922595</v>
      </c>
      <c r="EX28" s="21">
        <f>EXP(-LN(2)/2)*EX27+(1-EXP(-LN(2)/2))/(LN(2)/2)*ER28*EU28*VLOOKUP('Données projet'!$B$15,Paramètres!$A$1:$I$89,3,0)*0.475*44/12</f>
        <v>5.2664068930518591</v>
      </c>
      <c r="EY28" s="22">
        <f t="shared" si="21"/>
        <v>12.354020462060159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27.5</v>
      </c>
      <c r="FE28" s="12">
        <f>IF('Données projet'!$A$218&gt;35,FE27+FD28-FM27,IF(A28&lt;'Données projet'!$A$218,$FB$205^A28,IF(A28='Données projet'!$A$218,'Données projet'!$B$218,FE27+FD28-FM27)))</f>
        <v>261.5</v>
      </c>
      <c r="FF28" s="17">
        <f>FE28*VLOOKUP('Données projet'!$B$16,Paramètres!$A$1:$I$89,3,0)*VLOOKUP('Données projet'!$B$16,Paramètres!$A$1:$I$89,5,0)</f>
        <v>146.17849999999999</v>
      </c>
      <c r="FG28" s="13">
        <f t="shared" si="47"/>
        <v>37.708835970826762</v>
      </c>
      <c r="FH28" s="20">
        <f t="shared" si="22"/>
        <v>320.27044348252321</v>
      </c>
      <c r="FI28" s="59">
        <f t="shared" si="23"/>
        <v>548.30821744885532</v>
      </c>
      <c r="FJ28" s="59">
        <f ca="1">AVERAGE(OFFSET($FI$3,0,0,'Données projet'!$E$16+1,1))-AVERAGE(OFFSET($H$3,0,0,'Données projet'!$E$16+1,1))</f>
        <v>549.85684198202534</v>
      </c>
      <c r="FK28" s="59">
        <f t="shared" si="48"/>
        <v>539.63748606275431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18.390216421604539</v>
      </c>
      <c r="FS28" s="21">
        <f>EXP(-LN(2)/2)*FS27+(1-EXP(-LN(2)/2))/(LN(2)/2)*FM28*FP28*VLOOKUP('Données projet'!$B$16,Paramètres!$A$1:$I$89,3,0)*0.475*44/12</f>
        <v>5.8180265873833799</v>
      </c>
      <c r="FT28" s="22">
        <f t="shared" si="24"/>
        <v>24.208243008987917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20.9</v>
      </c>
      <c r="FZ28" s="12">
        <f>IF('Données projet'!$A$244&gt;35,FZ27+FY28-GH27,IF(A28&lt;'Données projet'!$A$244,$FW$205^A28,IF(A28='Données projet'!$A$244,'Données projet'!$B$244,FZ27+FY28-GH27)))</f>
        <v>228.50000000000003</v>
      </c>
      <c r="GA28" s="17">
        <f>FZ28*VLOOKUP('Données projet'!$B$17,Paramètres!$A$1:$I$89,3,0)*VLOOKUP('Données projet'!$B$17,Paramètres!$A$1:$I$89,5,0)</f>
        <v>136.64300000000003</v>
      </c>
      <c r="GB28" s="13">
        <f t="shared" si="49"/>
        <v>35.526880997312432</v>
      </c>
      <c r="GC28" s="20">
        <f t="shared" si="25"/>
        <v>299.86254273698586</v>
      </c>
      <c r="GD28" s="59">
        <f t="shared" si="26"/>
        <v>527.90031670331791</v>
      </c>
      <c r="GE28" s="59">
        <f ca="1">AVERAGE(OFFSET($GD$3,0,0,'Données projet'!$E$17+1,1))-AVERAGE(OFFSET($H$3,0,0,'Données projet'!$E$17+1,1))</f>
        <v>495.6641415122013</v>
      </c>
      <c r="GF28" s="59">
        <f t="shared" si="50"/>
        <v>488.90534169400757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9.2863265553882091</v>
      </c>
      <c r="GN28" s="21">
        <f>EXP(-LN(2)/2)*GN27+(1-EXP(-LN(2)/2))/(LN(2)/2)*GH28*GK28*VLOOKUP('Données projet'!$B$17,Paramètres!$A$1:$I$89,3,0)*0.475*44/12</f>
        <v>3.5907319725353593</v>
      </c>
      <c r="GO28" s="21">
        <f t="shared" si="27"/>
        <v>12.877058527923568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20.9</v>
      </c>
      <c r="GU28" s="12">
        <f>IF('Données projet'!$A$270&gt;35,GU27+GT28-HC27,IF(A28&lt;'Données projet'!$A$270,$GR$205^A28,IF(A28='Données projet'!$A$270,'Données projet'!$B$270,GU27+GT28-HC27)))</f>
        <v>228.50000000000003</v>
      </c>
      <c r="GV28" s="17">
        <f>GU28*VLOOKUP('Données projet'!$B$18,Paramètres!$A$1:$I$89,3,0)*VLOOKUP('Données projet'!$B$18,Paramètres!$A$1:$I$89,5,0)</f>
        <v>136.64300000000003</v>
      </c>
      <c r="GW28" s="13">
        <f t="shared" si="51"/>
        <v>35.526880997312432</v>
      </c>
      <c r="GX28" s="20">
        <f t="shared" si="28"/>
        <v>299.86254273698586</v>
      </c>
      <c r="GY28" s="59">
        <f t="shared" si="29"/>
        <v>527.90031670331791</v>
      </c>
      <c r="GZ28" s="59">
        <f ca="1">AVERAGE(OFFSET($GY$3,0,0,'Données projet'!$E$18+1,1))-AVERAGE(OFFSET($H$3,0,0,'Données projet'!$E$18+1,1))</f>
        <v>-18.333333333333343</v>
      </c>
      <c r="HA28" s="59">
        <f t="shared" si="52"/>
        <v>-18.333333333333343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9.2863265553882091</v>
      </c>
      <c r="HI28" s="21">
        <f>EXP(-LN(2)/2)*HI27+(1-EXP(-LN(2)/2))/(LN(2)/2)*HC28*HF28*VLOOKUP('Données projet'!$B$18,Paramètres!$A$1:$I$89,3,0)*0.475*44/12</f>
        <v>3.5907319725353593</v>
      </c>
      <c r="HJ28" s="22">
        <f t="shared" si="30"/>
        <v>12.877058527923568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200.69999999999993</v>
      </c>
      <c r="O29" s="13">
        <f>N29*VLOOKUP('Données projet'!$B$9,Paramètres!$A$1:$I$89,3,0)*VLOOKUP('Données projet'!$B$9,Paramètres!$A$1:$I$89,5,0)</f>
        <v>93.927599999999956</v>
      </c>
      <c r="P29" s="13">
        <f t="shared" si="33"/>
        <v>25.510099877901624</v>
      </c>
      <c r="Q29" s="20">
        <f t="shared" si="2"/>
        <v>208.02066062067857</v>
      </c>
      <c r="R29" s="59">
        <f t="shared" si="0"/>
        <v>438.30737466986875</v>
      </c>
      <c r="S29" s="59">
        <f ca="1">AVERAGE(OFFSET($R$3,0,0,'Données projet'!$E$9+1,1))-AVERAGE(OFFSET($H$3,0,0,'Données projet'!$E$9+1,1))</f>
        <v>376.11581547534814</v>
      </c>
      <c r="T29" s="59">
        <f t="shared" si="34"/>
        <v>300.91675649863294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1.7999330822686364</v>
      </c>
      <c r="AB29" s="21">
        <f>EXP(-LN(2)/2)*AB28+(1-EXP(-LN(2)/2))/(LN(2)/2)*V29*Y29*VLOOKUP('Données projet'!$B$9,Paramètres!$A$1:$I$89,3,0)*0.475*44/12</f>
        <v>0.4139724337831141</v>
      </c>
      <c r="AC29" s="22">
        <f t="shared" si="3"/>
        <v>2.2139055160517502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105.13776</v>
      </c>
      <c r="AK29" s="13">
        <f t="shared" si="35"/>
        <v>28.182406176030653</v>
      </c>
      <c r="AL29" s="20">
        <f t="shared" si="4"/>
        <v>232.19928942325339</v>
      </c>
      <c r="AM29" s="59">
        <f t="shared" si="5"/>
        <v>462.4860034724436</v>
      </c>
      <c r="AN29" s="59">
        <f ca="1">AVERAGE(OFFSET($AM$3,0,0,'Données projet'!$E$10+1,1))-AVERAGE(OFFSET($H$3,0,0,'Données projet'!$E$10+1,1))</f>
        <v>505.38595282220405</v>
      </c>
      <c r="AO29" s="59">
        <f t="shared" si="36"/>
        <v>351.72130415456365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0.54412522511248229</v>
      </c>
      <c r="AW29" s="21">
        <f>EXP(-LN(2)/2)*AW28+(1-EXP(-LN(2)/2))/(LN(2)/2)*AQ29*AT29*VLOOKUP('Données projet'!$B$10,Paramètres!$A$1:$I$89,3,0)*0.475*44/12</f>
        <v>0.16006934106280418</v>
      </c>
      <c r="AX29" s="21">
        <f t="shared" si="6"/>
        <v>0.70419456617528642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122.52240000000002</v>
      </c>
      <c r="BF29" s="13">
        <f t="shared" si="37"/>
        <v>32.26259352430629</v>
      </c>
      <c r="BG29" s="20">
        <f t="shared" si="7"/>
        <v>269.58386372150017</v>
      </c>
      <c r="BH29" s="59">
        <f t="shared" si="8"/>
        <v>499.87057777069037</v>
      </c>
      <c r="BI29" s="59">
        <f ca="1">AVERAGE(OFFSET($BH$3,0,0,'Données projet'!$E$11+1,1))-AVERAGE(OFFSET($H$3,0,0,'Données projet'!$E$11+1,1))</f>
        <v>394.14657090341535</v>
      </c>
      <c r="BJ29" s="59">
        <f t="shared" si="38"/>
        <v>424.06445894109982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6.585246083473379</v>
      </c>
      <c r="BR29" s="21">
        <f>EXP(-LN(2)/2)*BR28+(1-EXP(-LN(2)/2))/(LN(2)/2)*BL29*BO29*VLOOKUP('Données projet'!$B$11,Paramètres!$A$1:$I$89,3,0)*0.475*44/12</f>
        <v>1.571715340263224</v>
      </c>
      <c r="BS29" s="22">
        <f t="shared" si="9"/>
        <v>8.1569614237366039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18.5</v>
      </c>
      <c r="BY29" s="12">
        <f>IF('Données projet'!$A$114&gt;35,BY28+BX29-CG28,IF(A29&lt;'Données projet'!$A$114,$BV$205^A29,IF(A29='Données projet'!$A$114,'Données projet'!$B$114,BY28+BX29-CG28)))</f>
        <v>222.99999999999997</v>
      </c>
      <c r="BZ29" s="13">
        <f>BY29*VLOOKUP('Données projet'!$B$12,Paramètres!$A$1:$I$89,3,0)*VLOOKUP('Données projet'!$B$12,Paramètres!$A$1:$I$89,5,0)</f>
        <v>121.75799999999998</v>
      </c>
      <c r="CA29" s="13">
        <f t="shared" si="39"/>
        <v>32.084676216474307</v>
      </c>
      <c r="CB29" s="20">
        <f t="shared" si="10"/>
        <v>267.942661077026</v>
      </c>
      <c r="CC29" s="59">
        <f t="shared" si="11"/>
        <v>498.22937512621615</v>
      </c>
      <c r="CD29" s="59">
        <f ca="1">AVERAGE(OFFSET($CC$3,0,0,'Données projet'!$E$12+1,1))-AVERAGE(OFFSET($H$3,0,0,'Données projet'!$E$12+1,1))</f>
        <v>382.09004346384319</v>
      </c>
      <c r="CE29" s="59">
        <f t="shared" si="40"/>
        <v>410.18893995284986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19.071176282118042</v>
      </c>
      <c r="CM29" s="21">
        <f>EXP(-LN(2)/2)*CM28+(1-EXP(-LN(2)/2))/(LN(2)/2)*CG29*CJ29*VLOOKUP('Données projet'!$B$12,Paramètres!$A$1:$I$89,3,0)*0.475*44/12</f>
        <v>3.7961272177911578</v>
      </c>
      <c r="CN29" s="22">
        <f t="shared" si="12"/>
        <v>22.867303499909198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13.4</v>
      </c>
      <c r="CT29" s="12">
        <f>IF('Données projet'!$A$140&gt;35,CT28+CS29-DB28,IF(A29&lt;'Données projet'!$A$140,$CQ$205^A29,IF(A29='Données projet'!$A$140,'Données projet'!$B$140,CT28+CS29-DB28)))</f>
        <v>174.40000000000003</v>
      </c>
      <c r="CU29" s="17">
        <f>CT29*VLOOKUP('Données projet'!$B$13,Paramètres!$A$1:$I$89,3,0)*VLOOKUP('Données projet'!$B$13,Paramètres!$A$1:$I$89,5,0)</f>
        <v>152.35584000000006</v>
      </c>
      <c r="CV29" s="13">
        <f t="shared" si="41"/>
        <v>39.11347218476763</v>
      </c>
      <c r="CW29" s="20">
        <f t="shared" si="13"/>
        <v>333.47571872180373</v>
      </c>
      <c r="CX29" s="59">
        <f t="shared" si="14"/>
        <v>563.76243277099388</v>
      </c>
      <c r="CY29" s="59">
        <f ca="1">AVERAGE(OFFSET($CX$3,0,0,'Données projet'!$E$13+1,1))-AVERAGE(OFFSET($H$3,0,0,'Données projet'!$E$13+1,1))</f>
        <v>363.02374534486341</v>
      </c>
      <c r="CZ29" s="59">
        <f t="shared" si="42"/>
        <v>489.00477393029598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5.3658369052638273</v>
      </c>
      <c r="DH29" s="21">
        <f>EXP(-LN(2)/2)*DH28+(1-EXP(-LN(2)/2))/(LN(2)/2)*DB29*DE29*VLOOKUP('Données projet'!$B$13,Paramètres!$A$1:$I$89,3,0)*0.475*44/12</f>
        <v>1.2032289986716969</v>
      </c>
      <c r="DI29" s="22">
        <f t="shared" si="15"/>
        <v>6.5690659039355239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>
        <f>DO29*VLOOKUP('Données projet'!$B$14,Paramètres!$A$1:$I$89,3,0)*VLOOKUP('Données projet'!$B$14,Paramètres!$A$1:$I$89,5,0)</f>
        <v>112.91279999999999</v>
      </c>
      <c r="DQ29" s="13">
        <f t="shared" si="43"/>
        <v>30.016215601722575</v>
      </c>
      <c r="DR29" s="20">
        <f t="shared" si="16"/>
        <v>248.93470217300015</v>
      </c>
      <c r="DS29" s="59">
        <f t="shared" si="17"/>
        <v>479.22141622219033</v>
      </c>
      <c r="DT29" s="59">
        <f ca="1">AVERAGE(OFFSET($DS$3,0,0,'Données projet'!$E$14+1,1))-AVERAGE(OFFSET($H$3,0,0,'Données projet'!$E$14+1,1))</f>
        <v>368.03281986807173</v>
      </c>
      <c r="DU29" s="59">
        <f t="shared" si="44"/>
        <v>395.83504504492248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4.9237078559747314</v>
      </c>
      <c r="EC29" s="21">
        <f>EXP(-LN(2)/2)*EC28+(1-EXP(-LN(2)/2))/(LN(2)/2)*DW29*DZ29*VLOOKUP('Données projet'!$B$14,Paramètres!$A$1:$I$89,3,0)*0.475*44/12</f>
        <v>1.4484435488700294</v>
      </c>
      <c r="ED29" s="22">
        <f t="shared" si="18"/>
        <v>6.3721514048447609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11.25</v>
      </c>
      <c r="EJ29" s="12">
        <f>IF('Données projet'!$A$192&gt;35,EJ28+EI29-ER28,IF(A29&lt;'Données projet'!$A$192,$EG$205^A29,IF(A29='Données projet'!$A$192,'Données projet'!$B$192,EJ28+EI29-ER28)))</f>
        <v>123.5</v>
      </c>
      <c r="EK29" s="17">
        <f>EJ29*VLOOKUP('Données projet'!$B$15,Paramètres!$A$1:$I$89,3,0)*VLOOKUP('Données projet'!$B$15,Paramètres!$A$1:$I$89,5,0)</f>
        <v>73.853000000000009</v>
      </c>
      <c r="EL29" s="13">
        <f t="shared" si="45"/>
        <v>20.627289068131414</v>
      </c>
      <c r="EM29" s="20">
        <f t="shared" si="19"/>
        <v>164.55317012699555</v>
      </c>
      <c r="EN29" s="59">
        <f t="shared" si="20"/>
        <v>394.83988417618571</v>
      </c>
      <c r="EO29" s="59">
        <f ca="1">AVERAGE(OFFSET($EN$3,0,0,'Données projet'!$E$15+1,1))-AVERAGE(OFFSET($H$3,0,0,'Données projet'!$E$15+1,1))</f>
        <v>225.2264820414552</v>
      </c>
      <c r="EP29" s="59">
        <f t="shared" si="46"/>
        <v>249.91838548328681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0.68623100429540784</v>
      </c>
      <c r="EW29" s="21">
        <f>EXP(-LN(2)/25)*EW28+(1-EXP(-LN(2)/25))/(LN(2)/25)*Calculateur!ER29*Calculateur!ET29*VLOOKUP('Données projet'!$B$15,Paramètres!$A$1:$I$89,3,0)*0.475*44/12</f>
        <v>6.2129860279849281</v>
      </c>
      <c r="EX29" s="21">
        <f>EXP(-LN(2)/2)*EX28+(1-EXP(-LN(2)/2))/(LN(2)/2)*ER29*EU29*VLOOKUP('Données projet'!$B$15,Paramètres!$A$1:$I$89,3,0)*0.475*44/12</f>
        <v>3.7239120265645469</v>
      </c>
      <c r="EY29" s="22">
        <f t="shared" si="21"/>
        <v>10.623129058844883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27.5</v>
      </c>
      <c r="FE29" s="12">
        <f>IF('Données projet'!$A$218&gt;35,FE28+FD29-FM28,IF(A29&lt;'Données projet'!$A$218,$FB$205^A29,IF(A29='Données projet'!$A$218,'Données projet'!$B$218,FE28+FD29-FM28)))</f>
        <v>289</v>
      </c>
      <c r="FF29" s="17">
        <f>FE29*VLOOKUP('Données projet'!$B$16,Paramètres!$A$1:$I$89,3,0)*VLOOKUP('Données projet'!$B$16,Paramètres!$A$1:$I$89,5,0)</f>
        <v>161.55099999999999</v>
      </c>
      <c r="FG29" s="13">
        <f t="shared" si="47"/>
        <v>41.192151127280063</v>
      </c>
      <c r="FH29" s="20">
        <f t="shared" si="22"/>
        <v>353.11098821334605</v>
      </c>
      <c r="FI29" s="59">
        <f t="shared" si="23"/>
        <v>583.3977022625362</v>
      </c>
      <c r="FJ29" s="59">
        <f ca="1">AVERAGE(OFFSET($FI$3,0,0,'Données projet'!$E$16+1,1))-AVERAGE(OFFSET($H$3,0,0,'Données projet'!$E$16+1,1))</f>
        <v>549.85684198202534</v>
      </c>
      <c r="FK29" s="59">
        <f t="shared" si="48"/>
        <v>539.63748606275431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17.887334986456313</v>
      </c>
      <c r="FS29" s="21">
        <f>EXP(-LN(2)/2)*FS28+(1-EXP(-LN(2)/2))/(LN(2)/2)*FM29*FP29*VLOOKUP('Données projet'!$B$16,Paramètres!$A$1:$I$89,3,0)*0.475*44/12</f>
        <v>4.1139660530624154</v>
      </c>
      <c r="FT29" s="22">
        <f t="shared" si="24"/>
        <v>22.001301039518729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20.9</v>
      </c>
      <c r="FZ29" s="12">
        <f>IF('Données projet'!$A$244&gt;35,FZ28+FY29-GH28,IF(A29&lt;'Données projet'!$A$244,$FW$205^A29,IF(A29='Données projet'!$A$244,'Données projet'!$B$244,FZ28+FY29-GH28)))</f>
        <v>249.40000000000003</v>
      </c>
      <c r="GA29" s="17">
        <f>FZ29*VLOOKUP('Données projet'!$B$17,Paramètres!$A$1:$I$89,3,0)*VLOOKUP('Données projet'!$B$17,Paramètres!$A$1:$I$89,5,0)</f>
        <v>149.14120000000003</v>
      </c>
      <c r="GB29" s="13">
        <f t="shared" si="49"/>
        <v>38.383355068273794</v>
      </c>
      <c r="GC29" s="20">
        <f t="shared" si="25"/>
        <v>326.60526674391025</v>
      </c>
      <c r="GD29" s="59">
        <f t="shared" si="26"/>
        <v>556.8919807931004</v>
      </c>
      <c r="GE29" s="59">
        <f ca="1">AVERAGE(OFFSET($GD$3,0,0,'Données projet'!$E$17+1,1))-AVERAGE(OFFSET($H$3,0,0,'Données projet'!$E$17+1,1))</f>
        <v>495.6641415122013</v>
      </c>
      <c r="GF29" s="59">
        <f t="shared" si="50"/>
        <v>488.90534169400757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9.0323914673844286</v>
      </c>
      <c r="GN29" s="21">
        <f>EXP(-LN(2)/2)*GN28+(1-EXP(-LN(2)/2))/(LN(2)/2)*GH29*GK29*VLOOKUP('Données projet'!$B$17,Paramètres!$A$1:$I$89,3,0)*0.475*44/12</f>
        <v>2.5390309272031004</v>
      </c>
      <c r="GO29" s="21">
        <f t="shared" si="27"/>
        <v>11.571422394587529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20.9</v>
      </c>
      <c r="GU29" s="12">
        <f>IF('Données projet'!$A$270&gt;35,GU28+GT29-HC28,IF(A29&lt;'Données projet'!$A$270,$GR$205^A29,IF(A29='Données projet'!$A$270,'Données projet'!$B$270,GU28+GT29-HC28)))</f>
        <v>249.40000000000003</v>
      </c>
      <c r="GV29" s="17">
        <f>GU29*VLOOKUP('Données projet'!$B$18,Paramètres!$A$1:$I$89,3,0)*VLOOKUP('Données projet'!$B$18,Paramètres!$A$1:$I$89,5,0)</f>
        <v>149.14120000000003</v>
      </c>
      <c r="GW29" s="13">
        <f t="shared" si="51"/>
        <v>38.383355068273794</v>
      </c>
      <c r="GX29" s="20">
        <f t="shared" si="28"/>
        <v>326.60526674391025</v>
      </c>
      <c r="GY29" s="59">
        <f t="shared" si="29"/>
        <v>556.8919807931004</v>
      </c>
      <c r="GZ29" s="59">
        <f ca="1">AVERAGE(OFFSET($GY$3,0,0,'Données projet'!$E$18+1,1))-AVERAGE(OFFSET($H$3,0,0,'Données projet'!$E$18+1,1))</f>
        <v>-18.333333333333343</v>
      </c>
      <c r="HA29" s="59">
        <f t="shared" si="52"/>
        <v>-18.333333333333343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9.0323914673844286</v>
      </c>
      <c r="HI29" s="21">
        <f>EXP(-LN(2)/2)*HI28+(1-EXP(-LN(2)/2))/(LN(2)/2)*HC29*HF29*VLOOKUP('Données projet'!$B$18,Paramètres!$A$1:$I$89,3,0)*0.475*44/12</f>
        <v>2.5390309272031004</v>
      </c>
      <c r="HJ29" s="22">
        <f t="shared" si="30"/>
        <v>11.571422394587529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209.89999999999992</v>
      </c>
      <c r="O30" s="13">
        <f>N30*VLOOKUP('Données projet'!$B$9,Paramètres!$A$1:$I$89,3,0)*VLOOKUP('Données projet'!$B$9,Paramètres!$A$1:$I$89,5,0)</f>
        <v>98.233199999999954</v>
      </c>
      <c r="P30" s="13">
        <f t="shared" si="33"/>
        <v>26.540646121089583</v>
      </c>
      <c r="Q30" s="20">
        <f t="shared" si="2"/>
        <v>217.3144486608976</v>
      </c>
      <c r="R30" s="59">
        <f t="shared" si="0"/>
        <v>449.8322915334611</v>
      </c>
      <c r="S30" s="59">
        <f ca="1">AVERAGE(OFFSET($R$3,0,0,'Données projet'!$E$9+1,1))-AVERAGE(OFFSET($H$3,0,0,'Données projet'!$E$9+1,1))</f>
        <v>376.11581547534814</v>
      </c>
      <c r="T30" s="59">
        <f t="shared" si="34"/>
        <v>300.91675649863294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1.7507138174796335</v>
      </c>
      <c r="AB30" s="21">
        <f>EXP(-LN(2)/2)*AB29+(1-EXP(-LN(2)/2))/(LN(2)/2)*V30*Y30*VLOOKUP('Données projet'!$B$9,Paramètres!$A$1:$I$89,3,0)*0.475*44/12</f>
        <v>0.292722715152339</v>
      </c>
      <c r="AC30" s="22">
        <f t="shared" si="3"/>
        <v>2.0434365326319726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112.55712000000001</v>
      </c>
      <c r="AK30" s="13">
        <f t="shared" si="35"/>
        <v>29.932653834140599</v>
      </c>
      <c r="AL30" s="20">
        <f t="shared" si="4"/>
        <v>248.16968942779488</v>
      </c>
      <c r="AM30" s="59">
        <f t="shared" si="5"/>
        <v>480.68753230035838</v>
      </c>
      <c r="AN30" s="59">
        <f ca="1">AVERAGE(OFFSET($AM$3,0,0,'Données projet'!$E$10+1,1))-AVERAGE(OFFSET($H$3,0,0,'Données projet'!$E$10+1,1))</f>
        <v>505.38595282220405</v>
      </c>
      <c r="AO30" s="59">
        <f t="shared" si="36"/>
        <v>351.72130415456365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0.52924609221747954</v>
      </c>
      <c r="AW30" s="21">
        <f>EXP(-LN(2)/2)*AW29+(1-EXP(-LN(2)/2))/(LN(2)/2)*AQ30*AT30*VLOOKUP('Données projet'!$B$10,Paramètres!$A$1:$I$89,3,0)*0.475*44/12</f>
        <v>0.11318611652557113</v>
      </c>
      <c r="AX30" s="21">
        <f t="shared" si="6"/>
        <v>0.64243220874305063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134.05860000000001</v>
      </c>
      <c r="BF30" s="13">
        <f t="shared" si="37"/>
        <v>34.932498076856362</v>
      </c>
      <c r="BG30" s="20">
        <f t="shared" si="7"/>
        <v>294.32616248385813</v>
      </c>
      <c r="BH30" s="59">
        <f t="shared" si="8"/>
        <v>526.84400535642158</v>
      </c>
      <c r="BI30" s="59">
        <f ca="1">AVERAGE(OFFSET($BH$3,0,0,'Données projet'!$E$11+1,1))-AVERAGE(OFFSET($H$3,0,0,'Données projet'!$E$11+1,1))</f>
        <v>394.14657090341535</v>
      </c>
      <c r="BJ30" s="59">
        <f t="shared" si="38"/>
        <v>424.06445894109982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6.4051721830177586</v>
      </c>
      <c r="BR30" s="21">
        <f>EXP(-LN(2)/2)*BR29+(1-EXP(-LN(2)/2))/(LN(2)/2)*BL30*BO30*VLOOKUP('Données projet'!$B$11,Paramètres!$A$1:$I$89,3,0)*0.475*44/12</f>
        <v>1.1113705751950478</v>
      </c>
      <c r="BS30" s="22">
        <f t="shared" si="9"/>
        <v>7.5165427582128066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18.5</v>
      </c>
      <c r="BY30" s="12">
        <f>IF('Données projet'!$A$114&gt;35,BY29+BX30-CG29,IF(A30&lt;'Données projet'!$A$114,$BV$205^A30,IF(A30='Données projet'!$A$114,'Données projet'!$B$114,BY29+BX30-CG29)))</f>
        <v>241.49999999999997</v>
      </c>
      <c r="BZ30" s="13">
        <f>BY30*VLOOKUP('Données projet'!$B$12,Paramètres!$A$1:$I$89,3,0)*VLOOKUP('Données projet'!$B$12,Paramètres!$A$1:$I$89,5,0)</f>
        <v>131.85899999999998</v>
      </c>
      <c r="CA30" s="13">
        <f t="shared" si="39"/>
        <v>34.425564033098446</v>
      </c>
      <c r="CB30" s="20">
        <f t="shared" si="10"/>
        <v>289.61228235764639</v>
      </c>
      <c r="CC30" s="59">
        <f t="shared" si="11"/>
        <v>522.13012523020984</v>
      </c>
      <c r="CD30" s="59">
        <f ca="1">AVERAGE(OFFSET($CC$3,0,0,'Données projet'!$E$12+1,1))-AVERAGE(OFFSET($H$3,0,0,'Données projet'!$E$12+1,1))</f>
        <v>382.09004346384319</v>
      </c>
      <c r="CE30" s="59">
        <f t="shared" si="40"/>
        <v>410.18893995284986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18.549673963773952</v>
      </c>
      <c r="CM30" s="21">
        <f>EXP(-LN(2)/2)*CM29+(1-EXP(-LN(2)/2))/(LN(2)/2)*CG30*CJ30*VLOOKUP('Données projet'!$B$12,Paramètres!$A$1:$I$89,3,0)*0.475*44/12</f>
        <v>2.68426729794695</v>
      </c>
      <c r="CN30" s="22">
        <f t="shared" si="12"/>
        <v>21.233941261720901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13.4</v>
      </c>
      <c r="CT30" s="12">
        <f>IF('Données projet'!$A$140&gt;35,CT29+CS30-DB29,IF(A30&lt;'Données projet'!$A$140,$CQ$205^A30,IF(A30='Données projet'!$A$140,'Données projet'!$B$140,CT29+CS30-DB29)))</f>
        <v>187.80000000000004</v>
      </c>
      <c r="CU30" s="17">
        <f>CT30*VLOOKUP('Données projet'!$B$13,Paramètres!$A$1:$I$89,3,0)*VLOOKUP('Données projet'!$B$13,Paramètres!$A$1:$I$89,5,0)</f>
        <v>164.06208000000007</v>
      </c>
      <c r="CV30" s="13">
        <f t="shared" si="41"/>
        <v>41.75738773013461</v>
      </c>
      <c r="CW30" s="20">
        <f t="shared" si="13"/>
        <v>358.46890629665114</v>
      </c>
      <c r="CX30" s="59">
        <f t="shared" si="14"/>
        <v>590.98674916921459</v>
      </c>
      <c r="CY30" s="59">
        <f ca="1">AVERAGE(OFFSET($CX$3,0,0,'Données projet'!$E$13+1,1))-AVERAGE(OFFSET($H$3,0,0,'Données projet'!$E$13+1,1))</f>
        <v>363.02374534486341</v>
      </c>
      <c r="CZ30" s="59">
        <f t="shared" si="42"/>
        <v>489.00477393029598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5.2191078129122888</v>
      </c>
      <c r="DH30" s="21">
        <f>EXP(-LN(2)/2)*DH29+(1-EXP(-LN(2)/2))/(LN(2)/2)*DB30*DE30*VLOOKUP('Données projet'!$B$13,Paramètres!$A$1:$I$89,3,0)*0.475*44/12</f>
        <v>0.85081138428105629</v>
      </c>
      <c r="DI30" s="22">
        <f t="shared" si="15"/>
        <v>6.0699191971933448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>
        <f>DO30*VLOOKUP('Données projet'!$B$14,Paramètres!$A$1:$I$89,3,0)*VLOOKUP('Données projet'!$B$14,Paramètres!$A$1:$I$89,5,0)</f>
        <v>123.54419999999999</v>
      </c>
      <c r="DQ30" s="13">
        <f t="shared" si="43"/>
        <v>32.500220200577459</v>
      </c>
      <c r="DR30" s="20">
        <f t="shared" si="16"/>
        <v>271.77736518267238</v>
      </c>
      <c r="DS30" s="59">
        <f t="shared" si="17"/>
        <v>504.29520805523589</v>
      </c>
      <c r="DT30" s="59">
        <f ca="1">AVERAGE(OFFSET($DS$3,0,0,'Données projet'!$E$14+1,1))-AVERAGE(OFFSET($H$3,0,0,'Données projet'!$E$14+1,1))</f>
        <v>368.03281986807173</v>
      </c>
      <c r="DU30" s="59">
        <f t="shared" si="44"/>
        <v>395.83504504492248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4.7890688057265596</v>
      </c>
      <c r="EC30" s="21">
        <f>EXP(-LN(2)/2)*EC29+(1-EXP(-LN(2)/2))/(LN(2)/2)*DW30*DZ30*VLOOKUP('Données projet'!$B$14,Paramètres!$A$1:$I$89,3,0)*0.475*44/12</f>
        <v>1.0242042555719062</v>
      </c>
      <c r="ED30" s="22">
        <f t="shared" si="18"/>
        <v>5.8132730612984655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11.25</v>
      </c>
      <c r="EJ30" s="12">
        <f>IF('Données projet'!$A$192&gt;35,EJ29+EI30-ER29,IF(A30&lt;'Données projet'!$A$192,$EG$205^A30,IF(A30='Données projet'!$A$192,'Données projet'!$B$192,EJ29+EI30-ER29)))</f>
        <v>134.75</v>
      </c>
      <c r="EK30" s="17">
        <f>EJ30*VLOOKUP('Données projet'!$B$15,Paramètres!$A$1:$I$89,3,0)*VLOOKUP('Données projet'!$B$15,Paramètres!$A$1:$I$89,5,0)</f>
        <v>80.580500000000001</v>
      </c>
      <c r="EL30" s="13">
        <f t="shared" si="45"/>
        <v>22.279059616532283</v>
      </c>
      <c r="EM30" s="20">
        <f t="shared" si="19"/>
        <v>179.14706633212708</v>
      </c>
      <c r="EN30" s="59">
        <f t="shared" si="20"/>
        <v>411.66490920469062</v>
      </c>
      <c r="EO30" s="59">
        <f ca="1">AVERAGE(OFFSET($EN$3,0,0,'Données projet'!$E$15+1,1))-AVERAGE(OFFSET($H$3,0,0,'Données projet'!$E$15+1,1))</f>
        <v>225.2264820414552</v>
      </c>
      <c r="EP30" s="59">
        <f t="shared" si="46"/>
        <v>249.91838548328681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0.67277443286075822</v>
      </c>
      <c r="EW30" s="21">
        <f>EXP(-LN(2)/25)*EW29+(1-EXP(-LN(2)/25))/(LN(2)/25)*Calculateur!ER30*Calculateur!ET30*VLOOKUP('Données projet'!$B$15,Paramètres!$A$1:$I$89,3,0)*0.475*44/12</f>
        <v>6.0430915983229445</v>
      </c>
      <c r="EX30" s="21">
        <f>EXP(-LN(2)/2)*EX29+(1-EXP(-LN(2)/2))/(LN(2)/2)*ER30*EU30*VLOOKUP('Données projet'!$B$15,Paramètres!$A$1:$I$89,3,0)*0.475*44/12</f>
        <v>2.63320344652593</v>
      </c>
      <c r="EY30" s="22">
        <f t="shared" si="21"/>
        <v>9.3490694777096337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27.5</v>
      </c>
      <c r="FE30" s="12">
        <f>IF('Données projet'!$A$218&gt;35,FE29+FD30-FM29,IF(A30&lt;'Données projet'!$A$218,$FB$205^A30,IF(A30='Données projet'!$A$218,'Données projet'!$B$218,FE29+FD30-FM29)))</f>
        <v>316.5</v>
      </c>
      <c r="FF30" s="17">
        <f>FE30*VLOOKUP('Données projet'!$B$16,Paramètres!$A$1:$I$89,3,0)*VLOOKUP('Données projet'!$B$16,Paramètres!$A$1:$I$89,5,0)</f>
        <v>176.92350000000002</v>
      </c>
      <c r="FG30" s="13">
        <f t="shared" si="47"/>
        <v>44.637036366733298</v>
      </c>
      <c r="FH30" s="20">
        <f t="shared" si="22"/>
        <v>385.88460083872718</v>
      </c>
      <c r="FI30" s="59">
        <f t="shared" si="23"/>
        <v>618.40244371129074</v>
      </c>
      <c r="FJ30" s="59">
        <f ca="1">AVERAGE(OFFSET($FI$3,0,0,'Données projet'!$E$16+1,1))-AVERAGE(OFFSET($H$3,0,0,'Données projet'!$E$16+1,1))</f>
        <v>549.85684198202534</v>
      </c>
      <c r="FK30" s="59">
        <f t="shared" si="48"/>
        <v>539.63748606275431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17.398204870597599</v>
      </c>
      <c r="FS30" s="21">
        <f>EXP(-LN(2)/2)*FS29+(1-EXP(-LN(2)/2))/(LN(2)/2)*FM30*FP30*VLOOKUP('Données projet'!$B$16,Paramètres!$A$1:$I$89,3,0)*0.475*44/12</f>
        <v>2.9090132936916899</v>
      </c>
      <c r="FT30" s="22">
        <f t="shared" si="24"/>
        <v>20.307218164289289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20.9</v>
      </c>
      <c r="FZ30" s="12">
        <f>IF('Données projet'!$A$244&gt;35,FZ29+FY30-GH29,IF(A30&lt;'Données projet'!$A$244,$FW$205^A30,IF(A30='Données projet'!$A$244,'Données projet'!$B$244,FZ29+FY30-GH29)))</f>
        <v>270.3</v>
      </c>
      <c r="GA30" s="17">
        <f>FZ30*VLOOKUP('Données projet'!$B$17,Paramètres!$A$1:$I$89,3,0)*VLOOKUP('Données projet'!$B$17,Paramètres!$A$1:$I$89,5,0)</f>
        <v>161.63940000000002</v>
      </c>
      <c r="GB30" s="13">
        <f t="shared" si="49"/>
        <v>41.212066982728679</v>
      </c>
      <c r="GC30" s="20">
        <f t="shared" si="25"/>
        <v>353.29963832825246</v>
      </c>
      <c r="GD30" s="59">
        <f t="shared" si="26"/>
        <v>585.81748120081602</v>
      </c>
      <c r="GE30" s="59">
        <f ca="1">AVERAGE(OFFSET($GD$3,0,0,'Données projet'!$E$17+1,1))-AVERAGE(OFFSET($H$3,0,0,'Données projet'!$E$17+1,1))</f>
        <v>495.6641415122013</v>
      </c>
      <c r="GF30" s="59">
        <f t="shared" si="50"/>
        <v>488.90534169400757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8.7854002477159785</v>
      </c>
      <c r="GN30" s="21">
        <f>EXP(-LN(2)/2)*GN29+(1-EXP(-LN(2)/2))/(LN(2)/2)*GH30*GK30*VLOOKUP('Données projet'!$B$17,Paramètres!$A$1:$I$89,3,0)*0.475*44/12</f>
        <v>1.7953659862676796</v>
      </c>
      <c r="GO30" s="21">
        <f t="shared" si="27"/>
        <v>10.580766233983658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20.9</v>
      </c>
      <c r="GU30" s="12">
        <f>IF('Données projet'!$A$270&gt;35,GU29+GT30-HC29,IF(A30&lt;'Données projet'!$A$270,$GR$205^A30,IF(A30='Données projet'!$A$270,'Données projet'!$B$270,GU29+GT30-HC29)))</f>
        <v>270.3</v>
      </c>
      <c r="GV30" s="17">
        <f>GU30*VLOOKUP('Données projet'!$B$18,Paramètres!$A$1:$I$89,3,0)*VLOOKUP('Données projet'!$B$18,Paramètres!$A$1:$I$89,5,0)</f>
        <v>161.63940000000002</v>
      </c>
      <c r="GW30" s="13">
        <f t="shared" si="51"/>
        <v>41.212066982728679</v>
      </c>
      <c r="GX30" s="20">
        <f t="shared" si="28"/>
        <v>353.29963832825246</v>
      </c>
      <c r="GY30" s="59">
        <f t="shared" si="29"/>
        <v>585.81748120081602</v>
      </c>
      <c r="GZ30" s="59">
        <f ca="1">AVERAGE(OFFSET($GY$3,0,0,'Données projet'!$E$18+1,1))-AVERAGE(OFFSET($H$3,0,0,'Données projet'!$E$18+1,1))</f>
        <v>-18.333333333333343</v>
      </c>
      <c r="HA30" s="59">
        <f t="shared" si="52"/>
        <v>-18.333333333333343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8.7854002477159785</v>
      </c>
      <c r="HI30" s="21">
        <f>EXP(-LN(2)/2)*HI29+(1-EXP(-LN(2)/2))/(LN(2)/2)*HC30*HF30*VLOOKUP('Données projet'!$B$18,Paramètres!$A$1:$I$89,3,0)*0.475*44/12</f>
        <v>1.7953659862676796</v>
      </c>
      <c r="HJ30" s="22">
        <f t="shared" si="30"/>
        <v>10.580766233983658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219.09999999999991</v>
      </c>
      <c r="O31" s="13">
        <f>N31*VLOOKUP('Données projet'!$B$9,Paramètres!$A$1:$I$89,3,0)*VLOOKUP('Données projet'!$B$9,Paramètres!$A$1:$I$89,5,0)</f>
        <v>102.53879999999995</v>
      </c>
      <c r="P31" s="13">
        <f t="shared" si="33"/>
        <v>27.565946279127878</v>
      </c>
      <c r="Q31" s="20">
        <f t="shared" si="2"/>
        <v>226.59909976948094</v>
      </c>
      <c r="R31" s="59">
        <f t="shared" si="0"/>
        <v>461.33056919146503</v>
      </c>
      <c r="S31" s="59">
        <f ca="1">AVERAGE(OFFSET($R$3,0,0,'Données projet'!$E$9+1,1))-AVERAGE(OFFSET($H$3,0,0,'Données projet'!$E$9+1,1))</f>
        <v>376.11581547534814</v>
      </c>
      <c r="T31" s="59">
        <f t="shared" si="34"/>
        <v>300.91675649863294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1.7028404560746147</v>
      </c>
      <c r="AB31" s="21">
        <f>EXP(-LN(2)/2)*AB30+(1-EXP(-LN(2)/2))/(LN(2)/2)*V31*Y31*VLOOKUP('Données projet'!$B$9,Paramètres!$A$1:$I$89,3,0)*0.475*44/12</f>
        <v>0.20698621689155705</v>
      </c>
      <c r="AC31" s="22">
        <f t="shared" si="3"/>
        <v>1.9098266729661717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119.97648000000001</v>
      </c>
      <c r="AK31" s="13">
        <f t="shared" si="35"/>
        <v>31.669513577784763</v>
      </c>
      <c r="AL31" s="20">
        <f t="shared" si="4"/>
        <v>264.1167721479751</v>
      </c>
      <c r="AM31" s="59">
        <f t="shared" si="5"/>
        <v>498.84824156995921</v>
      </c>
      <c r="AN31" s="59">
        <f ca="1">AVERAGE(OFFSET($AM$3,0,0,'Données projet'!$E$10+1,1))-AVERAGE(OFFSET($H$3,0,0,'Données projet'!$E$10+1,1))</f>
        <v>505.38595282220405</v>
      </c>
      <c r="AO31" s="59">
        <f t="shared" si="36"/>
        <v>351.72130415456365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0.51477382999395016</v>
      </c>
      <c r="AW31" s="21">
        <f>EXP(-LN(2)/2)*AW30+(1-EXP(-LN(2)/2))/(LN(2)/2)*AQ31*AT31*VLOOKUP('Données projet'!$B$10,Paramètres!$A$1:$I$89,3,0)*0.475*44/12</f>
        <v>8.0034670531402105E-2</v>
      </c>
      <c r="AX31" s="21">
        <f t="shared" si="6"/>
        <v>0.59480850052535228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145.59479999999999</v>
      </c>
      <c r="BF31" s="13">
        <f t="shared" si="37"/>
        <v>37.575758023691719</v>
      </c>
      <c r="BG31" s="20">
        <f t="shared" si="7"/>
        <v>319.02205522459639</v>
      </c>
      <c r="BH31" s="59">
        <f t="shared" si="8"/>
        <v>553.75352464658044</v>
      </c>
      <c r="BI31" s="59">
        <f ca="1">AVERAGE(OFFSET($BH$3,0,0,'Données projet'!$E$11+1,1))-AVERAGE(OFFSET($H$3,0,0,'Données projet'!$E$11+1,1))</f>
        <v>394.14657090341535</v>
      </c>
      <c r="BJ31" s="59">
        <f t="shared" si="38"/>
        <v>424.06445894109982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6.2300224128397721</v>
      </c>
      <c r="BR31" s="21">
        <f>EXP(-LN(2)/2)*BR30+(1-EXP(-LN(2)/2))/(LN(2)/2)*BL31*BO31*VLOOKUP('Données projet'!$B$11,Paramètres!$A$1:$I$89,3,0)*0.475*44/12</f>
        <v>0.78585767013161212</v>
      </c>
      <c r="BS31" s="22">
        <f t="shared" si="9"/>
        <v>7.0158800829713845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18.5</v>
      </c>
      <c r="BY31" s="12">
        <f>IF('Données projet'!$A$114&gt;35,BY30+BX31-CG30,IF(A31&lt;'Données projet'!$A$114,$BV$205^A31,IF(A31='Données projet'!$A$114,'Données projet'!$B$114,BY30+BX31-CG30)))</f>
        <v>260</v>
      </c>
      <c r="BZ31" s="13">
        <f>BY31*VLOOKUP('Données projet'!$B$12,Paramètres!$A$1:$I$89,3,0)*VLOOKUP('Données projet'!$B$12,Paramètres!$A$1:$I$89,5,0)</f>
        <v>141.96</v>
      </c>
      <c r="CA31" s="13">
        <f t="shared" si="39"/>
        <v>36.745650011720485</v>
      </c>
      <c r="CB31" s="20">
        <f t="shared" si="10"/>
        <v>311.24567377041313</v>
      </c>
      <c r="CC31" s="59">
        <f t="shared" si="11"/>
        <v>545.97714319239719</v>
      </c>
      <c r="CD31" s="59">
        <f ca="1">AVERAGE(OFFSET($CC$3,0,0,'Données projet'!$E$12+1,1))-AVERAGE(OFFSET($H$3,0,0,'Données projet'!$E$12+1,1))</f>
        <v>382.09004346384319</v>
      </c>
      <c r="CE31" s="59">
        <f t="shared" si="40"/>
        <v>410.18893995284986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18.042432153749594</v>
      </c>
      <c r="CM31" s="21">
        <f>EXP(-LN(2)/2)*CM30+(1-EXP(-LN(2)/2))/(LN(2)/2)*CG31*CJ31*VLOOKUP('Données projet'!$B$12,Paramètres!$A$1:$I$89,3,0)*0.475*44/12</f>
        <v>1.8980636088955793</v>
      </c>
      <c r="CN31" s="22">
        <f t="shared" si="12"/>
        <v>19.940495762645174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13.4</v>
      </c>
      <c r="CT31" s="12">
        <f>IF('Données projet'!$A$140&gt;35,CT30+CS31-DB30,IF(A31&lt;'Données projet'!$A$140,$CQ$205^A31,IF(A31='Données projet'!$A$140,'Données projet'!$B$140,CT30+CS31-DB30)))</f>
        <v>201.20000000000005</v>
      </c>
      <c r="CU31" s="17">
        <f>CT31*VLOOKUP('Données projet'!$B$13,Paramètres!$A$1:$I$89,3,0)*VLOOKUP('Données projet'!$B$13,Paramètres!$A$1:$I$89,5,0)</f>
        <v>175.76832000000007</v>
      </c>
      <c r="CV31" s="13">
        <f t="shared" si="41"/>
        <v>44.379415757690204</v>
      </c>
      <c r="CW31" s="20">
        <f t="shared" si="13"/>
        <v>383.42397311131054</v>
      </c>
      <c r="CX31" s="59">
        <f t="shared" si="14"/>
        <v>618.1554425332946</v>
      </c>
      <c r="CY31" s="59">
        <f ca="1">AVERAGE(OFFSET($CX$3,0,0,'Données projet'!$E$13+1,1))-AVERAGE(OFFSET($H$3,0,0,'Données projet'!$E$13+1,1))</f>
        <v>363.02374534486341</v>
      </c>
      <c r="CZ31" s="59">
        <f t="shared" si="42"/>
        <v>489.00477393029598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5.0763910353072506</v>
      </c>
      <c r="DH31" s="21">
        <f>EXP(-LN(2)/2)*DH30+(1-EXP(-LN(2)/2))/(LN(2)/2)*DB31*DE31*VLOOKUP('Données projet'!$B$13,Paramètres!$A$1:$I$89,3,0)*0.475*44/12</f>
        <v>0.60161449933584854</v>
      </c>
      <c r="DI31" s="22">
        <f t="shared" si="15"/>
        <v>5.6780055346430993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>
        <f>DO31*VLOOKUP('Données projet'!$B$14,Paramètres!$A$1:$I$89,3,0)*VLOOKUP('Données projet'!$B$14,Paramètres!$A$1:$I$89,5,0)</f>
        <v>134.1756</v>
      </c>
      <c r="DQ31" s="13">
        <f t="shared" si="43"/>
        <v>34.959435402722768</v>
      </c>
      <c r="DR31" s="20">
        <f t="shared" si="16"/>
        <v>294.57685332640881</v>
      </c>
      <c r="DS31" s="59">
        <f t="shared" si="17"/>
        <v>529.30832274839292</v>
      </c>
      <c r="DT31" s="59">
        <f ca="1">AVERAGE(OFFSET($DS$3,0,0,'Données projet'!$E$14+1,1))-AVERAGE(OFFSET($H$3,0,0,'Données projet'!$E$14+1,1))</f>
        <v>368.03281986807173</v>
      </c>
      <c r="DU31" s="59">
        <f t="shared" si="44"/>
        <v>395.83504504492248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4.6581114673877835</v>
      </c>
      <c r="EC31" s="21">
        <f>EXP(-LN(2)/2)*EC30+(1-EXP(-LN(2)/2))/(LN(2)/2)*DW31*DZ31*VLOOKUP('Données projet'!$B$14,Paramètres!$A$1:$I$89,3,0)*0.475*44/12</f>
        <v>0.72422177443501468</v>
      </c>
      <c r="ED31" s="22">
        <f t="shared" si="18"/>
        <v>5.3823332418227983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>
        <f>VLOOKUP(A31,'Données projet'!$A$191:$I$211,2,0)</f>
        <v>146</v>
      </c>
      <c r="EH31" s="12">
        <f>VLOOKUP(A31,'Données projet'!$A$191:$I$211,9,0)</f>
        <v>11.25</v>
      </c>
      <c r="EI31" s="12">
        <f t="array" ref="EI31">INDEX(EH:EH,MIN(IF(ISNUMBER(EH31:EH227),ROW(EH31:EH227),"")))</f>
        <v>11.25</v>
      </c>
      <c r="EJ31" s="12">
        <f>IF('Données projet'!$A$192&gt;35,EJ30+EI31-ER30,IF(A31&lt;'Données projet'!$A$192,$EG$205^A31,IF(A31='Données projet'!$A$192,'Données projet'!$B$192,EJ30+EI31-ER30)))</f>
        <v>146</v>
      </c>
      <c r="EK31" s="17">
        <f>EJ31*VLOOKUP('Données projet'!$B$15,Paramètres!$A$1:$I$89,3,0)*VLOOKUP('Données projet'!$B$15,Paramètres!$A$1:$I$89,5,0)</f>
        <v>87.307999999999993</v>
      </c>
      <c r="EL31" s="13">
        <f t="shared" si="45"/>
        <v>23.914836409796052</v>
      </c>
      <c r="EM31" s="20">
        <f t="shared" si="19"/>
        <v>193.71310674706146</v>
      </c>
      <c r="EN31" s="59">
        <f t="shared" si="20"/>
        <v>428.44457616904555</v>
      </c>
      <c r="EO31" s="59">
        <f ca="1">AVERAGE(OFFSET($EN$3,0,0,'Données projet'!$E$15+1,1))-AVERAGE(OFFSET($H$3,0,0,'Données projet'!$E$15+1,1))</f>
        <v>225.2264820414552</v>
      </c>
      <c r="EP31" s="59">
        <f t="shared" si="46"/>
        <v>249.91838548328681</v>
      </c>
      <c r="EQ31" s="15">
        <f>IF(ISNA(VLOOKUP(A31,'Données projet'!$A$191:$I$211,3,0)),0,VLOOKUP(A31,'Données projet'!$A$191:$I$211,3,0))</f>
        <v>4</v>
      </c>
      <c r="ER31" s="15">
        <f>IF(ISNA(VLOOKUP(A31,'Données projet'!$A$191:$I$211,4,0)),0,VLOOKUP(A31,'Données projet'!$A$191:$I$211,4,0))</f>
        <v>23</v>
      </c>
      <c r="ES31" s="16">
        <f>IF(ISNA(VLOOKUP(A31,'Données projet'!$A$191:$I$211,5,0)),0%,VLOOKUP(A31,'Données projet'!$A$191:$I$211,5,0)*VLOOKUP('Données projet'!$B$15,Paramètres!$A$1:$I$89,7,0))</f>
        <v>9.0000000000000011E-2</v>
      </c>
      <c r="ET31" s="16">
        <f>IF(ISNA(VLOOKUP(A31,'Données projet'!$A$191:$I$211,6,0)),0%,VLOOKUP(A31,'Données projet'!$A$191:$I$211,6,0)*VLOOKUP('Données projet'!$B$15,Paramètres!$A$1:$I$89,7,0))</f>
        <v>0.18000000000000002</v>
      </c>
      <c r="EU31" s="16">
        <f>IF(ISNA(VLOOKUP(A31,'Données projet'!$A$191:$I$211,7,0)),0%,VLOOKUP(A31,'Données projet'!$A$191:$I$211,7,0))</f>
        <v>0.4</v>
      </c>
      <c r="EV31" s="21">
        <f>EXP(-LN(2)/35)*EV30+(1-EXP(-LN(2)/35))/(LN(2)/35)*ER31*ES31*VLOOKUP('Données projet'!$B$15,Paramètres!$A$1:$I$89,3,0)*0.475*44/12</f>
        <v>2.3016828133946334</v>
      </c>
      <c r="EW31" s="21">
        <f>EXP(-LN(2)/25)*EW30+(1-EXP(-LN(2)/25))/(LN(2)/25)*Calculateur!ER31*Calculateur!ET31*VLOOKUP('Données projet'!$B$15,Paramètres!$A$1:$I$89,3,0)*0.475*44/12</f>
        <v>9.1491139391372762</v>
      </c>
      <c r="EX31" s="21">
        <f>EXP(-LN(2)/2)*EX30+(1-EXP(-LN(2)/2))/(LN(2)/2)*ER31*EU31*VLOOKUP('Données projet'!$B$15,Paramètres!$A$1:$I$89,3,0)*0.475*44/12</f>
        <v>8.0910452213538786</v>
      </c>
      <c r="EY31" s="22">
        <f t="shared" si="21"/>
        <v>19.541841973885788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27.5</v>
      </c>
      <c r="FE31" s="12">
        <f>IF('Données projet'!$A$218&gt;35,FE30+FD31-FM30,IF(A31&lt;'Données projet'!$A$218,$FB$205^A31,IF(A31='Données projet'!$A$218,'Données projet'!$B$218,FE30+FD31-FM30)))</f>
        <v>344</v>
      </c>
      <c r="FF31" s="17">
        <f>FE31*VLOOKUP('Données projet'!$B$16,Paramètres!$A$1:$I$89,3,0)*VLOOKUP('Données projet'!$B$16,Paramètres!$A$1:$I$89,5,0)</f>
        <v>192.29599999999999</v>
      </c>
      <c r="FG31" s="13">
        <f t="shared" si="47"/>
        <v>48.047210442610933</v>
      </c>
      <c r="FH31" s="20">
        <f t="shared" si="22"/>
        <v>418.59775818754741</v>
      </c>
      <c r="FI31" s="59">
        <f t="shared" si="23"/>
        <v>653.32922760953147</v>
      </c>
      <c r="FJ31" s="59">
        <f ca="1">AVERAGE(OFFSET($FI$3,0,0,'Données projet'!$E$16+1,1))-AVERAGE(OFFSET($H$3,0,0,'Données projet'!$E$16+1,1))</f>
        <v>549.85684198202534</v>
      </c>
      <c r="FK31" s="59">
        <f t="shared" si="48"/>
        <v>539.63748606275431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16.922450043479277</v>
      </c>
      <c r="FS31" s="21">
        <f>EXP(-LN(2)/2)*FS30+(1-EXP(-LN(2)/2))/(LN(2)/2)*FM31*FP31*VLOOKUP('Données projet'!$B$16,Paramètres!$A$1:$I$89,3,0)*0.475*44/12</f>
        <v>2.0569830265312077</v>
      </c>
      <c r="FT31" s="22">
        <f t="shared" si="24"/>
        <v>18.979433070010483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20.9</v>
      </c>
      <c r="FZ31" s="12">
        <f>IF('Données projet'!$A$244&gt;35,FZ30+FY31-GH30,IF(A31&lt;'Données projet'!$A$244,$FW$205^A31,IF(A31='Données projet'!$A$244,'Données projet'!$B$244,FZ30+FY31-GH30)))</f>
        <v>291.2</v>
      </c>
      <c r="GA31" s="17">
        <f>FZ31*VLOOKUP('Données projet'!$B$17,Paramètres!$A$1:$I$89,3,0)*VLOOKUP('Données projet'!$B$17,Paramètres!$A$1:$I$89,5,0)</f>
        <v>174.13759999999999</v>
      </c>
      <c r="GB31" s="13">
        <f t="shared" si="49"/>
        <v>44.015407416692426</v>
      </c>
      <c r="GC31" s="20">
        <f t="shared" si="25"/>
        <v>379.94982125073926</v>
      </c>
      <c r="GD31" s="59">
        <f t="shared" si="26"/>
        <v>614.68129067272332</v>
      </c>
      <c r="GE31" s="59">
        <f ca="1">AVERAGE(OFFSET($GD$3,0,0,'Données projet'!$E$17+1,1))-AVERAGE(OFFSET($H$3,0,0,'Données projet'!$E$17+1,1))</f>
        <v>495.6641415122013</v>
      </c>
      <c r="GF31" s="59">
        <f t="shared" si="50"/>
        <v>488.90534169400757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8.5451630159380656</v>
      </c>
      <c r="GN31" s="21">
        <f>EXP(-LN(2)/2)*GN30+(1-EXP(-LN(2)/2))/(LN(2)/2)*GH31*GK31*VLOOKUP('Données projet'!$B$17,Paramètres!$A$1:$I$89,3,0)*0.475*44/12</f>
        <v>1.2695154636015502</v>
      </c>
      <c r="GO31" s="21">
        <f t="shared" si="27"/>
        <v>9.8146784795396158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20.9</v>
      </c>
      <c r="GU31" s="12">
        <f>IF('Données projet'!$A$270&gt;35,GU30+GT31-HC30,IF(A31&lt;'Données projet'!$A$270,$GR$205^A31,IF(A31='Données projet'!$A$270,'Données projet'!$B$270,GU30+GT31-HC30)))</f>
        <v>291.2</v>
      </c>
      <c r="GV31" s="17">
        <f>GU31*VLOOKUP('Données projet'!$B$18,Paramètres!$A$1:$I$89,3,0)*VLOOKUP('Données projet'!$B$18,Paramètres!$A$1:$I$89,5,0)</f>
        <v>174.13759999999999</v>
      </c>
      <c r="GW31" s="13">
        <f t="shared" si="51"/>
        <v>44.015407416692426</v>
      </c>
      <c r="GX31" s="20">
        <f t="shared" si="28"/>
        <v>379.94982125073926</v>
      </c>
      <c r="GY31" s="59">
        <f t="shared" si="29"/>
        <v>614.68129067272332</v>
      </c>
      <c r="GZ31" s="59">
        <f ca="1">AVERAGE(OFFSET($GY$3,0,0,'Données projet'!$E$18+1,1))-AVERAGE(OFFSET($H$3,0,0,'Données projet'!$E$18+1,1))</f>
        <v>-18.333333333333343</v>
      </c>
      <c r="HA31" s="59">
        <f t="shared" si="52"/>
        <v>-18.333333333333343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8.5451630159380656</v>
      </c>
      <c r="HI31" s="21">
        <f>EXP(-LN(2)/2)*HI30+(1-EXP(-LN(2)/2))/(LN(2)/2)*HC31*HF31*VLOOKUP('Données projet'!$B$18,Paramètres!$A$1:$I$89,3,0)*0.475*44/12</f>
        <v>1.2695154636015502</v>
      </c>
      <c r="HJ31" s="22">
        <f t="shared" si="30"/>
        <v>9.8146784795396158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228.2999999999999</v>
      </c>
      <c r="O32" s="13">
        <f>N32*VLOOKUP('Données projet'!$B$9,Paramètres!$A$1:$I$89,3,0)*VLOOKUP('Données projet'!$B$9,Paramètres!$A$1:$I$89,5,0)</f>
        <v>106.84439999999995</v>
      </c>
      <c r="P32" s="13">
        <f t="shared" si="33"/>
        <v>28.586245822975961</v>
      </c>
      <c r="Q32" s="20">
        <f t="shared" si="2"/>
        <v>235.87504147501636</v>
      </c>
      <c r="R32" s="59">
        <f t="shared" si="0"/>
        <v>472.80293879779219</v>
      </c>
      <c r="S32" s="59">
        <f ca="1">AVERAGE(OFFSET($R$3,0,0,'Données projet'!$E$9+1,1))-AVERAGE(OFFSET($H$3,0,0,'Données projet'!$E$9+1,1))</f>
        <v>376.11581547534814</v>
      </c>
      <c r="T32" s="59">
        <f t="shared" si="34"/>
        <v>300.91675649863294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1.6562761942547666</v>
      </c>
      <c r="AB32" s="21">
        <f>EXP(-LN(2)/2)*AB31+(1-EXP(-LN(2)/2))/(LN(2)/2)*V32*Y32*VLOOKUP('Données projet'!$B$9,Paramètres!$A$1:$I$89,3,0)*0.475*44/12</f>
        <v>0.1463613575761695</v>
      </c>
      <c r="AC32" s="22">
        <f t="shared" si="3"/>
        <v>1.8026375518309361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127.39584000000001</v>
      </c>
      <c r="AK32" s="13">
        <f t="shared" si="35"/>
        <v>33.393907578695213</v>
      </c>
      <c r="AL32" s="20">
        <f t="shared" si="4"/>
        <v>280.04214369956082</v>
      </c>
      <c r="AM32" s="59">
        <f t="shared" si="5"/>
        <v>516.97004102233666</v>
      </c>
      <c r="AN32" s="59">
        <f ca="1">AVERAGE(OFFSET($AM$3,0,0,'Données projet'!$E$10+1,1))-AVERAGE(OFFSET($H$3,0,0,'Données projet'!$E$10+1,1))</f>
        <v>505.38595282220405</v>
      </c>
      <c r="AO32" s="59">
        <f t="shared" si="36"/>
        <v>351.72130415456365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0.50069731254198635</v>
      </c>
      <c r="AW32" s="21">
        <f>EXP(-LN(2)/2)*AW31+(1-EXP(-LN(2)/2))/(LN(2)/2)*AQ32*AT32*VLOOKUP('Données projet'!$B$10,Paramètres!$A$1:$I$89,3,0)*0.475*44/12</f>
        <v>5.6593058262785573E-2</v>
      </c>
      <c r="AX32" s="21">
        <f t="shared" si="6"/>
        <v>0.55729037080477195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157.13100000000003</v>
      </c>
      <c r="BF32" s="13">
        <f t="shared" si="37"/>
        <v>40.194724574621844</v>
      </c>
      <c r="BG32" s="20">
        <f t="shared" si="7"/>
        <v>343.67563696746635</v>
      </c>
      <c r="BH32" s="59">
        <f t="shared" si="8"/>
        <v>580.60353429024212</v>
      </c>
      <c r="BI32" s="59">
        <f ca="1">AVERAGE(OFFSET($BH$3,0,0,'Données projet'!$E$11+1,1))-AVERAGE(OFFSET($H$3,0,0,'Données projet'!$E$11+1,1))</f>
        <v>394.14657090341535</v>
      </c>
      <c r="BJ32" s="59">
        <f t="shared" si="38"/>
        <v>424.06445894109982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6.0596621223380289</v>
      </c>
      <c r="BR32" s="21">
        <f>EXP(-LN(2)/2)*BR31+(1-EXP(-LN(2)/2))/(LN(2)/2)*BL32*BO32*VLOOKUP('Données projet'!$B$11,Paramètres!$A$1:$I$89,3,0)*0.475*44/12</f>
        <v>0.55568528759752389</v>
      </c>
      <c r="BS32" s="22">
        <f t="shared" si="9"/>
        <v>6.6153474099355529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18.5</v>
      </c>
      <c r="BY32" s="12">
        <f>IF('Données projet'!$A$114&gt;35,BY31+BX32-CG31,IF(A32&lt;'Données projet'!$A$114,$BV$205^A32,IF(A32='Données projet'!$A$114,'Données projet'!$B$114,BY31+BX32-CG31)))</f>
        <v>278.5</v>
      </c>
      <c r="BZ32" s="13">
        <f>BY32*VLOOKUP('Données projet'!$B$12,Paramètres!$A$1:$I$89,3,0)*VLOOKUP('Données projet'!$B$12,Paramètres!$A$1:$I$89,5,0)</f>
        <v>152.06100000000001</v>
      </c>
      <c r="CA32" s="13">
        <f t="shared" si="39"/>
        <v>39.046582627515924</v>
      </c>
      <c r="CB32" s="20">
        <f t="shared" si="10"/>
        <v>332.84570640959026</v>
      </c>
      <c r="CC32" s="59">
        <f t="shared" si="11"/>
        <v>569.77360373236615</v>
      </c>
      <c r="CD32" s="59">
        <f ca="1">AVERAGE(OFFSET($CC$3,0,0,'Données projet'!$E$12+1,1))-AVERAGE(OFFSET($H$3,0,0,'Données projet'!$E$12+1,1))</f>
        <v>382.09004346384319</v>
      </c>
      <c r="CE32" s="59">
        <f t="shared" si="40"/>
        <v>410.18893995284986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17.549060897695043</v>
      </c>
      <c r="CM32" s="21">
        <f>EXP(-LN(2)/2)*CM31+(1-EXP(-LN(2)/2))/(LN(2)/2)*CG32*CJ32*VLOOKUP('Données projet'!$B$12,Paramètres!$A$1:$I$89,3,0)*0.475*44/12</f>
        <v>1.3421336489734752</v>
      </c>
      <c r="CN32" s="22">
        <f t="shared" si="12"/>
        <v>18.891194546668519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13.4</v>
      </c>
      <c r="CT32" s="12">
        <f>IF('Données projet'!$A$140&gt;35,CT31+CS32-DB31,IF(A32&lt;'Données projet'!$A$140,$CQ$205^A32,IF(A32='Données projet'!$A$140,'Données projet'!$B$140,CT31+CS32-DB31)))</f>
        <v>214.60000000000005</v>
      </c>
      <c r="CU32" s="17">
        <f>CT32*VLOOKUP('Données projet'!$B$13,Paramètres!$A$1:$I$89,3,0)*VLOOKUP('Données projet'!$B$13,Paramètres!$A$1:$I$89,5,0)</f>
        <v>187.47456000000008</v>
      </c>
      <c r="CV32" s="13">
        <f t="shared" si="41"/>
        <v>46.981179851370143</v>
      </c>
      <c r="CW32" s="20">
        <f t="shared" si="13"/>
        <v>408.34374690780311</v>
      </c>
      <c r="CX32" s="59">
        <f t="shared" si="14"/>
        <v>645.27164423057889</v>
      </c>
      <c r="CY32" s="59">
        <f ca="1">AVERAGE(OFFSET($CX$3,0,0,'Données projet'!$E$13+1,1))-AVERAGE(OFFSET($H$3,0,0,'Données projet'!$E$13+1,1))</f>
        <v>363.02374534486341</v>
      </c>
      <c r="CZ32" s="59">
        <f t="shared" si="42"/>
        <v>489.00477393029598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4.9375768554909714</v>
      </c>
      <c r="DH32" s="21">
        <f>EXP(-LN(2)/2)*DH31+(1-EXP(-LN(2)/2))/(LN(2)/2)*DB32*DE32*VLOOKUP('Données projet'!$B$13,Paramètres!$A$1:$I$89,3,0)*0.475*44/12</f>
        <v>0.4254056921405282</v>
      </c>
      <c r="DI32" s="22">
        <f t="shared" si="15"/>
        <v>5.3629825476314998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>
        <f>DO32*VLOOKUP('Données projet'!$B$14,Paramètres!$A$1:$I$89,3,0)*VLOOKUP('Données projet'!$B$14,Paramètres!$A$1:$I$89,5,0)</f>
        <v>144.80699999999999</v>
      </c>
      <c r="DQ32" s="13">
        <f t="shared" si="43"/>
        <v>37.396048708072577</v>
      </c>
      <c r="DR32" s="20">
        <f t="shared" si="16"/>
        <v>317.33697649989301</v>
      </c>
      <c r="DS32" s="59">
        <f t="shared" si="17"/>
        <v>554.26487382266885</v>
      </c>
      <c r="DT32" s="59">
        <f ca="1">AVERAGE(OFFSET($DS$3,0,0,'Données projet'!$E$14+1,1))-AVERAGE(OFFSET($H$3,0,0,'Données projet'!$E$14+1,1))</f>
        <v>368.03281986807173</v>
      </c>
      <c r="DU32" s="59">
        <f t="shared" si="44"/>
        <v>395.83504504492248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4.5307351643526284</v>
      </c>
      <c r="EC32" s="21">
        <f>EXP(-LN(2)/2)*EC31+(1-EXP(-LN(2)/2))/(LN(2)/2)*DW32*DZ32*VLOOKUP('Données projet'!$B$14,Paramètres!$A$1:$I$89,3,0)*0.475*44/12</f>
        <v>0.5121021277859531</v>
      </c>
      <c r="ED32" s="22">
        <f t="shared" si="18"/>
        <v>5.0428372921385813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11.666666666666666</v>
      </c>
      <c r="EJ32" s="12">
        <f>IF('Données projet'!$A$192&gt;35,EJ31+EI32-ER31,IF(A32&lt;'Données projet'!$A$192,$EG$205^A32,IF(A32='Données projet'!$A$192,'Données projet'!$B$192,EJ31+EI32-ER31)))</f>
        <v>134.66666666666666</v>
      </c>
      <c r="EK32" s="17">
        <f>EJ32*VLOOKUP('Données projet'!$B$15,Paramètres!$A$1:$I$89,3,0)*VLOOKUP('Données projet'!$B$15,Paramètres!$A$1:$I$89,5,0)</f>
        <v>80.530666666666662</v>
      </c>
      <c r="EL32" s="13">
        <f t="shared" si="45"/>
        <v>22.266884919078866</v>
      </c>
      <c r="EM32" s="20">
        <f t="shared" si="19"/>
        <v>179.0390690118401</v>
      </c>
      <c r="EN32" s="59">
        <f t="shared" si="20"/>
        <v>415.9669663346159</v>
      </c>
      <c r="EO32" s="59">
        <f ca="1">AVERAGE(OFFSET($EN$3,0,0,'Données projet'!$E$15+1,1))-AVERAGE(OFFSET($H$3,0,0,'Données projet'!$E$15+1,1))</f>
        <v>225.2264820414552</v>
      </c>
      <c r="EP32" s="59">
        <f t="shared" si="46"/>
        <v>249.91838548328681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2.2565482173118583</v>
      </c>
      <c r="EW32" s="21">
        <f>EXP(-LN(2)/25)*EW31+(1-EXP(-LN(2)/25))/(LN(2)/25)*Calculateur!ER32*Calculateur!ET32*VLOOKUP('Données projet'!$B$15,Paramètres!$A$1:$I$89,3,0)*0.475*44/12</f>
        <v>8.8989309373405767</v>
      </c>
      <c r="EX32" s="21">
        <f>EXP(-LN(2)/2)*EX31+(1-EXP(-LN(2)/2))/(LN(2)/2)*ER32*EU32*VLOOKUP('Données projet'!$B$15,Paramètres!$A$1:$I$89,3,0)*0.475*44/12</f>
        <v>5.7212329429063384</v>
      </c>
      <c r="EY32" s="22">
        <f t="shared" si="21"/>
        <v>16.876712097558773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27.5</v>
      </c>
      <c r="FE32" s="12">
        <f>IF('Données projet'!$A$218&gt;35,FE31+FD32-FM31,IF(A32&lt;'Données projet'!$A$218,$FB$205^A32,IF(A32='Données projet'!$A$218,'Données projet'!$B$218,FE31+FD32-FM31)))</f>
        <v>371.5</v>
      </c>
      <c r="FF32" s="17">
        <f>FE32*VLOOKUP('Données projet'!$B$16,Paramètres!$A$1:$I$89,3,0)*VLOOKUP('Données projet'!$B$16,Paramètres!$A$1:$I$89,5,0)</f>
        <v>207.66850000000002</v>
      </c>
      <c r="FG32" s="13">
        <f t="shared" si="47"/>
        <v>51.4257637081664</v>
      </c>
      <c r="FH32" s="20">
        <f t="shared" si="22"/>
        <v>451.25584262505646</v>
      </c>
      <c r="FI32" s="59">
        <f t="shared" si="23"/>
        <v>688.18373994783224</v>
      </c>
      <c r="FJ32" s="59">
        <f ca="1">AVERAGE(OFFSET($FI$3,0,0,'Données projet'!$E$16+1,1))-AVERAGE(OFFSET($H$3,0,0,'Données projet'!$E$16+1,1))</f>
        <v>549.85684198202534</v>
      </c>
      <c r="FK32" s="59">
        <f t="shared" si="48"/>
        <v>539.63748606275431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16.459704757127366</v>
      </c>
      <c r="FS32" s="21">
        <f>EXP(-LN(2)/2)*FS31+(1-EXP(-LN(2)/2))/(LN(2)/2)*FM32*FP32*VLOOKUP('Données projet'!$B$16,Paramètres!$A$1:$I$89,3,0)*0.475*44/12</f>
        <v>1.454506646845845</v>
      </c>
      <c r="FT32" s="22">
        <f t="shared" si="24"/>
        <v>17.914211403973212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20.9</v>
      </c>
      <c r="FZ32" s="12">
        <f>IF('Données projet'!$A$244&gt;35,FZ31+FY32-GH31,IF(A32&lt;'Données projet'!$A$244,$FW$205^A32,IF(A32='Données projet'!$A$244,'Données projet'!$B$244,FZ31+FY32-GH31)))</f>
        <v>312.09999999999997</v>
      </c>
      <c r="GA32" s="17">
        <f>FZ32*VLOOKUP('Données projet'!$B$17,Paramètres!$A$1:$I$89,3,0)*VLOOKUP('Données projet'!$B$17,Paramètres!$A$1:$I$89,5,0)</f>
        <v>186.63580000000002</v>
      </c>
      <c r="GB32" s="13">
        <f t="shared" si="49"/>
        <v>46.795404430991645</v>
      </c>
      <c r="GC32" s="20">
        <f t="shared" si="25"/>
        <v>406.55934771731046</v>
      </c>
      <c r="GD32" s="59">
        <f t="shared" si="26"/>
        <v>643.48724504008624</v>
      </c>
      <c r="GE32" s="59">
        <f ca="1">AVERAGE(OFFSET($GD$3,0,0,'Données projet'!$E$17+1,1))-AVERAGE(OFFSET($H$3,0,0,'Données projet'!$E$17+1,1))</f>
        <v>495.6641415122013</v>
      </c>
      <c r="GF32" s="59">
        <f t="shared" si="50"/>
        <v>488.90534169400757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8.3114950838966468</v>
      </c>
      <c r="GN32" s="21">
        <f>EXP(-LN(2)/2)*GN31+(1-EXP(-LN(2)/2))/(LN(2)/2)*GH32*GK32*VLOOKUP('Données projet'!$B$17,Paramètres!$A$1:$I$89,3,0)*0.475*44/12</f>
        <v>0.89768299313383981</v>
      </c>
      <c r="GO32" s="21">
        <f t="shared" si="27"/>
        <v>9.2091780770304865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20.9</v>
      </c>
      <c r="GU32" s="12">
        <f>IF('Données projet'!$A$270&gt;35,GU31+GT32-HC31,IF(A32&lt;'Données projet'!$A$270,$GR$205^A32,IF(A32='Données projet'!$A$270,'Données projet'!$B$270,GU31+GT32-HC31)))</f>
        <v>312.09999999999997</v>
      </c>
      <c r="GV32" s="17">
        <f>GU32*VLOOKUP('Données projet'!$B$18,Paramètres!$A$1:$I$89,3,0)*VLOOKUP('Données projet'!$B$18,Paramètres!$A$1:$I$89,5,0)</f>
        <v>186.63580000000002</v>
      </c>
      <c r="GW32" s="13">
        <f t="shared" si="51"/>
        <v>46.795404430991645</v>
      </c>
      <c r="GX32" s="20">
        <f t="shared" si="28"/>
        <v>406.55934771731046</v>
      </c>
      <c r="GY32" s="59">
        <f t="shared" si="29"/>
        <v>643.48724504008624</v>
      </c>
      <c r="GZ32" s="59">
        <f ca="1">AVERAGE(OFFSET($GY$3,0,0,'Données projet'!$E$18+1,1))-AVERAGE(OFFSET($H$3,0,0,'Données projet'!$E$18+1,1))</f>
        <v>-18.333333333333343</v>
      </c>
      <c r="HA32" s="59">
        <f t="shared" si="52"/>
        <v>-18.333333333333343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8.3114950838966468</v>
      </c>
      <c r="HI32" s="21">
        <f>EXP(-LN(2)/2)*HI31+(1-EXP(-LN(2)/2))/(LN(2)/2)*HC32*HF32*VLOOKUP('Données projet'!$B$18,Paramètres!$A$1:$I$89,3,0)*0.475*44/12</f>
        <v>0.89768299313383981</v>
      </c>
      <c r="HJ32" s="22">
        <f t="shared" si="30"/>
        <v>9.2091780770304865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237.5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237.49999999999989</v>
      </c>
      <c r="O33" s="13">
        <f>N33*VLOOKUP('Données projet'!$B$9,Paramètres!$A$1:$I$89,3,0)*VLOOKUP('Données projet'!$B$9,Paramètres!$A$1:$I$89,5,0)</f>
        <v>111.14999999999995</v>
      </c>
      <c r="P33" s="13">
        <f t="shared" si="33"/>
        <v>29.601769319956546</v>
      </c>
      <c r="Q33" s="20">
        <f t="shared" si="2"/>
        <v>245.14266489892427</v>
      </c>
      <c r="R33" s="59">
        <f t="shared" si="0"/>
        <v>484.25008983196625</v>
      </c>
      <c r="S33" s="59">
        <f ca="1">AVERAGE(OFFSET($R$3,0,0,'Données projet'!$E$9+1,1))-AVERAGE(OFFSET($H$3,0,0,'Données projet'!$E$9+1,1))</f>
        <v>376.11581547534814</v>
      </c>
      <c r="T33" s="59">
        <f t="shared" si="34"/>
        <v>300.91675649863294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45.9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3.1345816018206638</v>
      </c>
      <c r="AA33" s="21">
        <f>EXP(-LN(2)/25)*AA32+(1-EXP(-LN(2)/25))/(LN(2)/25)*Calculateur!V33*Calculateur!X33*VLOOKUP('Données projet'!$B$9,Paramètres!$A$1:$I$89,3,0)*0.475*44/12</f>
        <v>7.8554643539932272</v>
      </c>
      <c r="AB33" s="21">
        <f>EXP(-LN(2)/2)*AB32+(1-EXP(-LN(2)/2))/(LN(2)/2)*V33*Y33*VLOOKUP('Données projet'!$B$9,Paramètres!$A$1:$I$89,3,0)*0.475*44/12</f>
        <v>9.8321764802959866</v>
      </c>
      <c r="AC33" s="22">
        <f t="shared" si="3"/>
        <v>20.822222436109875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134.81519999999998</v>
      </c>
      <c r="AK33" s="13">
        <f t="shared" si="35"/>
        <v>35.106644529103392</v>
      </c>
      <c r="AL33" s="20">
        <f t="shared" si="4"/>
        <v>295.94721255485501</v>
      </c>
      <c r="AM33" s="59">
        <f t="shared" si="5"/>
        <v>535.05463748789703</v>
      </c>
      <c r="AN33" s="59">
        <f ca="1">AVERAGE(OFFSET($AM$3,0,0,'Données projet'!$E$10+1,1))-AVERAGE(OFFSET($H$3,0,0,'Données projet'!$E$10+1,1))</f>
        <v>505.38595282220405</v>
      </c>
      <c r="AO33" s="59">
        <f t="shared" si="36"/>
        <v>351.72130415456365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2.4085528753586032</v>
      </c>
      <c r="AV33" s="21">
        <f>EXP(-LN(2)/25)*AV32+(1-EXP(-LN(2)/25))/(LN(2)/25)*Calculateur!AQ33*Calculateur!AS33*VLOOKUP('Données projet'!$B$10,Paramètres!$A$1:$I$89,3,0)*0.475*44/12</f>
        <v>11.282818400509749</v>
      </c>
      <c r="AW33" s="21">
        <f>EXP(-LN(2)/2)*AW32+(1-EXP(-LN(2)/2))/(LN(2)/2)*AQ33*AT33*VLOOKUP('Données projet'!$B$10,Paramètres!$A$1:$I$89,3,0)*0.475*44/12</f>
        <v>21.553336774106572</v>
      </c>
      <c r="AX33" s="21">
        <f t="shared" si="6"/>
        <v>35.244708049974925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168.66720000000001</v>
      </c>
      <c r="BF33" s="13">
        <f t="shared" si="37"/>
        <v>42.791384119459089</v>
      </c>
      <c r="BG33" s="20">
        <f t="shared" si="7"/>
        <v>368.29036734139123</v>
      </c>
      <c r="BH33" s="59">
        <f t="shared" si="8"/>
        <v>607.39779227443319</v>
      </c>
      <c r="BI33" s="59">
        <f ca="1">AVERAGE(OFFSET($BH$3,0,0,'Données projet'!$E$11+1,1))-AVERAGE(OFFSET($H$3,0,0,'Données projet'!$E$11+1,1))</f>
        <v>394.14657090341535</v>
      </c>
      <c r="BJ33" s="59">
        <f t="shared" si="38"/>
        <v>424.06445894109982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3.2629903879783009</v>
      </c>
      <c r="BQ33" s="21">
        <f>EXP(-LN(2)/25)*BQ32+(1-EXP(-LN(2)/25))/(LN(2)/25)*Calculateur!BL33*Calculateur!BN33*VLOOKUP('Données projet'!$B$11,Paramètres!$A$1:$I$89,3,0)*0.475*44/12</f>
        <v>20.519602724797</v>
      </c>
      <c r="BR33" s="21">
        <f>EXP(-LN(2)/2)*BR32+(1-EXP(-LN(2)/2))/(LN(2)/2)*BL33*BO33*VLOOKUP('Données projet'!$B$11,Paramètres!$A$1:$I$89,3,0)*0.475*44/12</f>
        <v>24.039034252757283</v>
      </c>
      <c r="BS33" s="22">
        <f t="shared" si="9"/>
        <v>47.821627365532585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297</v>
      </c>
      <c r="BW33" s="12">
        <f>VLOOKUP(A33,'Données projet'!$A$113:$I$133,9,0)</f>
        <v>18.5</v>
      </c>
      <c r="BX33" s="12">
        <f t="array" ref="BX33">INDEX(BW:BW,MIN(IF(ISNUMBER(BW33:BW229),ROW(BW33:BW229),"")))</f>
        <v>18.5</v>
      </c>
      <c r="BY33" s="12">
        <f>IF('Données projet'!$A$114&gt;35,BY32+BX33-CG32,IF(A33&lt;'Données projet'!$A$114,$BV$205^A33,IF(A33='Données projet'!$A$114,'Données projet'!$B$114,BY32+BX33-CG32)))</f>
        <v>297</v>
      </c>
      <c r="BZ33" s="13">
        <f>BY33*VLOOKUP('Données projet'!$B$12,Paramètres!$A$1:$I$89,3,0)*VLOOKUP('Données projet'!$B$12,Paramètres!$A$1:$I$89,5,0)</f>
        <v>162.16200000000001</v>
      </c>
      <c r="CA33" s="13">
        <f t="shared" si="39"/>
        <v>41.3297789587414</v>
      </c>
      <c r="CB33" s="20">
        <f t="shared" si="10"/>
        <v>354.41484835314122</v>
      </c>
      <c r="CC33" s="59">
        <f t="shared" si="11"/>
        <v>593.52227328618324</v>
      </c>
      <c r="CD33" s="59">
        <f ca="1">AVERAGE(OFFSET($CC$3,0,0,'Données projet'!$E$12+1,1))-AVERAGE(OFFSET($H$3,0,0,'Données projet'!$E$12+1,1))</f>
        <v>382.09004346384319</v>
      </c>
      <c r="CE33" s="59">
        <f t="shared" si="40"/>
        <v>410.18893995284986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98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8.5178173057990687</v>
      </c>
      <c r="CL33" s="21">
        <f>EXP(-LN(2)/25)*CL32+(1-EXP(-LN(2)/25))/(LN(2)/25)*Calculateur!CG33*Calculateur!CI33*VLOOKUP('Données projet'!$B$12,Paramètres!$A$1:$I$89,3,0)*0.475*44/12</f>
        <v>34.037739731629159</v>
      </c>
      <c r="CM33" s="21">
        <f>EXP(-LN(2)/2)*CM32+(1-EXP(-LN(2)/2))/(LN(2)/2)*CG33*CJ33*VLOOKUP('Données projet'!$B$12,Paramètres!$A$1:$I$89,3,0)*0.475*44/12</f>
        <v>25.182426114866235</v>
      </c>
      <c r="CN33" s="22">
        <f t="shared" si="12"/>
        <v>67.737983152294461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228</v>
      </c>
      <c r="CR33" s="12">
        <f>VLOOKUP(A33,'Données projet'!$A$139:$I$159,9,0)</f>
        <v>13.4</v>
      </c>
      <c r="CS33" s="12">
        <f t="array" ref="CS33">INDEX(CR:CR,MIN(IF(ISNUMBER(CR33:CR229),ROW(CR33:CR229),"")))</f>
        <v>13.4</v>
      </c>
      <c r="CT33" s="12">
        <f>IF('Données projet'!$A$140&gt;35,CT32+CS33-DB32,IF(A33&lt;'Données projet'!$A$140,$CQ$205^A33,IF(A33='Données projet'!$A$140,'Données projet'!$B$140,CT32+CS33-DB32)))</f>
        <v>228.00000000000006</v>
      </c>
      <c r="CU33" s="17">
        <f>CT33*VLOOKUP('Données projet'!$B$13,Paramètres!$A$1:$I$89,3,0)*VLOOKUP('Données projet'!$B$13,Paramètres!$A$1:$I$89,5,0)</f>
        <v>199.18080000000009</v>
      </c>
      <c r="CV33" s="13">
        <f t="shared" si="41"/>
        <v>49.564089376413726</v>
      </c>
      <c r="CW33" s="20">
        <f t="shared" si="13"/>
        <v>433.2306823305874</v>
      </c>
      <c r="CX33" s="59">
        <f t="shared" si="14"/>
        <v>672.33810726362935</v>
      </c>
      <c r="CY33" s="59">
        <f ca="1">AVERAGE(OFFSET($CX$3,0,0,'Données projet'!$E$13+1,1))-AVERAGE(OFFSET($H$3,0,0,'Données projet'!$E$13+1,1))</f>
        <v>363.02374534486341</v>
      </c>
      <c r="CZ33" s="59">
        <f t="shared" si="42"/>
        <v>489.00477393029598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88</v>
      </c>
      <c r="DC33" s="16">
        <f>IF(ISNA(VLOOKUP(A33,'Données projet'!$A$139:$I$159,5,0)),0%,VLOOKUP(A33,'Données projet'!$A$139:$I$159,5,0)*VLOOKUP('Données projet'!$B$13,Paramètres!$A$1:$I$89,7,0))</f>
        <v>8.6000000000000007E-2</v>
      </c>
      <c r="DD33" s="16">
        <f>IF(ISNA(VLOOKUP(A33,'Données projet'!$A$139:$I$159,6,0)),0%,VLOOKUP(A33,'Données projet'!$A$139:$I$159,6,0)*VLOOKUP('Données projet'!$B$13,Paramètres!$A$1:$I$89,7,0))</f>
        <v>0.17200000000000001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7.3087121735019691</v>
      </c>
      <c r="DG33" s="21">
        <f>EXP(-LN(2)/25)*DG32+(1-EXP(-LN(2)/25))/(LN(2)/25)*Calculateur!DB33*Calculateur!DD33*VLOOKUP('Données projet'!$B$13,Paramètres!$A$1:$I$89,3,0)*0.475*44/12</f>
        <v>19.362428534396141</v>
      </c>
      <c r="DH33" s="21">
        <f>EXP(-LN(2)/2)*DH32+(1-EXP(-LN(2)/2))/(LN(2)/2)*DB33*DE33*VLOOKUP('Données projet'!$B$13,Paramètres!$A$1:$I$89,3,0)*0.475*44/12</f>
        <v>29.314939213162127</v>
      </c>
      <c r="DI33" s="22">
        <f t="shared" si="15"/>
        <v>55.986079921060238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>
        <f>DO33*VLOOKUP('Données projet'!$B$14,Paramètres!$A$1:$I$89,3,0)*VLOOKUP('Données projet'!$B$14,Paramètres!$A$1:$I$89,5,0)</f>
        <v>155.4384</v>
      </c>
      <c r="DQ33" s="13">
        <f t="shared" si="43"/>
        <v>39.811908198208918</v>
      </c>
      <c r="DR33" s="20">
        <f t="shared" si="16"/>
        <v>340.06095344521384</v>
      </c>
      <c r="DS33" s="59">
        <f t="shared" si="17"/>
        <v>579.16837837825585</v>
      </c>
      <c r="DT33" s="59">
        <f ca="1">AVERAGE(OFFSET($DS$3,0,0,'Données projet'!$E$14+1,1))-AVERAGE(OFFSET($H$3,0,0,'Données projet'!$E$14+1,1))</f>
        <v>368.03281986807173</v>
      </c>
      <c r="DU33" s="59">
        <f t="shared" si="44"/>
        <v>395.83504504492248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2.4396979556434131</v>
      </c>
      <c r="EB33" s="21">
        <f>EXP(-LN(2)/25)*EB32+(1-EXP(-LN(2)/25))/(LN(2)/25)*Calculateur!DW33*Calculateur!DY33*VLOOKUP('Données projet'!$B$14,Paramètres!$A$1:$I$89,3,0)*0.475*44/12</f>
        <v>15.342255681396496</v>
      </c>
      <c r="EC33" s="21">
        <f>EXP(-LN(2)/2)*EC32+(1-EXP(-LN(2)/2))/(LN(2)/2)*DW33*DZ33*VLOOKUP('Données projet'!$B$14,Paramètres!$A$1:$I$89,3,0)*0.475*44/12</f>
        <v>22.153619801560634</v>
      </c>
      <c r="ED33" s="22">
        <f t="shared" si="18"/>
        <v>39.935573438600542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11.666666666666666</v>
      </c>
      <c r="EJ33" s="12">
        <f>IF('Données projet'!$A$192&gt;35,EJ32+EI33-ER32,IF(A33&lt;'Données projet'!$A$192,$EG$205^A33,IF(A33='Données projet'!$A$192,'Données projet'!$B$192,EJ32+EI33-ER32)))</f>
        <v>146.33333333333331</v>
      </c>
      <c r="EK33" s="17">
        <f>EJ33*VLOOKUP('Données projet'!$B$15,Paramètres!$A$1:$I$89,3,0)*VLOOKUP('Données projet'!$B$15,Paramètres!$A$1:$I$89,5,0)</f>
        <v>87.507333333333335</v>
      </c>
      <c r="EL33" s="13">
        <f t="shared" si="45"/>
        <v>23.963074638099123</v>
      </c>
      <c r="EM33" s="20">
        <f t="shared" si="19"/>
        <v>194.14429388357817</v>
      </c>
      <c r="EN33" s="59">
        <f t="shared" si="20"/>
        <v>433.25171881662015</v>
      </c>
      <c r="EO33" s="59">
        <f ca="1">AVERAGE(OFFSET($EN$3,0,0,'Données projet'!$E$15+1,1))-AVERAGE(OFFSET($H$3,0,0,'Données projet'!$E$15+1,1))</f>
        <v>225.2264820414552</v>
      </c>
      <c r="EP33" s="59">
        <f t="shared" si="46"/>
        <v>249.91838548328681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2.2122986831288811</v>
      </c>
      <c r="EW33" s="21">
        <f>EXP(-LN(2)/25)*EW32+(1-EXP(-LN(2)/25))/(LN(2)/25)*Calculateur!ER33*Calculateur!ET33*VLOOKUP('Données projet'!$B$15,Paramètres!$A$1:$I$89,3,0)*0.475*44/12</f>
        <v>8.6555892028845598</v>
      </c>
      <c r="EX33" s="21">
        <f>EXP(-LN(2)/2)*EX32+(1-EXP(-LN(2)/2))/(LN(2)/2)*ER33*EU33*VLOOKUP('Données projet'!$B$15,Paramètres!$A$1:$I$89,3,0)*0.475*44/12</f>
        <v>4.0455226106769402</v>
      </c>
      <c r="EY33" s="22">
        <f t="shared" si="21"/>
        <v>14.913410496690382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399</v>
      </c>
      <c r="FC33" s="12">
        <f>VLOOKUP(A33,'Données projet'!$A$217:$I$237,9,0)</f>
        <v>27.5</v>
      </c>
      <c r="FD33" s="12">
        <f t="array" ref="FD33">INDEX(FC:FC,MIN(IF(ISNUMBER(FC33:FC229),ROW(FC33:FC229),"")))</f>
        <v>27.5</v>
      </c>
      <c r="FE33" s="12">
        <f>IF('Données projet'!$A$218&gt;35,FE32+FD33-FM32,IF(A33&lt;'Données projet'!$A$218,$FB$205^A33,IF(A33='Données projet'!$A$218,'Données projet'!$B$218,FE32+FD33-FM32)))</f>
        <v>399</v>
      </c>
      <c r="FF33" s="17">
        <f>FE33*VLOOKUP('Données projet'!$B$16,Paramètres!$A$1:$I$89,3,0)*VLOOKUP('Données projet'!$B$16,Paramètres!$A$1:$I$89,5,0)</f>
        <v>223.041</v>
      </c>
      <c r="FG33" s="13">
        <f t="shared" si="47"/>
        <v>54.775303040983225</v>
      </c>
      <c r="FH33" s="20">
        <f t="shared" si="22"/>
        <v>483.86339446304572</v>
      </c>
      <c r="FI33" s="59">
        <f t="shared" si="23"/>
        <v>722.97081939608768</v>
      </c>
      <c r="FJ33" s="59">
        <f ca="1">AVERAGE(OFFSET($FI$3,0,0,'Données projet'!$E$16+1,1))-AVERAGE(OFFSET($H$3,0,0,'Données projet'!$E$16+1,1))</f>
        <v>549.85684198202534</v>
      </c>
      <c r="FK33" s="59">
        <f t="shared" si="48"/>
        <v>539.63748606275431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140</v>
      </c>
      <c r="FN33" s="16">
        <f>IF(ISNA(VLOOKUP(A33,'Données projet'!$A$217:$I$237,5,0)),0%,VLOOKUP(A33,'Données projet'!$A$217:$I$237,5,0)*VLOOKUP('Données projet'!$B$16,Paramètres!$A$1:$I$89,7,0))</f>
        <v>0.11000000000000001</v>
      </c>
      <c r="FO33" s="16">
        <f>IF(ISNA(VLOOKUP(A33,'Données projet'!$A$217:$I$237,6,0)),0%,VLOOKUP(A33,'Données projet'!$A$217:$I$237,6,0)*VLOOKUP('Données projet'!$B$16,Paramètres!$A$1:$I$89,7,0))</f>
        <v>0.22000000000000003</v>
      </c>
      <c r="FP33" s="16">
        <f>IF(ISNA(VLOOKUP(A33,'Données projet'!$A$217:$I$237,7,0)),0%,VLOOKUP(A33,'Données projet'!$A$217:$I$237,7,0))</f>
        <v>0.4</v>
      </c>
      <c r="FQ33" s="21">
        <f>EXP(-LN(2)/35)*FQ32+(1-EXP(-LN(2)/35))/(LN(2)/35)*FM33*FN33*VLOOKUP('Données projet'!$B$16,Paramètres!$A$1:$I$89,3,0)*0.475*44/12</f>
        <v>11.419862771096829</v>
      </c>
      <c r="FR33" s="21">
        <f>EXP(-LN(2)/25)*FR32+(1-EXP(-LN(2)/25))/(LN(2)/25)*Calculateur!FM33*Calculateur!FO33*VLOOKUP('Données projet'!$B$16,Paramètres!$A$1:$I$89,3,0)*0.475*44/12</f>
        <v>38.759410105081791</v>
      </c>
      <c r="FS33" s="21">
        <f>EXP(-LN(2)/2)*FS32+(1-EXP(-LN(2)/2))/(LN(2)/2)*FM33*FP33*VLOOKUP('Données projet'!$B$16,Paramètres!$A$1:$I$89,3,0)*0.475*44/12</f>
        <v>36.471891355034096</v>
      </c>
      <c r="FT33" s="22">
        <f t="shared" si="24"/>
        <v>86.651164231212718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333</v>
      </c>
      <c r="FX33" s="12">
        <f>VLOOKUP(A33,'Données projet'!$A$243:$I$263,9,0)</f>
        <v>20.9</v>
      </c>
      <c r="FY33" s="12">
        <f t="array" ref="FY33">INDEX(FX:FX,MIN(IF(ISNUMBER(FX33:FX229),ROW(FX33:FX229),"")))</f>
        <v>20.9</v>
      </c>
      <c r="FZ33" s="12">
        <f>IF('Données projet'!$A$244&gt;35,FZ32+FY33-GH32,IF(A33&lt;'Données projet'!$A$244,$FW$205^A33,IF(A33='Données projet'!$A$244,'Données projet'!$B$244,FZ32+FY33-GH32)))</f>
        <v>332.99999999999994</v>
      </c>
      <c r="GA33" s="17">
        <f>FZ33*VLOOKUP('Données projet'!$B$17,Paramètres!$A$1:$I$89,3,0)*VLOOKUP('Données projet'!$B$17,Paramètres!$A$1:$I$89,5,0)</f>
        <v>199.13399999999999</v>
      </c>
      <c r="GB33" s="13">
        <f t="shared" si="49"/>
        <v>49.553799097205186</v>
      </c>
      <c r="GC33" s="20">
        <f t="shared" si="25"/>
        <v>433.13125009429899</v>
      </c>
      <c r="GD33" s="59">
        <f t="shared" si="26"/>
        <v>672.23867502734095</v>
      </c>
      <c r="GE33" s="59">
        <f ca="1">AVERAGE(OFFSET($GD$3,0,0,'Données projet'!$E$17+1,1))-AVERAGE(OFFSET($H$3,0,0,'Données projet'!$E$17+1,1))</f>
        <v>495.6641415122013</v>
      </c>
      <c r="GF33" s="59">
        <f t="shared" si="50"/>
        <v>488.90534169400757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112</v>
      </c>
      <c r="GI33" s="16">
        <f>IF(ISNA(VLOOKUP(A33,'Données projet'!$A$243:$I$263,5,0)),0%,VLOOKUP(A33,'Données projet'!$A$243:$I$263,5,0)*VLOOKUP('Données projet'!$B$17,Paramètres!$A$1:$I$89,7,0))</f>
        <v>4.5000000000000005E-2</v>
      </c>
      <c r="GJ33" s="16">
        <f>IF(ISNA(VLOOKUP(A33,'Données projet'!$A$243:$I$263,6,0)),0%,VLOOKUP(A33,'Données projet'!$A$243:$I$263,6,0)*VLOOKUP('Données projet'!$B$17,Paramètres!$A$1:$I$89,7,0))</f>
        <v>0.20250000000000001</v>
      </c>
      <c r="GK33" s="16">
        <f>IF(ISNA(VLOOKUP(A33,'Données projet'!$A$243:$I$263,7,0)),0%,VLOOKUP(A33,'Données projet'!$A$243:$I$263,7,0))</f>
        <v>0.45</v>
      </c>
      <c r="GL33" s="21">
        <f>EXP(-LN(2)/35)*GL32+(1-EXP(-LN(2)/35))/(LN(2)/35)*GH33*GI33*VLOOKUP('Données projet'!$B$17,Paramètres!$A$1:$I$89,3,0)*0.475*44/12</f>
        <v>3.9981591435383397</v>
      </c>
      <c r="GM33" s="21">
        <f>EXP(-LN(2)/25)*GM32+(1-EXP(-LN(2)/25))/(LN(2)/25)*Calculateur!GH33*Calculateur!GJ33*VLOOKUP('Données projet'!$B$17,Paramètres!$A$1:$I$89,3,0)*0.475*44/12</f>
        <v>26.005092717819689</v>
      </c>
      <c r="GN33" s="21">
        <f>EXP(-LN(2)/2)*GN32+(1-EXP(-LN(2)/2))/(LN(2)/2)*GH33*GK33*VLOOKUP('Données projet'!$B$17,Paramètres!$A$1:$I$89,3,0)*0.475*44/12</f>
        <v>34.759333393410436</v>
      </c>
      <c r="GO33" s="21">
        <f t="shared" si="27"/>
        <v>64.762585254768467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333</v>
      </c>
      <c r="GS33" s="12">
        <f>VLOOKUP(A33,'Données projet'!$A$269:$I$289,9,0)</f>
        <v>20.9</v>
      </c>
      <c r="GT33" s="12">
        <f t="array" ref="GT33">INDEX(GS:GS,MIN(IF(ISNUMBER(GS33:GS229),ROW(GS33:GS229),"")))</f>
        <v>20.9</v>
      </c>
      <c r="GU33" s="12">
        <f>IF('Données projet'!$A$270&gt;35,GU32+GT33-HC32,IF(A33&lt;'Données projet'!$A$270,$GR$205^A33,IF(A33='Données projet'!$A$270,'Données projet'!$B$270,GU32+GT33-HC32)))</f>
        <v>332.99999999999994</v>
      </c>
      <c r="GV33" s="17">
        <f>GU33*VLOOKUP('Données projet'!$B$18,Paramètres!$A$1:$I$89,3,0)*VLOOKUP('Données projet'!$B$18,Paramètres!$A$1:$I$89,5,0)</f>
        <v>199.13399999999999</v>
      </c>
      <c r="GW33" s="13">
        <f t="shared" si="51"/>
        <v>49.553799097205186</v>
      </c>
      <c r="GX33" s="20">
        <f t="shared" si="28"/>
        <v>433.13125009429899</v>
      </c>
      <c r="GY33" s="59">
        <f t="shared" si="29"/>
        <v>672.23867502734095</v>
      </c>
      <c r="GZ33" s="59">
        <f ca="1">AVERAGE(OFFSET($GY$3,0,0,'Données projet'!$E$18+1,1))-AVERAGE(OFFSET($H$3,0,0,'Données projet'!$E$18+1,1))</f>
        <v>-18.333333333333343</v>
      </c>
      <c r="HA33" s="59">
        <f t="shared" si="52"/>
        <v>-18.333333333333343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112</v>
      </c>
      <c r="HD33" s="16">
        <f>IF(ISNA(VLOOKUP(A33,'Données projet'!$A$269:$I$289,5,0)),0%,VLOOKUP(A33,'Données projet'!$A$269:$I$289,5,0)*VLOOKUP('Données projet'!$B$18,Paramètres!$A$1:$I$89,7,0))</f>
        <v>4.5000000000000005E-2</v>
      </c>
      <c r="HE33" s="16">
        <f>IF(ISNA(VLOOKUP(A33,'Données projet'!$A$269:$I$289,6,0)),0%,VLOOKUP(A33,'Données projet'!$A$269:$I$289,6,0)*VLOOKUP('Données projet'!$B$18,Paramètres!$A$1:$I$89,7,0))</f>
        <v>0.20250000000000001</v>
      </c>
      <c r="HF33" s="16">
        <f>IF(ISNA(VLOOKUP(A33,'Données projet'!$A$269:$I$289,7,0)),0%,VLOOKUP(A33,'Données projet'!$A$269:$I$289,7,0))</f>
        <v>0.45</v>
      </c>
      <c r="HG33" s="21">
        <f>EXP(-LN(2)/35)*HG32+(1-EXP(-LN(2)/35))/(LN(2)/35)*HC33*HD33*VLOOKUP('Données projet'!$B$18,Paramètres!$A$1:$I$89,3,0)*0.475*44/12</f>
        <v>3.9981591435383397</v>
      </c>
      <c r="HH33" s="21">
        <f>EXP(-LN(2)/25)*HH32+(1-EXP(-LN(2)/25))/(LN(2)/25)*Calculateur!HC33*Calculateur!HE33*VLOOKUP('Données projet'!$B$18,Paramètres!$A$1:$I$89,3,0)*0.475*44/12</f>
        <v>26.005092717819689</v>
      </c>
      <c r="HI33" s="21">
        <f>EXP(-LN(2)/2)*HI32+(1-EXP(-LN(2)/2))/(LN(2)/2)*HC33*HF33*VLOOKUP('Données projet'!$B$18,Paramètres!$A$1:$I$89,3,0)*0.475*44/12</f>
        <v>34.759333393410436</v>
      </c>
      <c r="HJ33" s="22">
        <f t="shared" si="30"/>
        <v>64.762585254768467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10.000000000000004</v>
      </c>
      <c r="N34" s="13">
        <f>IF('Données projet'!$A$36&gt;35,N33+M34-V33,IF(A34&lt;'Données projet'!$A$36,$K$205^A34,IF(A34='Données projet'!$A$36,'Données projet'!$B$36,N33+M34-V33)))</f>
        <v>201.59999999999988</v>
      </c>
      <c r="O34" s="13">
        <f>N34*VLOOKUP('Données projet'!$B$9,Paramètres!$A$1:$I$89,3,0)*VLOOKUP('Données projet'!$B$9,Paramètres!$A$1:$I$89,5,0)</f>
        <v>94.34879999999994</v>
      </c>
      <c r="P34" s="13">
        <f t="shared" si="33"/>
        <v>25.611153022386439</v>
      </c>
      <c r="Q34" s="20">
        <f t="shared" si="2"/>
        <v>208.93025151398959</v>
      </c>
      <c r="R34" s="59">
        <f t="shared" si="0"/>
        <v>448.97837472680715</v>
      </c>
      <c r="S34" s="59">
        <f ca="1">AVERAGE(OFFSET($R$3,0,0,'Données projet'!$E$9+1,1))-AVERAGE(OFFSET($H$3,0,0,'Données projet'!$E$9+1,1))</f>
        <v>376.11581547534814</v>
      </c>
      <c r="T34" s="59">
        <f t="shared" si="34"/>
        <v>300.91675649863294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3.0731143685149527</v>
      </c>
      <c r="AA34" s="21">
        <f>EXP(-LN(2)/25)*AA33+(1-EXP(-LN(2)/25))/(LN(2)/25)*Calculateur!V34*Calculateur!X34*VLOOKUP('Données projet'!$B$9,Paramètres!$A$1:$I$89,3,0)*0.475*44/12</f>
        <v>7.640656268132366</v>
      </c>
      <c r="AB34" s="21">
        <f>EXP(-LN(2)/2)*AB33+(1-EXP(-LN(2)/2))/(LN(2)/2)*V34*Y34*VLOOKUP('Données projet'!$B$9,Paramètres!$A$1:$I$89,3,0)*0.475*44/12</f>
        <v>6.9523986630401735</v>
      </c>
      <c r="AC34" s="22">
        <f t="shared" si="3"/>
        <v>17.666169299687493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94.099199999999996</v>
      </c>
      <c r="AK34" s="13">
        <f t="shared" si="35"/>
        <v>25.551276031514817</v>
      </c>
      <c r="AL34" s="20">
        <f t="shared" si="4"/>
        <v>208.39124575488827</v>
      </c>
      <c r="AM34" s="59">
        <f t="shared" si="5"/>
        <v>448.43936896770583</v>
      </c>
      <c r="AN34" s="59">
        <f ca="1">AVERAGE(OFFSET($AM$3,0,0,'Données projet'!$E$10+1,1))-AVERAGE(OFFSET($H$3,0,0,'Données projet'!$E$10+1,1))</f>
        <v>505.38595282220405</v>
      </c>
      <c r="AO34" s="59">
        <f t="shared" si="36"/>
        <v>351.72130415456365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2.3613226225450159</v>
      </c>
      <c r="AV34" s="21">
        <f>EXP(-LN(2)/25)*AV33+(1-EXP(-LN(2)/25))/(LN(2)/25)*Calculateur!AQ34*Calculateur!AS34*VLOOKUP('Données projet'!$B$10,Paramètres!$A$1:$I$89,3,0)*0.475*44/12</f>
        <v>10.974289138010176</v>
      </c>
      <c r="AW34" s="21">
        <f>EXP(-LN(2)/2)*AW33+(1-EXP(-LN(2)/2))/(LN(2)/2)*AQ34*AT34*VLOOKUP('Données projet'!$B$10,Paramètres!$A$1:$I$89,3,0)*0.475*44/12</f>
        <v>15.240510590168146</v>
      </c>
      <c r="AX34" s="21">
        <f t="shared" si="6"/>
        <v>28.576122350723338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122.60195999999999</v>
      </c>
      <c r="BF34" s="13">
        <f t="shared" si="37"/>
        <v>32.281104011674643</v>
      </c>
      <c r="BG34" s="20">
        <f t="shared" si="7"/>
        <v>269.75466982033333</v>
      </c>
      <c r="BH34" s="59">
        <f t="shared" si="8"/>
        <v>509.80279303315092</v>
      </c>
      <c r="BI34" s="59">
        <f ca="1">AVERAGE(OFFSET($BH$3,0,0,'Données projet'!$E$11+1,1))-AVERAGE(OFFSET($H$3,0,0,'Données projet'!$E$11+1,1))</f>
        <v>394.14657090341535</v>
      </c>
      <c r="BJ34" s="59">
        <f t="shared" si="38"/>
        <v>424.06445894109982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3.1990051366976644</v>
      </c>
      <c r="BQ34" s="21">
        <f>EXP(-LN(2)/25)*BQ33+(1-EXP(-LN(2)/25))/(LN(2)/25)*Calculateur!BL34*Calculateur!BN34*VLOOKUP('Données projet'!$B$11,Paramètres!$A$1:$I$89,3,0)*0.475*44/12</f>
        <v>19.958493109208415</v>
      </c>
      <c r="BR34" s="21">
        <f>EXP(-LN(2)/2)*BR33+(1-EXP(-LN(2)/2))/(LN(2)/2)*BL34*BO34*VLOOKUP('Données projet'!$B$11,Paramètres!$A$1:$I$89,3,0)*0.475*44/12</f>
        <v>16.998164133300367</v>
      </c>
      <c r="BS34" s="22">
        <f t="shared" si="9"/>
        <v>40.155662379206447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15.7</v>
      </c>
      <c r="BY34" s="12">
        <f>IF('Données projet'!$A$114&gt;35,BY33+BX34-CG33,IF(A34&lt;'Données projet'!$A$114,$BV$205^A34,IF(A34='Données projet'!$A$114,'Données projet'!$B$114,BY33+BX34-CG33)))</f>
        <v>214.7</v>
      </c>
      <c r="BZ34" s="13">
        <f>BY34*VLOOKUP('Données projet'!$B$12,Paramètres!$A$1:$I$89,3,0)*VLOOKUP('Données projet'!$B$12,Paramètres!$A$1:$I$89,5,0)</f>
        <v>117.22619999999999</v>
      </c>
      <c r="CA34" s="13">
        <f t="shared" si="39"/>
        <v>31.027178087454015</v>
      </c>
      <c r="CB34" s="20">
        <f t="shared" si="10"/>
        <v>258.20796683564902</v>
      </c>
      <c r="CC34" s="59">
        <f t="shared" si="11"/>
        <v>498.2560900484666</v>
      </c>
      <c r="CD34" s="59">
        <f ca="1">AVERAGE(OFFSET($CC$3,0,0,'Données projet'!$E$12+1,1))-AVERAGE(OFFSET($H$3,0,0,'Données projet'!$E$12+1,1))</f>
        <v>382.09004346384319</v>
      </c>
      <c r="CE34" s="59">
        <f t="shared" si="40"/>
        <v>410.18893995284986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8.3507881037879059</v>
      </c>
      <c r="CL34" s="21">
        <f>EXP(-LN(2)/25)*CL33+(1-EXP(-LN(2)/25))/(LN(2)/25)*Calculateur!CG34*Calculateur!CI34*VLOOKUP('Données projet'!$B$12,Paramètres!$A$1:$I$89,3,0)*0.475*44/12</f>
        <v>33.106975948700821</v>
      </c>
      <c r="CM34" s="21">
        <f>EXP(-LN(2)/2)*CM33+(1-EXP(-LN(2)/2))/(LN(2)/2)*CG34*CJ34*VLOOKUP('Données projet'!$B$12,Paramètres!$A$1:$I$89,3,0)*0.475*44/12</f>
        <v>17.806664272551121</v>
      </c>
      <c r="CN34" s="22">
        <f t="shared" si="12"/>
        <v>59.264428325039844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151.50000000000006</v>
      </c>
      <c r="CU34" s="17">
        <f>CT34*VLOOKUP('Données projet'!$B$13,Paramètres!$A$1:$I$89,3,0)*VLOOKUP('Données projet'!$B$13,Paramètres!$A$1:$I$89,5,0)</f>
        <v>132.35040000000006</v>
      </c>
      <c r="CV34" s="13">
        <f t="shared" si="41"/>
        <v>34.538900082505862</v>
      </c>
      <c r="CW34" s="20">
        <f t="shared" si="13"/>
        <v>290.66553097703115</v>
      </c>
      <c r="CX34" s="59">
        <f t="shared" si="14"/>
        <v>530.71365418984874</v>
      </c>
      <c r="CY34" s="59">
        <f ca="1">AVERAGE(OFFSET($CX$3,0,0,'Données projet'!$E$13+1,1))-AVERAGE(OFFSET($H$3,0,0,'Données projet'!$E$13+1,1))</f>
        <v>363.02374534486341</v>
      </c>
      <c r="CZ34" s="59">
        <f t="shared" si="42"/>
        <v>489.00477393029598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7.1653927856538431</v>
      </c>
      <c r="DG34" s="21">
        <f>EXP(-LN(2)/25)*DG33+(1-EXP(-LN(2)/25))/(LN(2)/25)*Calculateur!DB34*Calculateur!DD34*VLOOKUP('Données projet'!$B$13,Paramètres!$A$1:$I$89,3,0)*0.475*44/12</f>
        <v>18.832961907897214</v>
      </c>
      <c r="DH34" s="21">
        <f>EXP(-LN(2)/2)*DH33+(1-EXP(-LN(2)/2))/(LN(2)/2)*DB34*DE34*VLOOKUP('Données projet'!$B$13,Paramètres!$A$1:$I$89,3,0)*0.475*44/12</f>
        <v>20.728792307698374</v>
      </c>
      <c r="DI34" s="22">
        <f t="shared" si="15"/>
        <v>46.727147001249435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>
        <f>DO34*VLOOKUP('Données projet'!$B$14,Paramètres!$A$1:$I$89,3,0)*VLOOKUP('Données projet'!$B$14,Paramètres!$A$1:$I$89,5,0)</f>
        <v>112.98611999999999</v>
      </c>
      <c r="DQ34" s="13">
        <f t="shared" si="43"/>
        <v>30.033437241989123</v>
      </c>
      <c r="DR34" s="20">
        <f t="shared" si="16"/>
        <v>249.0923955297977</v>
      </c>
      <c r="DS34" s="59">
        <f t="shared" si="17"/>
        <v>489.14051874261526</v>
      </c>
      <c r="DT34" s="59">
        <f ca="1">AVERAGE(OFFSET($DS$3,0,0,'Données projet'!$E$14+1,1))-AVERAGE(OFFSET($H$3,0,0,'Données projet'!$E$14+1,1))</f>
        <v>368.03281986807173</v>
      </c>
      <c r="DU34" s="59">
        <f t="shared" si="44"/>
        <v>395.83504504492248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2.3918569668020639</v>
      </c>
      <c r="EB34" s="21">
        <f>EXP(-LN(2)/25)*EB33+(1-EXP(-LN(2)/25))/(LN(2)/25)*Calculateur!DW34*Calculateur!DY34*VLOOKUP('Données projet'!$B$14,Paramètres!$A$1:$I$89,3,0)*0.475*44/12</f>
        <v>14.922720892974548</v>
      </c>
      <c r="EC34" s="21">
        <f>EXP(-LN(2)/2)*EC33+(1-EXP(-LN(2)/2))/(LN(2)/2)*DW34*DZ34*VLOOKUP('Données projet'!$B$14,Paramètres!$A$1:$I$89,3,0)*0.475*44/12</f>
        <v>15.664974789512103</v>
      </c>
      <c r="ED34" s="22">
        <f t="shared" si="18"/>
        <v>32.979552649288713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11.666666666666666</v>
      </c>
      <c r="EJ34" s="12">
        <f>IF('Données projet'!$A$192&gt;35,EJ33+EI34-ER33,IF(A34&lt;'Données projet'!$A$192,$EG$205^A34,IF(A34='Données projet'!$A$192,'Données projet'!$B$192,EJ33+EI34-ER33)))</f>
        <v>157.99999999999997</v>
      </c>
      <c r="EK34" s="17">
        <f>EJ34*VLOOKUP('Données projet'!$B$15,Paramètres!$A$1:$I$89,3,0)*VLOOKUP('Données projet'!$B$15,Paramètres!$A$1:$I$89,5,0)</f>
        <v>94.483999999999995</v>
      </c>
      <c r="EL34" s="13">
        <f t="shared" si="45"/>
        <v>25.643578691511802</v>
      </c>
      <c r="EM34" s="20">
        <f t="shared" si="19"/>
        <v>209.22219955438302</v>
      </c>
      <c r="EN34" s="59">
        <f t="shared" si="20"/>
        <v>449.27032276720058</v>
      </c>
      <c r="EO34" s="59">
        <f ca="1">AVERAGE(OFFSET($EN$3,0,0,'Données projet'!$E$15+1,1))-AVERAGE(OFFSET($H$3,0,0,'Données projet'!$E$15+1,1))</f>
        <v>225.2264820414552</v>
      </c>
      <c r="EP34" s="59">
        <f t="shared" si="46"/>
        <v>249.91838548328681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2.1689168553216813</v>
      </c>
      <c r="EW34" s="21">
        <f>EXP(-LN(2)/25)*EW33+(1-EXP(-LN(2)/25))/(LN(2)/25)*Calculateur!ER34*Calculateur!ET34*VLOOKUP('Données projet'!$B$15,Paramètres!$A$1:$I$89,3,0)*0.475*44/12</f>
        <v>8.4189016609540275</v>
      </c>
      <c r="EX34" s="21">
        <f>EXP(-LN(2)/2)*EX33+(1-EXP(-LN(2)/2))/(LN(2)/2)*ER34*EU34*VLOOKUP('Données projet'!$B$15,Paramètres!$A$1:$I$89,3,0)*0.475*44/12</f>
        <v>2.8606164714531697</v>
      </c>
      <c r="EY34" s="22">
        <f t="shared" si="21"/>
        <v>13.448434987728879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26.8</v>
      </c>
      <c r="FE34" s="12">
        <f>IF('Données projet'!$A$218&gt;35,FE33+FD34-FM33,IF(A34&lt;'Données projet'!$A$218,$FB$205^A34,IF(A34='Données projet'!$A$218,'Données projet'!$B$218,FE33+FD34-FM33)))</f>
        <v>285.8</v>
      </c>
      <c r="FF34" s="17">
        <f>FE34*VLOOKUP('Données projet'!$B$16,Paramètres!$A$1:$I$89,3,0)*VLOOKUP('Données projet'!$B$16,Paramètres!$A$1:$I$89,5,0)</f>
        <v>159.76220000000001</v>
      </c>
      <c r="FG34" s="13">
        <f t="shared" si="47"/>
        <v>40.788874310808829</v>
      </c>
      <c r="FH34" s="20">
        <f t="shared" si="22"/>
        <v>349.29312109132542</v>
      </c>
      <c r="FI34" s="59">
        <f t="shared" si="23"/>
        <v>589.34124430414295</v>
      </c>
      <c r="FJ34" s="59">
        <f ca="1">AVERAGE(OFFSET($FI$3,0,0,'Données projet'!$E$16+1,1))-AVERAGE(OFFSET($H$3,0,0,'Données projet'!$E$16+1,1))</f>
        <v>549.85684198202534</v>
      </c>
      <c r="FK34" s="59">
        <f t="shared" si="48"/>
        <v>539.63748606275431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11.195926227584131</v>
      </c>
      <c r="FR34" s="21">
        <f>EXP(-LN(2)/25)*FR33+(1-EXP(-LN(2)/25))/(LN(2)/25)*Calculateur!FM34*Calculateur!FO34*VLOOKUP('Données projet'!$B$16,Paramètres!$A$1:$I$89,3,0)*0.475*44/12</f>
        <v>37.699531997489537</v>
      </c>
      <c r="FS34" s="21">
        <f>EXP(-LN(2)/2)*FS33+(1-EXP(-LN(2)/2))/(LN(2)/2)*FM34*FP34*VLOOKUP('Données projet'!$B$16,Paramètres!$A$1:$I$89,3,0)*0.475*44/12</f>
        <v>25.789521699843629</v>
      </c>
      <c r="FT34" s="22">
        <f t="shared" si="24"/>
        <v>74.6849799249173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21.4</v>
      </c>
      <c r="FZ34" s="12">
        <f>IF('Données projet'!$A$244&gt;35,FZ33+FY34-GH33,IF(A34&lt;'Données projet'!$A$244,$FW$205^A34,IF(A34='Données projet'!$A$244,'Données projet'!$B$244,FZ33+FY34-GH33)))</f>
        <v>242.39999999999992</v>
      </c>
      <c r="GA34" s="17">
        <f>FZ34*VLOOKUP('Données projet'!$B$17,Paramètres!$A$1:$I$89,3,0)*VLOOKUP('Données projet'!$B$17,Paramètres!$A$1:$I$89,5,0)</f>
        <v>144.95519999999996</v>
      </c>
      <c r="GB34" s="13">
        <f t="shared" si="49"/>
        <v>37.429864083407708</v>
      </c>
      <c r="GC34" s="20">
        <f t="shared" si="25"/>
        <v>317.65398661193501</v>
      </c>
      <c r="GD34" s="59">
        <f t="shared" si="26"/>
        <v>557.7021098247526</v>
      </c>
      <c r="GE34" s="59">
        <f ca="1">AVERAGE(OFFSET($GD$3,0,0,'Données projet'!$E$17+1,1))-AVERAGE(OFFSET($H$3,0,0,'Données projet'!$E$17+1,1))</f>
        <v>495.6641415122013</v>
      </c>
      <c r="GF34" s="59">
        <f t="shared" si="50"/>
        <v>488.90534169400757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3.9197576813698349</v>
      </c>
      <c r="GM34" s="21">
        <f>EXP(-LN(2)/25)*GM33+(1-EXP(-LN(2)/25))/(LN(2)/25)*Calculateur!GH34*Calculateur!GJ34*VLOOKUP('Données projet'!$B$17,Paramètres!$A$1:$I$89,3,0)*0.475*44/12</f>
        <v>25.293982089902521</v>
      </c>
      <c r="GN34" s="21">
        <f>EXP(-LN(2)/2)*GN33+(1-EXP(-LN(2)/2))/(LN(2)/2)*GH34*GK34*VLOOKUP('Données projet'!$B$17,Paramètres!$A$1:$I$89,3,0)*0.475*44/12</f>
        <v>24.57856035200453</v>
      </c>
      <c r="GO34" s="21">
        <f t="shared" si="27"/>
        <v>53.792300123276888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21.4</v>
      </c>
      <c r="GU34" s="12">
        <f>IF('Données projet'!$A$270&gt;35,GU33+GT34-HC33,IF(A34&lt;'Données projet'!$A$270,$GR$205^A34,IF(A34='Données projet'!$A$270,'Données projet'!$B$270,GU33+GT34-HC33)))</f>
        <v>242.39999999999992</v>
      </c>
      <c r="GV34" s="17">
        <f>GU34*VLOOKUP('Données projet'!$B$18,Paramètres!$A$1:$I$89,3,0)*VLOOKUP('Données projet'!$B$18,Paramètres!$A$1:$I$89,5,0)</f>
        <v>144.95519999999996</v>
      </c>
      <c r="GW34" s="13">
        <f t="shared" si="51"/>
        <v>37.429864083407708</v>
      </c>
      <c r="GX34" s="20">
        <f t="shared" si="28"/>
        <v>317.65398661193501</v>
      </c>
      <c r="GY34" s="59">
        <f t="shared" si="29"/>
        <v>557.7021098247526</v>
      </c>
      <c r="GZ34" s="59">
        <f ca="1">AVERAGE(OFFSET($GY$3,0,0,'Données projet'!$E$18+1,1))-AVERAGE(OFFSET($H$3,0,0,'Données projet'!$E$18+1,1))</f>
        <v>-18.333333333333343</v>
      </c>
      <c r="HA34" s="59">
        <f t="shared" si="52"/>
        <v>-18.333333333333343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3.9197576813698349</v>
      </c>
      <c r="HH34" s="21">
        <f>EXP(-LN(2)/25)*HH33+(1-EXP(-LN(2)/25))/(LN(2)/25)*Calculateur!HC34*Calculateur!HE34*VLOOKUP('Données projet'!$B$18,Paramètres!$A$1:$I$89,3,0)*0.475*44/12</f>
        <v>25.293982089902521</v>
      </c>
      <c r="HI34" s="21">
        <f>EXP(-LN(2)/2)*HI33+(1-EXP(-LN(2)/2))/(LN(2)/2)*HC34*HF34*VLOOKUP('Données projet'!$B$18,Paramètres!$A$1:$I$89,3,0)*0.475*44/12</f>
        <v>24.57856035200453</v>
      </c>
      <c r="HJ34" s="22">
        <f t="shared" si="30"/>
        <v>53.792300123276888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10.000000000000004</v>
      </c>
      <c r="N35" s="13">
        <f>IF('Données projet'!$A$36&gt;35,N34+M35-V34,IF(A35&lt;'Données projet'!$A$36,$K$205^A35,IF(A35='Données projet'!$A$36,'Données projet'!$B$36,N34+M35-V34)))</f>
        <v>211.59999999999988</v>
      </c>
      <c r="O35" s="13">
        <f>N35*VLOOKUP('Données projet'!$B$9,Paramètres!$A$1:$I$89,3,0)*VLOOKUP('Données projet'!$B$9,Paramètres!$A$1:$I$89,5,0)</f>
        <v>99.028799999999947</v>
      </c>
      <c r="P35" s="13">
        <f t="shared" si="33"/>
        <v>26.730491283721712</v>
      </c>
      <c r="Q35" s="20">
        <f t="shared" ref="Q35:Q66" si="53">(O35+P35)*0.475*44/12</f>
        <v>219.0307656524819</v>
      </c>
      <c r="R35" s="59">
        <f t="shared" si="0"/>
        <v>460.00326813300723</v>
      </c>
      <c r="S35" s="59">
        <f ca="1">AVERAGE(OFFSET($R$3,0,0,'Données projet'!$E$9+1,1))-AVERAGE(OFFSET($H$3,0,0,'Données projet'!$E$9+1,1))</f>
        <v>376.11581547534814</v>
      </c>
      <c r="T35" s="59">
        <f t="shared" si="34"/>
        <v>300.91675649863294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3.0128524701630561</v>
      </c>
      <c r="AA35" s="21">
        <f>EXP(-LN(2)/25)*AA34+(1-EXP(-LN(2)/25))/(LN(2)/25)*Calculateur!V35*Calculateur!X35*VLOOKUP('Données projet'!$B$9,Paramètres!$A$1:$I$89,3,0)*0.475*44/12</f>
        <v>7.4317221206756363</v>
      </c>
      <c r="AB35" s="21">
        <f>EXP(-LN(2)/2)*AB34+(1-EXP(-LN(2)/2))/(LN(2)/2)*V35*Y35*VLOOKUP('Données projet'!$B$9,Paramètres!$A$1:$I$89,3,0)*0.475*44/12</f>
        <v>4.9160882401479942</v>
      </c>
      <c r="AC35" s="22">
        <f t="shared" si="3"/>
        <v>15.360662830986687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104.05199999999999</v>
      </c>
      <c r="AK35" s="13">
        <f t="shared" si="35"/>
        <v>27.925087771564417</v>
      </c>
      <c r="AL35" s="20">
        <f t="shared" si="4"/>
        <v>229.86009453547467</v>
      </c>
      <c r="AM35" s="59">
        <f t="shared" si="5"/>
        <v>470.83259701600002</v>
      </c>
      <c r="AN35" s="59">
        <f ca="1">AVERAGE(OFFSET($AM$3,0,0,'Données projet'!$E$10+1,1))-AVERAGE(OFFSET($H$3,0,0,'Données projet'!$E$10+1,1))</f>
        <v>505.38595282220405</v>
      </c>
      <c r="AO35" s="59">
        <f t="shared" si="36"/>
        <v>351.72130415456365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2.3150185261814937</v>
      </c>
      <c r="AV35" s="21">
        <f>EXP(-LN(2)/25)*AV34+(1-EXP(-LN(2)/25))/(LN(2)/25)*Calculateur!AQ35*Calculateur!AS35*VLOOKUP('Données projet'!$B$10,Paramètres!$A$1:$I$89,3,0)*0.475*44/12</f>
        <v>10.674196624418505</v>
      </c>
      <c r="AW35" s="21">
        <f>EXP(-LN(2)/2)*AW34+(1-EXP(-LN(2)/2))/(LN(2)/2)*AQ35*AT35*VLOOKUP('Données projet'!$B$10,Paramètres!$A$1:$I$89,3,0)*0.475*44/12</f>
        <v>10.776668387053288</v>
      </c>
      <c r="AX35" s="21">
        <f t="shared" si="6"/>
        <v>23.765883537653288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132.22872000000001</v>
      </c>
      <c r="BF35" s="13">
        <f t="shared" si="37"/>
        <v>34.510840487492601</v>
      </c>
      <c r="BG35" s="20">
        <f t="shared" si="7"/>
        <v>290.40473451571626</v>
      </c>
      <c r="BH35" s="59">
        <f t="shared" si="8"/>
        <v>531.37723699624155</v>
      </c>
      <c r="BI35" s="59">
        <f ca="1">AVERAGE(OFFSET($BH$3,0,0,'Données projet'!$E$11+1,1))-AVERAGE(OFFSET($H$3,0,0,'Données projet'!$E$11+1,1))</f>
        <v>394.14657090341535</v>
      </c>
      <c r="BJ35" s="59">
        <f t="shared" si="38"/>
        <v>424.06445894109982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3.1362745971674917</v>
      </c>
      <c r="BQ35" s="21">
        <f>EXP(-LN(2)/25)*BQ34+(1-EXP(-LN(2)/25))/(LN(2)/25)*Calculateur!BL35*Calculateur!BN35*VLOOKUP('Données projet'!$B$11,Paramètres!$A$1:$I$89,3,0)*0.475*44/12</f>
        <v>19.412727065565573</v>
      </c>
      <c r="BR35" s="21">
        <f>EXP(-LN(2)/2)*BR34+(1-EXP(-LN(2)/2))/(LN(2)/2)*BL35*BO35*VLOOKUP('Données projet'!$B$11,Paramètres!$A$1:$I$89,3,0)*0.475*44/12</f>
        <v>12.019517126378643</v>
      </c>
      <c r="BS35" s="22">
        <f t="shared" si="9"/>
        <v>34.568518789111707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15.7</v>
      </c>
      <c r="BY35" s="12">
        <f>IF('Données projet'!$A$114&gt;35,BY34+BX35-CG34,IF(A35&lt;'Données projet'!$A$114,$BV$205^A35,IF(A35='Données projet'!$A$114,'Données projet'!$B$114,BY34+BX35-CG34)))</f>
        <v>230.39999999999998</v>
      </c>
      <c r="BZ35" s="13">
        <f>BY35*VLOOKUP('Données projet'!$B$12,Paramètres!$A$1:$I$89,3,0)*VLOOKUP('Données projet'!$B$12,Paramètres!$A$1:$I$89,5,0)</f>
        <v>125.79839999999999</v>
      </c>
      <c r="CA35" s="13">
        <f t="shared" si="39"/>
        <v>33.023644363399924</v>
      </c>
      <c r="CB35" s="20">
        <f t="shared" si="10"/>
        <v>276.61506059958816</v>
      </c>
      <c r="CC35" s="59">
        <f t="shared" si="11"/>
        <v>517.58756308011345</v>
      </c>
      <c r="CD35" s="59">
        <f ca="1">AVERAGE(OFFSET($CC$3,0,0,'Données projet'!$E$12+1,1))-AVERAGE(OFFSET($H$3,0,0,'Données projet'!$E$12+1,1))</f>
        <v>382.09004346384319</v>
      </c>
      <c r="CE35" s="59">
        <f t="shared" si="40"/>
        <v>410.18893995284986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8.1870342425504301</v>
      </c>
      <c r="CL35" s="21">
        <f>EXP(-LN(2)/25)*CL34+(1-EXP(-LN(2)/25))/(LN(2)/25)*Calculateur!CG35*Calculateur!CI35*VLOOKUP('Données projet'!$B$12,Paramètres!$A$1:$I$89,3,0)*0.475*44/12</f>
        <v>32.201663950363397</v>
      </c>
      <c r="CM35" s="21">
        <f>EXP(-LN(2)/2)*CM34+(1-EXP(-LN(2)/2))/(LN(2)/2)*CG35*CJ35*VLOOKUP('Données projet'!$B$12,Paramètres!$A$1:$I$89,3,0)*0.475*44/12</f>
        <v>12.591213057433119</v>
      </c>
      <c r="CN35" s="22">
        <f t="shared" si="12"/>
        <v>52.979911250346944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11.5</v>
      </c>
      <c r="CT35" s="12">
        <f>IF('Données projet'!$A$140&gt;35,CT34+CS35-DB34,IF(A35&lt;'Données projet'!$A$140,$CQ$205^A35,IF(A35='Données projet'!$A$140,'Données projet'!$B$140,CT34+CS35-DB34)))</f>
        <v>163.00000000000006</v>
      </c>
      <c r="CU35" s="17">
        <f>CT35*VLOOKUP('Données projet'!$B$13,Paramètres!$A$1:$I$89,3,0)*VLOOKUP('Données projet'!$B$13,Paramètres!$A$1:$I$89,5,0)</f>
        <v>142.39680000000007</v>
      </c>
      <c r="CV35" s="13">
        <f t="shared" si="41"/>
        <v>36.845535084476985</v>
      </c>
      <c r="CW35" s="20">
        <f t="shared" si="13"/>
        <v>312.18040027213084</v>
      </c>
      <c r="CX35" s="59">
        <f t="shared" si="14"/>
        <v>553.15290275265613</v>
      </c>
      <c r="CY35" s="59">
        <f ca="1">AVERAGE(OFFSET($CX$3,0,0,'Données projet'!$E$13+1,1))-AVERAGE(OFFSET($H$3,0,0,'Données projet'!$E$13+1,1))</f>
        <v>363.02374534486341</v>
      </c>
      <c r="CZ35" s="59">
        <f t="shared" si="42"/>
        <v>489.00477393029598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7.0248838035852232</v>
      </c>
      <c r="DG35" s="21">
        <f>EXP(-LN(2)/25)*DG34+(1-EXP(-LN(2)/25))/(LN(2)/25)*Calculateur!DB35*Calculateur!DD35*VLOOKUP('Données projet'!$B$13,Paramètres!$A$1:$I$89,3,0)*0.475*44/12</f>
        <v>18.317973574143341</v>
      </c>
      <c r="DH35" s="21">
        <f>EXP(-LN(2)/2)*DH34+(1-EXP(-LN(2)/2))/(LN(2)/2)*DB35*DE35*VLOOKUP('Données projet'!$B$13,Paramètres!$A$1:$I$89,3,0)*0.475*44/12</f>
        <v>14.657469606581065</v>
      </c>
      <c r="DI35" s="22">
        <f t="shared" si="15"/>
        <v>40.000326984309631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>
        <f>DO35*VLOOKUP('Données projet'!$B$14,Paramètres!$A$1:$I$89,3,0)*VLOOKUP('Données projet'!$B$14,Paramètres!$A$1:$I$89,5,0)</f>
        <v>121.85783999999998</v>
      </c>
      <c r="DQ35" s="13">
        <f t="shared" si="43"/>
        <v>32.107921760499821</v>
      </c>
      <c r="DR35" s="20">
        <f t="shared" si="16"/>
        <v>268.15703506620378</v>
      </c>
      <c r="DS35" s="59">
        <f t="shared" si="17"/>
        <v>509.12953754672913</v>
      </c>
      <c r="DT35" s="59">
        <f ca="1">AVERAGE(OFFSET($DS$3,0,0,'Données projet'!$E$14+1,1))-AVERAGE(OFFSET($H$3,0,0,'Données projet'!$E$14+1,1))</f>
        <v>368.03281986807173</v>
      </c>
      <c r="DU35" s="59">
        <f t="shared" si="44"/>
        <v>395.83504504492248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2.3449541105717717</v>
      </c>
      <c r="EB35" s="21">
        <f>EXP(-LN(2)/25)*EB34+(1-EXP(-LN(2)/25))/(LN(2)/25)*Calculateur!DW35*Calculateur!DY35*VLOOKUP('Données projet'!$B$14,Paramètres!$A$1:$I$89,3,0)*0.475*44/12</f>
        <v>14.514658305404373</v>
      </c>
      <c r="EC35" s="21">
        <f>EXP(-LN(2)/2)*EC34+(1-EXP(-LN(2)/2))/(LN(2)/2)*DW35*DZ35*VLOOKUP('Données projet'!$B$14,Paramètres!$A$1:$I$89,3,0)*0.475*44/12</f>
        <v>11.076809900780319</v>
      </c>
      <c r="ED35" s="22">
        <f t="shared" si="18"/>
        <v>27.936422316756463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11.666666666666666</v>
      </c>
      <c r="EJ35" s="12">
        <f>IF('Données projet'!$A$192&gt;35,EJ34+EI35-ER34,IF(A35&lt;'Données projet'!$A$192,$EG$205^A35,IF(A35='Données projet'!$A$192,'Données projet'!$B$192,EJ34+EI35-ER34)))</f>
        <v>169.66666666666663</v>
      </c>
      <c r="EK35" s="17">
        <f>EJ35*VLOOKUP('Données projet'!$B$15,Paramètres!$A$1:$I$89,3,0)*VLOOKUP('Données projet'!$B$15,Paramètres!$A$1:$I$89,5,0)</f>
        <v>101.46066666666665</v>
      </c>
      <c r="EL35" s="13">
        <f t="shared" si="45"/>
        <v>27.309687011536219</v>
      </c>
      <c r="EM35" s="20">
        <f t="shared" si="19"/>
        <v>224.27503265620331</v>
      </c>
      <c r="EN35" s="59">
        <f t="shared" si="20"/>
        <v>465.24753513672863</v>
      </c>
      <c r="EO35" s="59">
        <f ca="1">AVERAGE(OFFSET($EN$3,0,0,'Données projet'!$E$15+1,1))-AVERAGE(OFFSET($H$3,0,0,'Données projet'!$E$15+1,1))</f>
        <v>225.2264820414552</v>
      </c>
      <c r="EP35" s="59">
        <f t="shared" si="46"/>
        <v>249.91838548328681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2.1263857186974784</v>
      </c>
      <c r="EW35" s="21">
        <f>EXP(-LN(2)/25)*EW34+(1-EXP(-LN(2)/25))/(LN(2)/25)*Calculateur!ER35*Calculateur!ET35*VLOOKUP('Données projet'!$B$15,Paramètres!$A$1:$I$89,3,0)*0.475*44/12</f>
        <v>8.1886863523044422</v>
      </c>
      <c r="EX35" s="21">
        <f>EXP(-LN(2)/2)*EX34+(1-EXP(-LN(2)/2))/(LN(2)/2)*ER35*EU35*VLOOKUP('Données projet'!$B$15,Paramètres!$A$1:$I$89,3,0)*0.475*44/12</f>
        <v>2.0227613053384701</v>
      </c>
      <c r="EY35" s="22">
        <f t="shared" si="21"/>
        <v>12.337833376340392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26.8</v>
      </c>
      <c r="FE35" s="12">
        <f>IF('Données projet'!$A$218&gt;35,FE34+FD35-FM34,IF(A35&lt;'Données projet'!$A$218,$FB$205^A35,IF(A35='Données projet'!$A$218,'Données projet'!$B$218,FE34+FD35-FM34)))</f>
        <v>312.60000000000002</v>
      </c>
      <c r="FF35" s="17">
        <f>FE35*VLOOKUP('Données projet'!$B$16,Paramètres!$A$1:$I$89,3,0)*VLOOKUP('Données projet'!$B$16,Paramètres!$A$1:$I$89,5,0)</f>
        <v>174.74340000000001</v>
      </c>
      <c r="FG35" s="13">
        <f t="shared" si="47"/>
        <v>44.150679855848523</v>
      </c>
      <c r="FH35" s="20">
        <f t="shared" si="22"/>
        <v>381.24052241560281</v>
      </c>
      <c r="FI35" s="59">
        <f t="shared" si="23"/>
        <v>622.2130248961281</v>
      </c>
      <c r="FJ35" s="59">
        <f ca="1">AVERAGE(OFFSET($FI$3,0,0,'Données projet'!$E$16+1,1))-AVERAGE(OFFSET($H$3,0,0,'Données projet'!$E$16+1,1))</f>
        <v>549.85684198202534</v>
      </c>
      <c r="FK35" s="59">
        <f t="shared" si="48"/>
        <v>539.63748606275431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10.976380943101914</v>
      </c>
      <c r="FR35" s="21">
        <f>EXP(-LN(2)/25)*FR34+(1-EXP(-LN(2)/25))/(LN(2)/25)*Calculateur!FM35*Calculateur!FO35*VLOOKUP('Données projet'!$B$16,Paramètres!$A$1:$I$89,3,0)*0.475*44/12</f>
        <v>36.668636312485958</v>
      </c>
      <c r="FS35" s="21">
        <f>EXP(-LN(2)/2)*FS34+(1-EXP(-LN(2)/2))/(LN(2)/2)*FM35*FP35*VLOOKUP('Données projet'!$B$16,Paramètres!$A$1:$I$89,3,0)*0.475*44/12</f>
        <v>18.235945677517048</v>
      </c>
      <c r="FT35" s="22">
        <f t="shared" si="24"/>
        <v>65.880962933104925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21.4</v>
      </c>
      <c r="FZ35" s="12">
        <f>IF('Données projet'!$A$244&gt;35,FZ34+FY35-GH34,IF(A35&lt;'Données projet'!$A$244,$FW$205^A35,IF(A35='Données projet'!$A$244,'Données projet'!$B$244,FZ34+FY35-GH34)))</f>
        <v>263.7999999999999</v>
      </c>
      <c r="GA35" s="17">
        <f>FZ35*VLOOKUP('Données projet'!$B$17,Paramètres!$A$1:$I$89,3,0)*VLOOKUP('Données projet'!$B$17,Paramètres!$A$1:$I$89,5,0)</f>
        <v>157.75239999999994</v>
      </c>
      <c r="GB35" s="13">
        <f t="shared" si="49"/>
        <v>40.335146303678705</v>
      </c>
      <c r="GC35" s="20">
        <f t="shared" si="25"/>
        <v>345.00247647890689</v>
      </c>
      <c r="GD35" s="59">
        <f t="shared" si="26"/>
        <v>585.97497895943218</v>
      </c>
      <c r="GE35" s="59">
        <f ca="1">AVERAGE(OFFSET($GD$3,0,0,'Données projet'!$E$17+1,1))-AVERAGE(OFFSET($H$3,0,0,'Données projet'!$E$17+1,1))</f>
        <v>495.6641415122013</v>
      </c>
      <c r="GF35" s="59">
        <f t="shared" si="50"/>
        <v>488.90534169400757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3.8428936240542848</v>
      </c>
      <c r="GM35" s="21">
        <f>EXP(-LN(2)/25)*GM34+(1-EXP(-LN(2)/25))/(LN(2)/25)*Calculateur!GH35*Calculateur!GJ35*VLOOKUP('Données projet'!$B$17,Paramètres!$A$1:$I$89,3,0)*0.475*44/12</f>
        <v>24.602316819501429</v>
      </c>
      <c r="GN35" s="21">
        <f>EXP(-LN(2)/2)*GN34+(1-EXP(-LN(2)/2))/(LN(2)/2)*GH35*GK35*VLOOKUP('Données projet'!$B$17,Paramètres!$A$1:$I$89,3,0)*0.475*44/12</f>
        <v>17.379666696705222</v>
      </c>
      <c r="GO35" s="21">
        <f t="shared" si="27"/>
        <v>45.824877140260938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21.4</v>
      </c>
      <c r="GU35" s="12">
        <f>IF('Données projet'!$A$270&gt;35,GU34+GT35-HC34,IF(A35&lt;'Données projet'!$A$270,$GR$205^A35,IF(A35='Données projet'!$A$270,'Données projet'!$B$270,GU34+GT35-HC34)))</f>
        <v>263.7999999999999</v>
      </c>
      <c r="GV35" s="17">
        <f>GU35*VLOOKUP('Données projet'!$B$18,Paramètres!$A$1:$I$89,3,0)*VLOOKUP('Données projet'!$B$18,Paramètres!$A$1:$I$89,5,0)</f>
        <v>157.75239999999994</v>
      </c>
      <c r="GW35" s="13">
        <f t="shared" si="51"/>
        <v>40.335146303678705</v>
      </c>
      <c r="GX35" s="20">
        <f t="shared" si="28"/>
        <v>345.00247647890689</v>
      </c>
      <c r="GY35" s="59">
        <f t="shared" si="29"/>
        <v>585.97497895943218</v>
      </c>
      <c r="GZ35" s="59">
        <f ca="1">AVERAGE(OFFSET($GY$3,0,0,'Données projet'!$E$18+1,1))-AVERAGE(OFFSET($H$3,0,0,'Données projet'!$E$18+1,1))</f>
        <v>-18.333333333333343</v>
      </c>
      <c r="HA35" s="59">
        <f t="shared" si="52"/>
        <v>-18.333333333333343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3.8428936240542848</v>
      </c>
      <c r="HH35" s="21">
        <f>EXP(-LN(2)/25)*HH34+(1-EXP(-LN(2)/25))/(LN(2)/25)*Calculateur!HC35*Calculateur!HE35*VLOOKUP('Données projet'!$B$18,Paramètres!$A$1:$I$89,3,0)*0.475*44/12</f>
        <v>24.602316819501429</v>
      </c>
      <c r="HI35" s="21">
        <f>EXP(-LN(2)/2)*HI34+(1-EXP(-LN(2)/2))/(LN(2)/2)*HC35*HF35*VLOOKUP('Données projet'!$B$18,Paramètres!$A$1:$I$89,3,0)*0.475*44/12</f>
        <v>17.379666696705222</v>
      </c>
      <c r="HJ35" s="22">
        <f t="shared" si="30"/>
        <v>45.824877140260938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10.000000000000004</v>
      </c>
      <c r="N36" s="13">
        <f>IF('Données projet'!$A$36&gt;35,N35+M36-V35,IF(A36&lt;'Données projet'!$A$36,$K$205^A36,IF(A36='Données projet'!$A$36,'Données projet'!$B$36,N35+M36-V35)))</f>
        <v>221.59999999999988</v>
      </c>
      <c r="O36" s="13">
        <f>N36*VLOOKUP('Données projet'!$B$9,Paramètres!$A$1:$I$89,3,0)*VLOOKUP('Données projet'!$B$9,Paramètres!$A$1:$I$89,5,0)</f>
        <v>103.70879999999994</v>
      </c>
      <c r="P36" s="13">
        <f t="shared" si="33"/>
        <v>27.84368661708951</v>
      </c>
      <c r="Q36" s="20">
        <f t="shared" si="53"/>
        <v>229.12058085809744</v>
      </c>
      <c r="R36" s="59">
        <f t="shared" si="0"/>
        <v>471.00142669263818</v>
      </c>
      <c r="S36" s="59">
        <f ca="1">AVERAGE(OFFSET($R$3,0,0,'Données projet'!$E$9+1,1))-AVERAGE(OFFSET($H$3,0,0,'Données projet'!$E$9+1,1))</f>
        <v>376.11581547534814</v>
      </c>
      <c r="T36" s="59">
        <f t="shared" si="34"/>
        <v>300.91675649863294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2.9537722708817116</v>
      </c>
      <c r="AA36" s="21">
        <f>EXP(-LN(2)/25)*AA35+(1-EXP(-LN(2)/25))/(LN(2)/25)*Calculateur!V36*Calculateur!X36*VLOOKUP('Données projet'!$B$9,Paramètres!$A$1:$I$89,3,0)*0.475*44/12</f>
        <v>7.2285012884684798</v>
      </c>
      <c r="AB36" s="21">
        <f>EXP(-LN(2)/2)*AB35+(1-EXP(-LN(2)/2))/(LN(2)/2)*V36*Y36*VLOOKUP('Données projet'!$B$9,Paramètres!$A$1:$I$89,3,0)*0.475*44/12</f>
        <v>3.4761993315200876</v>
      </c>
      <c r="AC36" s="22">
        <f t="shared" si="3"/>
        <v>13.658472890870279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114.0048</v>
      </c>
      <c r="AK36" s="13">
        <f t="shared" si="35"/>
        <v>30.272573949217303</v>
      </c>
      <c r="AL36" s="20">
        <f t="shared" si="4"/>
        <v>251.28309296155342</v>
      </c>
      <c r="AM36" s="59">
        <f t="shared" si="5"/>
        <v>493.16393879609416</v>
      </c>
      <c r="AN36" s="59">
        <f ca="1">AVERAGE(OFFSET($AM$3,0,0,'Données projet'!$E$10+1,1))-AVERAGE(OFFSET($H$3,0,0,'Données projet'!$E$10+1,1))</f>
        <v>505.38595282220405</v>
      </c>
      <c r="AO36" s="59">
        <f t="shared" si="36"/>
        <v>351.72130415456365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2.2696224249049499</v>
      </c>
      <c r="AV36" s="21">
        <f>EXP(-LN(2)/25)*AV35+(1-EXP(-LN(2)/25))/(LN(2)/25)*Calculateur!AQ36*Calculateur!AS36*VLOOKUP('Données projet'!$B$10,Paramètres!$A$1:$I$89,3,0)*0.475*44/12</f>
        <v>10.382310156392176</v>
      </c>
      <c r="AW36" s="21">
        <f>EXP(-LN(2)/2)*AW35+(1-EXP(-LN(2)/2))/(LN(2)/2)*AQ36*AT36*VLOOKUP('Données projet'!$B$10,Paramètres!$A$1:$I$89,3,0)*0.475*44/12</f>
        <v>7.6202552950840738</v>
      </c>
      <c r="AX36" s="21">
        <f t="shared" si="6"/>
        <v>20.272187876381199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141.85548</v>
      </c>
      <c r="BF36" s="13">
        <f t="shared" si="37"/>
        <v>36.721743640099248</v>
      </c>
      <c r="BG36" s="20">
        <f t="shared" si="7"/>
        <v>311.02199783983951</v>
      </c>
      <c r="BH36" s="59">
        <f t="shared" si="8"/>
        <v>552.90284367438028</v>
      </c>
      <c r="BI36" s="59">
        <f ca="1">AVERAGE(OFFSET($BH$3,0,0,'Données projet'!$E$11+1,1))-AVERAGE(OFFSET($H$3,0,0,'Données projet'!$E$11+1,1))</f>
        <v>394.14657090341535</v>
      </c>
      <c r="BJ36" s="59">
        <f t="shared" si="38"/>
        <v>424.06445894109982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3.0747741652556546</v>
      </c>
      <c r="BQ36" s="21">
        <f>EXP(-LN(2)/25)*BQ35+(1-EXP(-LN(2)/25))/(LN(2)/25)*Calculateur!BL36*Calculateur!BN36*VLOOKUP('Données projet'!$B$11,Paramètres!$A$1:$I$89,3,0)*0.475*44/12</f>
        <v>18.881885023086735</v>
      </c>
      <c r="BR36" s="21">
        <f>EXP(-LN(2)/2)*BR35+(1-EXP(-LN(2)/2))/(LN(2)/2)*BL36*BO36*VLOOKUP('Données projet'!$B$11,Paramètres!$A$1:$I$89,3,0)*0.475*44/12</f>
        <v>8.4990820666501836</v>
      </c>
      <c r="BS36" s="22">
        <f t="shared" si="9"/>
        <v>30.455741254992574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15.7</v>
      </c>
      <c r="BY36" s="12">
        <f>IF('Données projet'!$A$114&gt;35,BY35+BX36-CG35,IF(A36&lt;'Données projet'!$A$114,$BV$205^A36,IF(A36='Données projet'!$A$114,'Données projet'!$B$114,BY35+BX36-CG35)))</f>
        <v>246.09999999999997</v>
      </c>
      <c r="BZ36" s="13">
        <f>BY36*VLOOKUP('Données projet'!$B$12,Paramètres!$A$1:$I$89,3,0)*VLOOKUP('Données projet'!$B$12,Paramètres!$A$1:$I$89,5,0)</f>
        <v>134.37059999999997</v>
      </c>
      <c r="CA36" s="13">
        <f t="shared" si="39"/>
        <v>35.004324871601163</v>
      </c>
      <c r="CB36" s="20">
        <f t="shared" si="10"/>
        <v>294.99466081803865</v>
      </c>
      <c r="CC36" s="59">
        <f t="shared" si="11"/>
        <v>536.87550665257936</v>
      </c>
      <c r="CD36" s="59">
        <f ca="1">AVERAGE(OFFSET($CC$3,0,0,'Données projet'!$E$12+1,1))-AVERAGE(OFFSET($H$3,0,0,'Données projet'!$E$12+1,1))</f>
        <v>382.09004346384319</v>
      </c>
      <c r="CE36" s="59">
        <f t="shared" si="40"/>
        <v>410.18893995284986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8.0264914946518271</v>
      </c>
      <c r="CL36" s="21">
        <f>EXP(-LN(2)/25)*CL35+(1-EXP(-LN(2)/25))/(LN(2)/25)*Calculateur!CG36*Calculateur!CI36*VLOOKUP('Données projet'!$B$12,Paramètres!$A$1:$I$89,3,0)*0.475*44/12</f>
        <v>31.321107756228802</v>
      </c>
      <c r="CM36" s="21">
        <f>EXP(-LN(2)/2)*CM35+(1-EXP(-LN(2)/2))/(LN(2)/2)*CG36*CJ36*VLOOKUP('Données projet'!$B$12,Paramètres!$A$1:$I$89,3,0)*0.475*44/12</f>
        <v>8.9033321362755622</v>
      </c>
      <c r="CN36" s="22">
        <f t="shared" si="12"/>
        <v>48.250931387156186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11.5</v>
      </c>
      <c r="CT36" s="12">
        <f>IF('Données projet'!$A$140&gt;35,CT35+CS36-DB35,IF(A36&lt;'Données projet'!$A$140,$CQ$205^A36,IF(A36='Données projet'!$A$140,'Données projet'!$B$140,CT35+CS36-DB35)))</f>
        <v>174.50000000000006</v>
      </c>
      <c r="CU36" s="17">
        <f>CT36*VLOOKUP('Données projet'!$B$13,Paramètres!$A$1:$I$89,3,0)*VLOOKUP('Données projet'!$B$13,Paramètres!$A$1:$I$89,5,0)</f>
        <v>152.44320000000008</v>
      </c>
      <c r="CV36" s="13">
        <f t="shared" si="41"/>
        <v>39.133288418096313</v>
      </c>
      <c r="CW36" s="20">
        <f t="shared" si="13"/>
        <v>333.66238399485127</v>
      </c>
      <c r="CX36" s="59">
        <f t="shared" si="14"/>
        <v>575.54322982939198</v>
      </c>
      <c r="CY36" s="59">
        <f ca="1">AVERAGE(OFFSET($CX$3,0,0,'Données projet'!$E$13+1,1))-AVERAGE(OFFSET($H$3,0,0,'Données projet'!$E$13+1,1))</f>
        <v>363.02374534486341</v>
      </c>
      <c r="CZ36" s="59">
        <f t="shared" si="42"/>
        <v>489.00477393029598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6.8871301169529531</v>
      </c>
      <c r="DG36" s="21">
        <f>EXP(-LN(2)/25)*DG35+(1-EXP(-LN(2)/25))/(LN(2)/25)*Calculateur!DB36*Calculateur!DD36*VLOOKUP('Données projet'!$B$13,Paramètres!$A$1:$I$89,3,0)*0.475*44/12</f>
        <v>17.817067623458026</v>
      </c>
      <c r="DH36" s="21">
        <f>EXP(-LN(2)/2)*DH35+(1-EXP(-LN(2)/2))/(LN(2)/2)*DB36*DE36*VLOOKUP('Données projet'!$B$13,Paramètres!$A$1:$I$89,3,0)*0.475*44/12</f>
        <v>10.364396153849189</v>
      </c>
      <c r="DI36" s="22">
        <f t="shared" si="15"/>
        <v>35.068593894260168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>
        <f>DO36*VLOOKUP('Données projet'!$B$14,Paramètres!$A$1:$I$89,3,0)*VLOOKUP('Données projet'!$B$14,Paramètres!$A$1:$I$89,5,0)</f>
        <v>130.72955999999999</v>
      </c>
      <c r="DQ36" s="13">
        <f t="shared" si="43"/>
        <v>34.164884281295677</v>
      </c>
      <c r="DR36" s="20">
        <f t="shared" si="16"/>
        <v>287.19115712325663</v>
      </c>
      <c r="DS36" s="59">
        <f t="shared" si="17"/>
        <v>529.07200295779739</v>
      </c>
      <c r="DT36" s="59">
        <f ca="1">AVERAGE(OFFSET($DS$3,0,0,'Données projet'!$E$14+1,1))-AVERAGE(OFFSET($H$3,0,0,'Données projet'!$E$14+1,1))</f>
        <v>368.03281986807173</v>
      </c>
      <c r="DU36" s="59">
        <f t="shared" si="44"/>
        <v>395.83504504492248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2.2989709907442384</v>
      </c>
      <c r="EB36" s="21">
        <f>EXP(-LN(2)/25)*EB35+(1-EXP(-LN(2)/25))/(LN(2)/25)*Calculateur!DW36*Calculateur!DY36*VLOOKUP('Données projet'!$B$14,Paramètres!$A$1:$I$89,3,0)*0.475*44/12</f>
        <v>14.117754210750384</v>
      </c>
      <c r="EC36" s="21">
        <f>EXP(-LN(2)/2)*EC35+(1-EXP(-LN(2)/2))/(LN(2)/2)*DW36*DZ36*VLOOKUP('Données projet'!$B$14,Paramètres!$A$1:$I$89,3,0)*0.475*44/12</f>
        <v>7.8324873947560523</v>
      </c>
      <c r="ED36" s="22">
        <f t="shared" si="18"/>
        <v>24.249212596250672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11.666666666666666</v>
      </c>
      <c r="EJ36" s="12">
        <f>IF('Données projet'!$A$192&gt;35,EJ35+EI36-ER35,IF(A36&lt;'Données projet'!$A$192,$EG$205^A36,IF(A36='Données projet'!$A$192,'Données projet'!$B$192,EJ35+EI36-ER35)))</f>
        <v>181.33333333333329</v>
      </c>
      <c r="EK36" s="17">
        <f>EJ36*VLOOKUP('Données projet'!$B$15,Paramètres!$A$1:$I$89,3,0)*VLOOKUP('Données projet'!$B$15,Paramètres!$A$1:$I$89,5,0)</f>
        <v>108.43733333333331</v>
      </c>
      <c r="EL36" s="13">
        <f t="shared" si="45"/>
        <v>28.962502090468035</v>
      </c>
      <c r="EM36" s="20">
        <f t="shared" si="19"/>
        <v>239.30471336312061</v>
      </c>
      <c r="EN36" s="59">
        <f t="shared" si="20"/>
        <v>481.18555919766135</v>
      </c>
      <c r="EO36" s="59">
        <f ca="1">AVERAGE(OFFSET($EN$3,0,0,'Données projet'!$E$15+1,1))-AVERAGE(OFFSET($H$3,0,0,'Données projet'!$E$15+1,1))</f>
        <v>225.2264820414552</v>
      </c>
      <c r="EP36" s="59">
        <f t="shared" si="46"/>
        <v>249.91838548328681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2.0846885917210445</v>
      </c>
      <c r="EW36" s="21">
        <f>EXP(-LN(2)/25)*EW35+(1-EXP(-LN(2)/25))/(LN(2)/25)*Calculateur!ER36*Calculateur!ET36*VLOOKUP('Données projet'!$B$15,Paramètres!$A$1:$I$89,3,0)*0.475*44/12</f>
        <v>7.9647662933763774</v>
      </c>
      <c r="EX36" s="21">
        <f>EXP(-LN(2)/2)*EX35+(1-EXP(-LN(2)/2))/(LN(2)/2)*ER36*EU36*VLOOKUP('Données projet'!$B$15,Paramètres!$A$1:$I$89,3,0)*0.475*44/12</f>
        <v>1.4303082357265848</v>
      </c>
      <c r="EY36" s="22">
        <f t="shared" si="21"/>
        <v>11.479763120824007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26.8</v>
      </c>
      <c r="FE36" s="12">
        <f>IF('Données projet'!$A$218&gt;35,FE35+FD36-FM35,IF(A36&lt;'Données projet'!$A$218,$FB$205^A36,IF(A36='Données projet'!$A$218,'Données projet'!$B$218,FE35+FD36-FM35)))</f>
        <v>339.40000000000003</v>
      </c>
      <c r="FF36" s="17">
        <f>FE36*VLOOKUP('Données projet'!$B$16,Paramètres!$A$1:$I$89,3,0)*VLOOKUP('Données projet'!$B$16,Paramètres!$A$1:$I$89,5,0)</f>
        <v>189.72460000000001</v>
      </c>
      <c r="FG36" s="13">
        <f t="shared" si="47"/>
        <v>47.479060682252133</v>
      </c>
      <c r="FH36" s="20">
        <f t="shared" si="22"/>
        <v>413.12970902158912</v>
      </c>
      <c r="FI36" s="59">
        <f t="shared" si="23"/>
        <v>655.01055485612983</v>
      </c>
      <c r="FJ36" s="59">
        <f ca="1">AVERAGE(OFFSET($FI$3,0,0,'Données projet'!$E$16+1,1))-AVERAGE(OFFSET($H$3,0,0,'Données projet'!$E$16+1,1))</f>
        <v>549.85684198202534</v>
      </c>
      <c r="FK36" s="59">
        <f t="shared" si="48"/>
        <v>539.63748606275431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10.761140807738991</v>
      </c>
      <c r="FR36" s="21">
        <f>EXP(-LN(2)/25)*FR35+(1-EXP(-LN(2)/25))/(LN(2)/25)*Calculateur!FM36*Calculateur!FO36*VLOOKUP('Données projet'!$B$16,Paramètres!$A$1:$I$89,3,0)*0.475*44/12</f>
        <v>35.665930524201251</v>
      </c>
      <c r="FS36" s="21">
        <f>EXP(-LN(2)/2)*FS35+(1-EXP(-LN(2)/2))/(LN(2)/2)*FM36*FP36*VLOOKUP('Données projet'!$B$16,Paramètres!$A$1:$I$89,3,0)*0.475*44/12</f>
        <v>12.894760849921814</v>
      </c>
      <c r="FT36" s="22">
        <f t="shared" si="24"/>
        <v>59.321832181862057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21.4</v>
      </c>
      <c r="FZ36" s="12">
        <f>IF('Données projet'!$A$244&gt;35,FZ35+FY36-GH35,IF(A36&lt;'Données projet'!$A$244,$FW$205^A36,IF(A36='Données projet'!$A$244,'Données projet'!$B$244,FZ35+FY36-GH35)))</f>
        <v>285.19999999999987</v>
      </c>
      <c r="GA36" s="17">
        <f>FZ36*VLOOKUP('Données projet'!$B$17,Paramètres!$A$1:$I$89,3,0)*VLOOKUP('Données projet'!$B$17,Paramètres!$A$1:$I$89,5,0)</f>
        <v>170.54959999999994</v>
      </c>
      <c r="GB36" s="13">
        <f t="shared" si="49"/>
        <v>43.213092569663907</v>
      </c>
      <c r="GC36" s="20">
        <f t="shared" si="25"/>
        <v>372.30335622549779</v>
      </c>
      <c r="GD36" s="59">
        <f t="shared" si="26"/>
        <v>614.1842020600385</v>
      </c>
      <c r="GE36" s="59">
        <f ca="1">AVERAGE(OFFSET($GD$3,0,0,'Données projet'!$E$17+1,1))-AVERAGE(OFFSET($H$3,0,0,'Données projet'!$E$17+1,1))</f>
        <v>495.6641415122013</v>
      </c>
      <c r="GF36" s="59">
        <f t="shared" si="50"/>
        <v>488.90534169400757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3.7675368240202469</v>
      </c>
      <c r="GM36" s="21">
        <f>EXP(-LN(2)/25)*GM35+(1-EXP(-LN(2)/25))/(LN(2)/25)*Calculateur!GH36*Calculateur!GJ36*VLOOKUP('Données projet'!$B$17,Paramètres!$A$1:$I$89,3,0)*0.475*44/12</f>
        <v>23.929565172292548</v>
      </c>
      <c r="GN36" s="21">
        <f>EXP(-LN(2)/2)*GN35+(1-EXP(-LN(2)/2))/(LN(2)/2)*GH36*GK36*VLOOKUP('Données projet'!$B$17,Paramètres!$A$1:$I$89,3,0)*0.475*44/12</f>
        <v>12.289280176002267</v>
      </c>
      <c r="GO36" s="21">
        <f t="shared" si="27"/>
        <v>39.986382172315061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21.4</v>
      </c>
      <c r="GU36" s="12">
        <f>IF('Données projet'!$A$270&gt;35,GU35+GT36-HC35,IF(A36&lt;'Données projet'!$A$270,$GR$205^A36,IF(A36='Données projet'!$A$270,'Données projet'!$B$270,GU35+GT36-HC35)))</f>
        <v>285.19999999999987</v>
      </c>
      <c r="GV36" s="17">
        <f>GU36*VLOOKUP('Données projet'!$B$18,Paramètres!$A$1:$I$89,3,0)*VLOOKUP('Données projet'!$B$18,Paramètres!$A$1:$I$89,5,0)</f>
        <v>170.54959999999994</v>
      </c>
      <c r="GW36" s="13">
        <f t="shared" si="51"/>
        <v>43.213092569663907</v>
      </c>
      <c r="GX36" s="20">
        <f t="shared" si="28"/>
        <v>372.30335622549779</v>
      </c>
      <c r="GY36" s="59">
        <f t="shared" si="29"/>
        <v>614.1842020600385</v>
      </c>
      <c r="GZ36" s="59">
        <f ca="1">AVERAGE(OFFSET($GY$3,0,0,'Données projet'!$E$18+1,1))-AVERAGE(OFFSET($H$3,0,0,'Données projet'!$E$18+1,1))</f>
        <v>-18.333333333333343</v>
      </c>
      <c r="HA36" s="59">
        <f t="shared" si="52"/>
        <v>-18.333333333333343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3.7675368240202469</v>
      </c>
      <c r="HH36" s="21">
        <f>EXP(-LN(2)/25)*HH35+(1-EXP(-LN(2)/25))/(LN(2)/25)*Calculateur!HC36*Calculateur!HE36*VLOOKUP('Données projet'!$B$18,Paramètres!$A$1:$I$89,3,0)*0.475*44/12</f>
        <v>23.929565172292548</v>
      </c>
      <c r="HI36" s="21">
        <f>EXP(-LN(2)/2)*HI35+(1-EXP(-LN(2)/2))/(LN(2)/2)*HC36*HF36*VLOOKUP('Données projet'!$B$18,Paramètres!$A$1:$I$89,3,0)*0.475*44/12</f>
        <v>12.289280176002267</v>
      </c>
      <c r="HJ36" s="22">
        <f t="shared" si="30"/>
        <v>39.986382172315061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10.000000000000004</v>
      </c>
      <c r="N37" s="13">
        <f>IF('Données projet'!$A$36&gt;35,N36+M37-V36,IF(A37&lt;'Données projet'!$A$36,$K$205^A37,IF(A37='Données projet'!$A$36,'Données projet'!$B$36,N36+M37-V36)))</f>
        <v>231.59999999999988</v>
      </c>
      <c r="O37" s="13">
        <f>N37*VLOOKUP('Données projet'!$B$9,Paramètres!$A$1:$I$89,3,0)*VLOOKUP('Données projet'!$B$9,Paramètres!$A$1:$I$89,5,0)</f>
        <v>108.38879999999993</v>
      </c>
      <c r="P37" s="13">
        <f t="shared" si="33"/>
        <v>28.951047900249165</v>
      </c>
      <c r="Q37" s="20">
        <f t="shared" si="53"/>
        <v>239.20023509293381</v>
      </c>
      <c r="R37" s="59">
        <f t="shared" si="0"/>
        <v>481.97366655504936</v>
      </c>
      <c r="S37" s="59">
        <f ca="1">AVERAGE(OFFSET($R$3,0,0,'Données projet'!$E$9+1,1))-AVERAGE(OFFSET($H$3,0,0,'Données projet'!$E$9+1,1))</f>
        <v>376.11581547534814</v>
      </c>
      <c r="T37" s="59">
        <f t="shared" si="34"/>
        <v>300.91675649863294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2.895850598272911</v>
      </c>
      <c r="AA37" s="21">
        <f>EXP(-LN(2)/25)*AA36+(1-EXP(-LN(2)/25))/(LN(2)/25)*Calculateur!V37*Calculateur!X37*VLOOKUP('Données projet'!$B$9,Paramètres!$A$1:$I$89,3,0)*0.475*44/12</f>
        <v>7.0308375406049475</v>
      </c>
      <c r="AB37" s="21">
        <f>EXP(-LN(2)/2)*AB36+(1-EXP(-LN(2)/2))/(LN(2)/2)*V37*Y37*VLOOKUP('Données projet'!$B$9,Paramètres!$A$1:$I$89,3,0)*0.475*44/12</f>
        <v>2.4580441200739975</v>
      </c>
      <c r="AC37" s="22">
        <f t="shared" si="3"/>
        <v>12.384732258951857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123.9576</v>
      </c>
      <c r="AK37" s="13">
        <f t="shared" si="35"/>
        <v>32.59629414926458</v>
      </c>
      <c r="AL37" s="20">
        <f t="shared" si="4"/>
        <v>272.6646989766358</v>
      </c>
      <c r="AM37" s="59">
        <f t="shared" si="5"/>
        <v>515.43813043875139</v>
      </c>
      <c r="AN37" s="59">
        <f ca="1">AVERAGE(OFFSET($AM$3,0,0,'Données projet'!$E$10+1,1))-AVERAGE(OFFSET($H$3,0,0,'Données projet'!$E$10+1,1))</f>
        <v>505.38595282220405</v>
      </c>
      <c r="AO37" s="59">
        <f t="shared" si="36"/>
        <v>351.72130415456365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2.2251165134855517</v>
      </c>
      <c r="AV37" s="21">
        <f>EXP(-LN(2)/25)*AV36+(1-EXP(-LN(2)/25))/(LN(2)/25)*Calculateur!AQ37*Calculateur!AS37*VLOOKUP('Données projet'!$B$10,Paramètres!$A$1:$I$89,3,0)*0.475*44/12</f>
        <v>10.098405339183669</v>
      </c>
      <c r="AW37" s="21">
        <f>EXP(-LN(2)/2)*AW36+(1-EXP(-LN(2)/2))/(LN(2)/2)*AQ37*AT37*VLOOKUP('Données projet'!$B$10,Paramètres!$A$1:$I$89,3,0)*0.475*44/12</f>
        <v>5.3883341935266449</v>
      </c>
      <c r="AX37" s="21">
        <f t="shared" si="6"/>
        <v>17.711856046195866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151.48223999999999</v>
      </c>
      <c r="BF37" s="13">
        <f t="shared" si="37"/>
        <v>38.915236966075291</v>
      </c>
      <c r="BG37" s="20">
        <f t="shared" si="7"/>
        <v>331.60893904924779</v>
      </c>
      <c r="BH37" s="59">
        <f t="shared" si="8"/>
        <v>574.38237051136343</v>
      </c>
      <c r="BI37" s="59">
        <f ca="1">AVERAGE(OFFSET($BH$3,0,0,'Données projet'!$E$11+1,1))-AVERAGE(OFFSET($H$3,0,0,'Données projet'!$E$11+1,1))</f>
        <v>394.14657090341535</v>
      </c>
      <c r="BJ37" s="59">
        <f t="shared" si="38"/>
        <v>424.06445894109982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3.0144797193020492</v>
      </c>
      <c r="BQ37" s="21">
        <f>EXP(-LN(2)/25)*BQ36+(1-EXP(-LN(2)/25))/(LN(2)/25)*Calculateur!BL37*Calculateur!BN37*VLOOKUP('Données projet'!$B$11,Paramètres!$A$1:$I$89,3,0)*0.475*44/12</f>
        <v>18.36555888417525</v>
      </c>
      <c r="BR37" s="21">
        <f>EXP(-LN(2)/2)*BR36+(1-EXP(-LN(2)/2))/(LN(2)/2)*BL37*BO37*VLOOKUP('Données projet'!$B$11,Paramètres!$A$1:$I$89,3,0)*0.475*44/12</f>
        <v>6.0097585631893216</v>
      </c>
      <c r="BS37" s="22">
        <f t="shared" si="9"/>
        <v>27.389797166666622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15.7</v>
      </c>
      <c r="BY37" s="12">
        <f>IF('Données projet'!$A$114&gt;35,BY36+BX37-CG36,IF(A37&lt;'Données projet'!$A$114,$BV$205^A37,IF(A37='Données projet'!$A$114,'Données projet'!$B$114,BY36+BX37-CG36)))</f>
        <v>261.79999999999995</v>
      </c>
      <c r="BZ37" s="13">
        <f>BY37*VLOOKUP('Données projet'!$B$12,Paramètres!$A$1:$I$89,3,0)*VLOOKUP('Données projet'!$B$12,Paramètres!$A$1:$I$89,5,0)</f>
        <v>142.94279999999998</v>
      </c>
      <c r="CA37" s="13">
        <f t="shared" si="39"/>
        <v>36.97034129538963</v>
      </c>
      <c r="CB37" s="20">
        <f t="shared" si="10"/>
        <v>313.34872108947019</v>
      </c>
      <c r="CC37" s="59">
        <f t="shared" si="11"/>
        <v>556.12215255158571</v>
      </c>
      <c r="CD37" s="59">
        <f ca="1">AVERAGE(OFFSET($CC$3,0,0,'Données projet'!$E$12+1,1))-AVERAGE(OFFSET($H$3,0,0,'Données projet'!$E$12+1,1))</f>
        <v>382.09004346384319</v>
      </c>
      <c r="CE37" s="59">
        <f t="shared" si="40"/>
        <v>410.18893995284986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7.869096892118109</v>
      </c>
      <c r="CL37" s="21">
        <f>EXP(-LN(2)/25)*CL36+(1-EXP(-LN(2)/25))/(LN(2)/25)*Calculateur!CG37*Calculateur!CI37*VLOOKUP('Données projet'!$B$12,Paramètres!$A$1:$I$89,3,0)*0.475*44/12</f>
        <v>30.464630417529253</v>
      </c>
      <c r="CM37" s="21">
        <f>EXP(-LN(2)/2)*CM36+(1-EXP(-LN(2)/2))/(LN(2)/2)*CG37*CJ37*VLOOKUP('Données projet'!$B$12,Paramètres!$A$1:$I$89,3,0)*0.475*44/12</f>
        <v>6.2956065287165615</v>
      </c>
      <c r="CN37" s="22">
        <f t="shared" si="12"/>
        <v>44.629333838363927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11.5</v>
      </c>
      <c r="CT37" s="12">
        <f>IF('Données projet'!$A$140&gt;35,CT36+CS37-DB36,IF(A37&lt;'Données projet'!$A$140,$CQ$205^A37,IF(A37='Données projet'!$A$140,'Données projet'!$B$140,CT36+CS37-DB36)))</f>
        <v>186.00000000000006</v>
      </c>
      <c r="CU37" s="17">
        <f>CT37*VLOOKUP('Données projet'!$B$13,Paramètres!$A$1:$I$89,3,0)*VLOOKUP('Données projet'!$B$13,Paramètres!$A$1:$I$89,5,0)</f>
        <v>162.48960000000005</v>
      </c>
      <c r="CV37" s="13">
        <f t="shared" si="41"/>
        <v>41.403546033820696</v>
      </c>
      <c r="CW37" s="20">
        <f t="shared" si="13"/>
        <v>355.11389600890448</v>
      </c>
      <c r="CX37" s="59">
        <f t="shared" si="14"/>
        <v>597.88732747102006</v>
      </c>
      <c r="CY37" s="59">
        <f ca="1">AVERAGE(OFFSET($CX$3,0,0,'Données projet'!$E$13+1,1))-AVERAGE(OFFSET($H$3,0,0,'Données projet'!$E$13+1,1))</f>
        <v>363.02374534486341</v>
      </c>
      <c r="CZ37" s="59">
        <f t="shared" si="42"/>
        <v>489.00477393029598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6.7520776960940889</v>
      </c>
      <c r="DG37" s="21">
        <f>EXP(-LN(2)/25)*DG36+(1-EXP(-LN(2)/25))/(LN(2)/25)*Calculateur!DB37*Calculateur!DD37*VLOOKUP('Données projet'!$B$13,Paramètres!$A$1:$I$89,3,0)*0.475*44/12</f>
        <v>17.329858972335703</v>
      </c>
      <c r="DH37" s="21">
        <f>EXP(-LN(2)/2)*DH36+(1-EXP(-LN(2)/2))/(LN(2)/2)*DB37*DE37*VLOOKUP('Données projet'!$B$13,Paramètres!$A$1:$I$89,3,0)*0.475*44/12</f>
        <v>7.3287348032905335</v>
      </c>
      <c r="DI37" s="22">
        <f t="shared" si="15"/>
        <v>31.410671471720324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>
        <f>DO37*VLOOKUP('Données projet'!$B$14,Paramètres!$A$1:$I$89,3,0)*VLOOKUP('Données projet'!$B$14,Paramètres!$A$1:$I$89,5,0)</f>
        <v>139.60127999999997</v>
      </c>
      <c r="DQ37" s="13">
        <f t="shared" si="43"/>
        <v>36.205649185823027</v>
      </c>
      <c r="DR37" s="20">
        <f t="shared" si="16"/>
        <v>306.19706833197506</v>
      </c>
      <c r="DS37" s="59">
        <f t="shared" si="17"/>
        <v>548.97049979409064</v>
      </c>
      <c r="DT37" s="59">
        <f ca="1">AVERAGE(OFFSET($DS$3,0,0,'Données projet'!$E$14+1,1))-AVERAGE(OFFSET($H$3,0,0,'Données projet'!$E$14+1,1))</f>
        <v>368.03281986807173</v>
      </c>
      <c r="DU37" s="59">
        <f t="shared" si="44"/>
        <v>395.83504504492248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2.253889571849589</v>
      </c>
      <c r="EB37" s="21">
        <f>EXP(-LN(2)/25)*EB36+(1-EXP(-LN(2)/25))/(LN(2)/25)*Calculateur!DW37*Calculateur!DY37*VLOOKUP('Données projet'!$B$14,Paramètres!$A$1:$I$89,3,0)*0.475*44/12</f>
        <v>13.731703479436987</v>
      </c>
      <c r="EC37" s="21">
        <f>EXP(-LN(2)/2)*EC36+(1-EXP(-LN(2)/2))/(LN(2)/2)*DW37*DZ37*VLOOKUP('Données projet'!$B$14,Paramètres!$A$1:$I$89,3,0)*0.475*44/12</f>
        <v>5.5384049503901602</v>
      </c>
      <c r="ED37" s="22">
        <f t="shared" si="18"/>
        <v>21.523998001676738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>
        <f>VLOOKUP(A37,'Données projet'!$A$191:$I$211,2,0)</f>
        <v>193</v>
      </c>
      <c r="EH37" s="12">
        <f>VLOOKUP(A37,'Données projet'!$A$191:$I$211,9,0)</f>
        <v>11.666666666666666</v>
      </c>
      <c r="EI37" s="12">
        <f t="array" ref="EI37">INDEX(EH:EH,MIN(IF(ISNUMBER(EH37:EH233),ROW(EH37:EH233),"")))</f>
        <v>11.666666666666666</v>
      </c>
      <c r="EJ37" s="12">
        <f>IF('Données projet'!$A$192&gt;35,EJ36+EI37-ER36,IF(A37&lt;'Données projet'!$A$192,$EG$205^A37,IF(A37='Données projet'!$A$192,'Données projet'!$B$192,EJ36+EI37-ER36)))</f>
        <v>192.99999999999994</v>
      </c>
      <c r="EK37" s="17">
        <f>EJ37*VLOOKUP('Données projet'!$B$15,Paramètres!$A$1:$I$89,3,0)*VLOOKUP('Données projet'!$B$15,Paramètres!$A$1:$I$89,5,0)</f>
        <v>115.41399999999997</v>
      </c>
      <c r="EL37" s="13">
        <f t="shared" si="45"/>
        <v>30.602976534547519</v>
      </c>
      <c r="EM37" s="20">
        <f t="shared" si="19"/>
        <v>254.31290079767018</v>
      </c>
      <c r="EN37" s="59">
        <f t="shared" si="20"/>
        <v>497.08633225978576</v>
      </c>
      <c r="EO37" s="59">
        <f ca="1">AVERAGE(OFFSET($EN$3,0,0,'Données projet'!$E$15+1,1))-AVERAGE(OFFSET($H$3,0,0,'Données projet'!$E$15+1,1))</f>
        <v>225.2264820414552</v>
      </c>
      <c r="EP37" s="59">
        <f t="shared" si="46"/>
        <v>249.91838548328681</v>
      </c>
      <c r="EQ37" s="15">
        <f>IF(ISNA(VLOOKUP(A37,'Données projet'!$A$191:$I$211,3,0)),0,VLOOKUP(A37,'Données projet'!$A$191:$I$211,3,0))</f>
        <v>5</v>
      </c>
      <c r="ER37" s="15">
        <f>IF(ISNA(VLOOKUP(A37,'Données projet'!$A$191:$I$211,4,0)),0,VLOOKUP(A37,'Données projet'!$A$191:$I$211,4,0))</f>
        <v>38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2.0438091199718822</v>
      </c>
      <c r="EW37" s="21">
        <f>EXP(-LN(2)/25)*EW36+(1-EXP(-LN(2)/25))/(LN(2)/25)*Calculateur!ER37*Calculateur!ET37*VLOOKUP('Données projet'!$B$15,Paramètres!$A$1:$I$89,3,0)*0.475*44/12</f>
        <v>7.7469693402351449</v>
      </c>
      <c r="EX37" s="21">
        <f>EXP(-LN(2)/2)*EX36+(1-EXP(-LN(2)/2))/(LN(2)/2)*ER37*EU37*VLOOKUP('Données projet'!$B$15,Paramètres!$A$1:$I$89,3,0)*0.475*44/12</f>
        <v>1.011380652669235</v>
      </c>
      <c r="EY37" s="22">
        <f t="shared" si="21"/>
        <v>10.802159112876263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26.8</v>
      </c>
      <c r="FE37" s="12">
        <f>IF('Données projet'!$A$218&gt;35,FE36+FD37-FM36,IF(A37&lt;'Données projet'!$A$218,$FB$205^A37,IF(A37='Données projet'!$A$218,'Données projet'!$B$218,FE36+FD37-FM36)))</f>
        <v>366.20000000000005</v>
      </c>
      <c r="FF37" s="17">
        <f>FE37*VLOOKUP('Données projet'!$B$16,Paramètres!$A$1:$I$89,3,0)*VLOOKUP('Données projet'!$B$16,Paramètres!$A$1:$I$89,5,0)</f>
        <v>204.70580000000001</v>
      </c>
      <c r="FG37" s="13">
        <f t="shared" si="47"/>
        <v>50.776956172604578</v>
      </c>
      <c r="FH37" s="20">
        <f t="shared" si="22"/>
        <v>444.96580033395298</v>
      </c>
      <c r="FI37" s="59">
        <f t="shared" si="23"/>
        <v>687.73923179606857</v>
      </c>
      <c r="FJ37" s="59">
        <f ca="1">AVERAGE(OFFSET($FI$3,0,0,'Données projet'!$E$16+1,1))-AVERAGE(OFFSET($H$3,0,0,'Données projet'!$E$16+1,1))</f>
        <v>549.85684198202534</v>
      </c>
      <c r="FK37" s="59">
        <f t="shared" si="48"/>
        <v>539.63748606275431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10.550121400147017</v>
      </c>
      <c r="FR37" s="21">
        <f>EXP(-LN(2)/25)*FR36+(1-EXP(-LN(2)/25))/(LN(2)/25)*Calculateur!FM37*Calculateur!FO37*VLOOKUP('Données projet'!$B$16,Paramètres!$A$1:$I$89,3,0)*0.475*44/12</f>
        <v>34.690643778427194</v>
      </c>
      <c r="FS37" s="21">
        <f>EXP(-LN(2)/2)*FS36+(1-EXP(-LN(2)/2))/(LN(2)/2)*FM37*FP37*VLOOKUP('Données projet'!$B$16,Paramètres!$A$1:$I$89,3,0)*0.475*44/12</f>
        <v>9.1179728387585239</v>
      </c>
      <c r="FT37" s="22">
        <f t="shared" si="24"/>
        <v>54.358738017332733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21.4</v>
      </c>
      <c r="FZ37" s="12">
        <f>IF('Données projet'!$A$244&gt;35,FZ36+FY37-GH36,IF(A37&lt;'Données projet'!$A$244,$FW$205^A37,IF(A37='Données projet'!$A$244,'Données projet'!$B$244,FZ36+FY37-GH36)))</f>
        <v>306.59999999999985</v>
      </c>
      <c r="GA37" s="17">
        <f>FZ37*VLOOKUP('Données projet'!$B$17,Paramètres!$A$1:$I$89,3,0)*VLOOKUP('Données projet'!$B$17,Paramètres!$A$1:$I$89,5,0)</f>
        <v>183.34679999999994</v>
      </c>
      <c r="GB37" s="13">
        <f t="shared" si="49"/>
        <v>46.06598726946973</v>
      </c>
      <c r="GC37" s="20">
        <f t="shared" si="25"/>
        <v>399.56060449432636</v>
      </c>
      <c r="GD37" s="59">
        <f t="shared" si="26"/>
        <v>642.33403595644199</v>
      </c>
      <c r="GE37" s="59">
        <f ca="1">AVERAGE(OFFSET($GD$3,0,0,'Données projet'!$E$17+1,1))-AVERAGE(OFFSET($H$3,0,0,'Données projet'!$E$17+1,1))</f>
        <v>495.6641415122013</v>
      </c>
      <c r="GF37" s="59">
        <f t="shared" si="50"/>
        <v>488.90534169400757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3.6936577248717666</v>
      </c>
      <c r="GM37" s="21">
        <f>EXP(-LN(2)/25)*GM36+(1-EXP(-LN(2)/25))/(LN(2)/25)*Calculateur!GH37*Calculateur!GJ37*VLOOKUP('Données projet'!$B$17,Paramètres!$A$1:$I$89,3,0)*0.475*44/12</f>
        <v>23.275209954255068</v>
      </c>
      <c r="GN37" s="21">
        <f>EXP(-LN(2)/2)*GN36+(1-EXP(-LN(2)/2))/(LN(2)/2)*GH37*GK37*VLOOKUP('Données projet'!$B$17,Paramètres!$A$1:$I$89,3,0)*0.475*44/12</f>
        <v>8.6898333483526109</v>
      </c>
      <c r="GO37" s="21">
        <f t="shared" si="27"/>
        <v>35.658701027479445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21.4</v>
      </c>
      <c r="GU37" s="12">
        <f>IF('Données projet'!$A$270&gt;35,GU36+GT37-HC36,IF(A37&lt;'Données projet'!$A$270,$GR$205^A37,IF(A37='Données projet'!$A$270,'Données projet'!$B$270,GU36+GT37-HC36)))</f>
        <v>306.59999999999985</v>
      </c>
      <c r="GV37" s="17">
        <f>GU37*VLOOKUP('Données projet'!$B$18,Paramètres!$A$1:$I$89,3,0)*VLOOKUP('Données projet'!$B$18,Paramètres!$A$1:$I$89,5,0)</f>
        <v>183.34679999999994</v>
      </c>
      <c r="GW37" s="13">
        <f t="shared" si="51"/>
        <v>46.06598726946973</v>
      </c>
      <c r="GX37" s="20">
        <f t="shared" si="28"/>
        <v>399.56060449432636</v>
      </c>
      <c r="GY37" s="59">
        <f t="shared" si="29"/>
        <v>642.33403595644199</v>
      </c>
      <c r="GZ37" s="59">
        <f ca="1">AVERAGE(OFFSET($GY$3,0,0,'Données projet'!$E$18+1,1))-AVERAGE(OFFSET($H$3,0,0,'Données projet'!$E$18+1,1))</f>
        <v>-18.333333333333343</v>
      </c>
      <c r="HA37" s="59">
        <f t="shared" si="52"/>
        <v>-18.333333333333343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3.6936577248717666</v>
      </c>
      <c r="HH37" s="21">
        <f>EXP(-LN(2)/25)*HH36+(1-EXP(-LN(2)/25))/(LN(2)/25)*Calculateur!HC37*Calculateur!HE37*VLOOKUP('Données projet'!$B$18,Paramètres!$A$1:$I$89,3,0)*0.475*44/12</f>
        <v>23.275209954255068</v>
      </c>
      <c r="HI37" s="21">
        <f>EXP(-LN(2)/2)*HI36+(1-EXP(-LN(2)/2))/(LN(2)/2)*HC37*HF37*VLOOKUP('Données projet'!$B$18,Paramètres!$A$1:$I$89,3,0)*0.475*44/12</f>
        <v>8.6898333483526109</v>
      </c>
      <c r="HJ37" s="22">
        <f t="shared" si="30"/>
        <v>35.658701027479445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10.000000000000004</v>
      </c>
      <c r="N38" s="13">
        <f>IF('Données projet'!$A$36&gt;35,N37+M38-V37,IF(A38&lt;'Données projet'!$A$36,$K$205^A38,IF(A38='Données projet'!$A$36,'Données projet'!$B$36,N37+M38-V37)))</f>
        <v>241.59999999999988</v>
      </c>
      <c r="O38" s="13">
        <f>N38*VLOOKUP('Données projet'!$B$9,Paramètres!$A$1:$I$89,3,0)*VLOOKUP('Données projet'!$B$9,Paramètres!$A$1:$I$89,5,0)</f>
        <v>113.06879999999995</v>
      </c>
      <c r="P38" s="13">
        <f t="shared" si="33"/>
        <v>30.052855829090237</v>
      </c>
      <c r="Q38" s="20">
        <f t="shared" si="53"/>
        <v>249.27021723566543</v>
      </c>
      <c r="R38" s="59">
        <f t="shared" si="0"/>
        <v>492.92074996023996</v>
      </c>
      <c r="S38" s="59">
        <f ca="1">AVERAGE(OFFSET($R$3,0,0,'Données projet'!$E$9+1,1))-AVERAGE(OFFSET($H$3,0,0,'Données projet'!$E$9+1,1))</f>
        <v>376.11581547534814</v>
      </c>
      <c r="T38" s="59">
        <f t="shared" si="34"/>
        <v>300.91675649863294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2.8390647343352371</v>
      </c>
      <c r="AA38" s="21">
        <f>EXP(-LN(2)/25)*AA37+(1-EXP(-LN(2)/25))/(LN(2)/25)*Calculateur!V38*Calculateur!X38*VLOOKUP('Données projet'!$B$9,Paramètres!$A$1:$I$89,3,0)*0.475*44/12</f>
        <v>6.8385789183214278</v>
      </c>
      <c r="AB38" s="21">
        <f>EXP(-LN(2)/2)*AB37+(1-EXP(-LN(2)/2))/(LN(2)/2)*V38*Y38*VLOOKUP('Données projet'!$B$9,Paramètres!$A$1:$I$89,3,0)*0.475*44/12</f>
        <v>1.738099665760044</v>
      </c>
      <c r="AC38" s="22">
        <f t="shared" si="3"/>
        <v>11.415743318416709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133.91039999999998</v>
      </c>
      <c r="AK38" s="13">
        <f t="shared" si="35"/>
        <v>34.898373535125089</v>
      </c>
      <c r="AL38" s="20">
        <f t="shared" si="4"/>
        <v>294.00861390700948</v>
      </c>
      <c r="AM38" s="59">
        <f t="shared" si="5"/>
        <v>537.65914663158401</v>
      </c>
      <c r="AN38" s="59">
        <f ca="1">AVERAGE(OFFSET($AM$3,0,0,'Données projet'!$E$10+1,1))-AVERAGE(OFFSET($H$3,0,0,'Données projet'!$E$10+1,1))</f>
        <v>505.38595282220405</v>
      </c>
      <c r="AO38" s="59">
        <f t="shared" si="36"/>
        <v>351.72130415456365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2.1814833358431622</v>
      </c>
      <c r="AV38" s="21">
        <f>EXP(-LN(2)/25)*AV37+(1-EXP(-LN(2)/25))/(LN(2)/25)*Calculateur!AQ38*Calculateur!AS38*VLOOKUP('Données projet'!$B$10,Paramètres!$A$1:$I$89,3,0)*0.475*44/12</f>
        <v>9.8222639141316357</v>
      </c>
      <c r="AW38" s="21">
        <f>EXP(-LN(2)/2)*AW37+(1-EXP(-LN(2)/2))/(LN(2)/2)*AQ38*AT38*VLOOKUP('Données projet'!$B$10,Paramètres!$A$1:$I$89,3,0)*0.475*44/12</f>
        <v>3.8101276475420374</v>
      </c>
      <c r="AX38" s="21">
        <f t="shared" si="6"/>
        <v>15.813874897516834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161.10899999999998</v>
      </c>
      <c r="BF38" s="13">
        <f t="shared" si="37"/>
        <v>41.092552806229541</v>
      </c>
      <c r="BG38" s="20">
        <f t="shared" si="7"/>
        <v>352.16770447084974</v>
      </c>
      <c r="BH38" s="59">
        <f t="shared" si="8"/>
        <v>595.81823719542422</v>
      </c>
      <c r="BI38" s="59">
        <f ca="1">AVERAGE(OFFSET($BH$3,0,0,'Données projet'!$E$11+1,1))-AVERAGE(OFFSET($H$3,0,0,'Données projet'!$E$11+1,1))</f>
        <v>394.14657090341535</v>
      </c>
      <c r="BJ38" s="59">
        <f t="shared" si="38"/>
        <v>424.06445894109982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2.9553676106576132</v>
      </c>
      <c r="BQ38" s="21">
        <f>EXP(-LN(2)/25)*BQ37+(1-EXP(-LN(2)/25))/(LN(2)/25)*Calculateur!BL38*Calculateur!BN38*VLOOKUP('Données projet'!$B$11,Paramètres!$A$1:$I$89,3,0)*0.475*44/12</f>
        <v>17.863351710684711</v>
      </c>
      <c r="BR38" s="21">
        <f>EXP(-LN(2)/2)*BR37+(1-EXP(-LN(2)/2))/(LN(2)/2)*BL38*BO38*VLOOKUP('Données projet'!$B$11,Paramètres!$A$1:$I$89,3,0)*0.475*44/12</f>
        <v>4.2495410333250918</v>
      </c>
      <c r="BS38" s="22">
        <f t="shared" si="9"/>
        <v>25.068260354667416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15.7</v>
      </c>
      <c r="BY38" s="12">
        <f>IF('Données projet'!$A$114&gt;35,BY37+BX38-CG37,IF(A38&lt;'Données projet'!$A$114,$BV$205^A38,IF(A38='Données projet'!$A$114,'Données projet'!$B$114,BY37+BX38-CG37)))</f>
        <v>277.49999999999994</v>
      </c>
      <c r="BZ38" s="13">
        <f>BY38*VLOOKUP('Données projet'!$B$12,Paramètres!$A$1:$I$89,3,0)*VLOOKUP('Données projet'!$B$12,Paramètres!$A$1:$I$89,5,0)</f>
        <v>151.51499999999996</v>
      </c>
      <c r="CA38" s="13">
        <f t="shared" si="39"/>
        <v>38.922673183770968</v>
      </c>
      <c r="CB38" s="20">
        <f t="shared" si="10"/>
        <v>331.67894746173437</v>
      </c>
      <c r="CC38" s="59">
        <f t="shared" si="11"/>
        <v>575.32948018630884</v>
      </c>
      <c r="CD38" s="59">
        <f ca="1">AVERAGE(OFFSET($CC$3,0,0,'Données projet'!$E$12+1,1))-AVERAGE(OFFSET($H$3,0,0,'Données projet'!$E$12+1,1))</f>
        <v>382.09004346384319</v>
      </c>
      <c r="CE38" s="59">
        <f t="shared" si="40"/>
        <v>410.18893995284986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7.7147887017388488</v>
      </c>
      <c r="CL38" s="21">
        <f>EXP(-LN(2)/25)*CL37+(1-EXP(-LN(2)/25))/(LN(2)/25)*Calculateur!CG38*Calculateur!CI38*VLOOKUP('Données projet'!$B$12,Paramètres!$A$1:$I$89,3,0)*0.475*44/12</f>
        <v>29.631573496696632</v>
      </c>
      <c r="CM38" s="21">
        <f>EXP(-LN(2)/2)*CM37+(1-EXP(-LN(2)/2))/(LN(2)/2)*CG38*CJ38*VLOOKUP('Données projet'!$B$12,Paramètres!$A$1:$I$89,3,0)*0.475*44/12</f>
        <v>4.451666068137782</v>
      </c>
      <c r="CN38" s="22">
        <f t="shared" si="12"/>
        <v>41.798028266573262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11.5</v>
      </c>
      <c r="CT38" s="12">
        <f>IF('Données projet'!$A$140&gt;35,CT37+CS38-DB37,IF(A38&lt;'Données projet'!$A$140,$CQ$205^A38,IF(A38='Données projet'!$A$140,'Données projet'!$B$140,CT37+CS38-DB37)))</f>
        <v>197.50000000000006</v>
      </c>
      <c r="CU38" s="17">
        <f>CT38*VLOOKUP('Données projet'!$B$13,Paramètres!$A$1:$I$89,3,0)*VLOOKUP('Données projet'!$B$13,Paramètres!$A$1:$I$89,5,0)</f>
        <v>172.53600000000006</v>
      </c>
      <c r="CV38" s="13">
        <f t="shared" si="41"/>
        <v>43.657512815796977</v>
      </c>
      <c r="CW38" s="20">
        <f t="shared" si="13"/>
        <v>376.53703482084643</v>
      </c>
      <c r="CX38" s="59">
        <f t="shared" si="14"/>
        <v>620.18756754542096</v>
      </c>
      <c r="CY38" s="59">
        <f ca="1">AVERAGE(OFFSET($CX$3,0,0,'Données projet'!$E$13+1,1))-AVERAGE(OFFSET($H$3,0,0,'Données projet'!$E$13+1,1))</f>
        <v>363.02374534486341</v>
      </c>
      <c r="CZ38" s="59">
        <f t="shared" si="42"/>
        <v>489.00477393029598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6.6196735708344239</v>
      </c>
      <c r="DG38" s="21">
        <f>EXP(-LN(2)/25)*DG37+(1-EXP(-LN(2)/25))/(LN(2)/25)*Calculateur!DB38*Calculateur!DD38*VLOOKUP('Données projet'!$B$13,Paramètres!$A$1:$I$89,3,0)*0.475*44/12</f>
        <v>16.855973067399507</v>
      </c>
      <c r="DH38" s="21">
        <f>EXP(-LN(2)/2)*DH37+(1-EXP(-LN(2)/2))/(LN(2)/2)*DB38*DE38*VLOOKUP('Données projet'!$B$13,Paramètres!$A$1:$I$89,3,0)*0.475*44/12</f>
        <v>5.1821980769245952</v>
      </c>
      <c r="DI38" s="22">
        <f t="shared" si="15"/>
        <v>28.657844715158529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>
        <f>DO38*VLOOKUP('Données projet'!$B$14,Paramètres!$A$1:$I$89,3,0)*VLOOKUP('Données projet'!$B$14,Paramètres!$A$1:$I$89,5,0)</f>
        <v>148.47299999999998</v>
      </c>
      <c r="DQ38" s="13">
        <f t="shared" si="43"/>
        <v>38.231363009539002</v>
      </c>
      <c r="DR38" s="20">
        <f t="shared" si="16"/>
        <v>325.17676557494707</v>
      </c>
      <c r="DS38" s="59">
        <f t="shared" si="17"/>
        <v>568.82729829952154</v>
      </c>
      <c r="DT38" s="59">
        <f ca="1">AVERAGE(OFFSET($DS$3,0,0,'Données projet'!$E$14+1,1))-AVERAGE(OFFSET($H$3,0,0,'Données projet'!$E$14+1,1))</f>
        <v>368.03281986807173</v>
      </c>
      <c r="DU38" s="59">
        <f t="shared" si="44"/>
        <v>395.83504504492248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2.2096921720825136</v>
      </c>
      <c r="EB38" s="21">
        <f>EXP(-LN(2)/25)*EB37+(1-EXP(-LN(2)/25))/(LN(2)/25)*Calculateur!DW38*Calculateur!DY38*VLOOKUP('Données projet'!$B$14,Paramètres!$A$1:$I$89,3,0)*0.475*44/12</f>
        <v>13.35620932567288</v>
      </c>
      <c r="EC38" s="21">
        <f>EXP(-LN(2)/2)*EC37+(1-EXP(-LN(2)/2))/(LN(2)/2)*DW38*DZ38*VLOOKUP('Données projet'!$B$14,Paramètres!$A$1:$I$89,3,0)*0.475*44/12</f>
        <v>3.916243697378027</v>
      </c>
      <c r="ED38" s="22">
        <f t="shared" si="18"/>
        <v>19.48214519513342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10</v>
      </c>
      <c r="EJ38" s="12">
        <f>IF('Données projet'!$A$192&gt;35,EJ37+EI38-ER37,IF(A38&lt;'Données projet'!$A$192,$EG$205^A38,IF(A38='Données projet'!$A$192,'Données projet'!$B$192,EJ37+EI38-ER37)))</f>
        <v>164.99999999999994</v>
      </c>
      <c r="EK38" s="17">
        <f>EJ38*VLOOKUP('Données projet'!$B$15,Paramètres!$A$1:$I$89,3,0)*VLOOKUP('Données projet'!$B$15,Paramètres!$A$1:$I$89,5,0)</f>
        <v>98.669999999999973</v>
      </c>
      <c r="EL38" s="13">
        <f t="shared" si="45"/>
        <v>26.644896901954066</v>
      </c>
      <c r="EM38" s="20">
        <f t="shared" si="19"/>
        <v>218.25677877090325</v>
      </c>
      <c r="EN38" s="59">
        <f t="shared" si="20"/>
        <v>461.90731149547776</v>
      </c>
      <c r="EO38" s="59">
        <f ca="1">AVERAGE(OFFSET($EN$3,0,0,'Données projet'!$E$15+1,1))-AVERAGE(OFFSET($H$3,0,0,'Données projet'!$E$15+1,1))</f>
        <v>225.2264820414552</v>
      </c>
      <c r="EP38" s="59">
        <f t="shared" si="46"/>
        <v>249.91838548328681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2.0037312697297054</v>
      </c>
      <c r="EW38" s="21">
        <f>EXP(-LN(2)/25)*EW37+(1-EXP(-LN(2)/25))/(LN(2)/25)*Calculateur!ER38*Calculateur!ET38*VLOOKUP('Données projet'!$B$15,Paramètres!$A$1:$I$89,3,0)*0.475*44/12</f>
        <v>7.5351280562310032</v>
      </c>
      <c r="EX38" s="21">
        <f>EXP(-LN(2)/2)*EX37+(1-EXP(-LN(2)/2))/(LN(2)/2)*ER38*EU38*VLOOKUP('Données projet'!$B$15,Paramètres!$A$1:$I$89,3,0)*0.475*44/12</f>
        <v>0.71515411786329242</v>
      </c>
      <c r="EY38" s="22">
        <f t="shared" si="21"/>
        <v>10.254013443824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26.8</v>
      </c>
      <c r="FE38" s="12">
        <f>IF('Données projet'!$A$218&gt;35,FE37+FD38-FM37,IF(A38&lt;'Données projet'!$A$218,$FB$205^A38,IF(A38='Données projet'!$A$218,'Données projet'!$B$218,FE37+FD38-FM37)))</f>
        <v>393.00000000000006</v>
      </c>
      <c r="FF38" s="17">
        <f>FE38*VLOOKUP('Données projet'!$B$16,Paramètres!$A$1:$I$89,3,0)*VLOOKUP('Données projet'!$B$16,Paramètres!$A$1:$I$89,5,0)</f>
        <v>219.68700000000001</v>
      </c>
      <c r="FG38" s="13">
        <f t="shared" si="47"/>
        <v>54.046851081096591</v>
      </c>
      <c r="FH38" s="20">
        <f t="shared" si="22"/>
        <v>476.75312396624321</v>
      </c>
      <c r="FI38" s="59">
        <f t="shared" si="23"/>
        <v>720.40365669081768</v>
      </c>
      <c r="FJ38" s="59">
        <f ca="1">AVERAGE(OFFSET($FI$3,0,0,'Données projet'!$E$16+1,1))-AVERAGE(OFFSET($H$3,0,0,'Données projet'!$E$16+1,1))</f>
        <v>549.85684198202534</v>
      </c>
      <c r="FK38" s="59">
        <f t="shared" si="48"/>
        <v>539.63748606275431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10.343239954428791</v>
      </c>
      <c r="FR38" s="21">
        <f>EXP(-LN(2)/25)*FR37+(1-EXP(-LN(2)/25))/(LN(2)/25)*Calculateur!FM38*Calculateur!FO38*VLOOKUP('Données projet'!$B$16,Paramètres!$A$1:$I$89,3,0)*0.475*44/12</f>
        <v>33.742026300004433</v>
      </c>
      <c r="FS38" s="21">
        <f>EXP(-LN(2)/2)*FS37+(1-EXP(-LN(2)/2))/(LN(2)/2)*FM38*FP38*VLOOKUP('Données projet'!$B$16,Paramètres!$A$1:$I$89,3,0)*0.475*44/12</f>
        <v>6.4473804249609072</v>
      </c>
      <c r="FT38" s="22">
        <f t="shared" si="24"/>
        <v>50.532646679394126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21.4</v>
      </c>
      <c r="FZ38" s="12">
        <f>IF('Données projet'!$A$244&gt;35,FZ37+FY38-GH37,IF(A38&lt;'Données projet'!$A$244,$FW$205^A38,IF(A38='Données projet'!$A$244,'Données projet'!$B$244,FZ37+FY38-GH37)))</f>
        <v>327.99999999999983</v>
      </c>
      <c r="GA38" s="17">
        <f>FZ38*VLOOKUP('Données projet'!$B$17,Paramètres!$A$1:$I$89,3,0)*VLOOKUP('Données projet'!$B$17,Paramètres!$A$1:$I$89,5,0)</f>
        <v>196.14399999999992</v>
      </c>
      <c r="GB38" s="13">
        <f t="shared" si="49"/>
        <v>48.895777841838452</v>
      </c>
      <c r="GC38" s="20">
        <f t="shared" si="25"/>
        <v>426.77761307453511</v>
      </c>
      <c r="GD38" s="59">
        <f t="shared" si="26"/>
        <v>670.42814579910964</v>
      </c>
      <c r="GE38" s="59">
        <f ca="1">AVERAGE(OFFSET($GD$3,0,0,'Données projet'!$E$17+1,1))-AVERAGE(OFFSET($H$3,0,0,'Données projet'!$E$17+1,1))</f>
        <v>495.6641415122013</v>
      </c>
      <c r="GF38" s="59">
        <f t="shared" si="50"/>
        <v>488.90534169400757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3.6212273497957872</v>
      </c>
      <c r="GM38" s="21">
        <f>EXP(-LN(2)/25)*GM37+(1-EXP(-LN(2)/25))/(LN(2)/25)*Calculateur!GH38*Calculateur!GJ38*VLOOKUP('Données projet'!$B$17,Paramètres!$A$1:$I$89,3,0)*0.475*44/12</f>
        <v>22.638748114065869</v>
      </c>
      <c r="GN38" s="21">
        <f>EXP(-LN(2)/2)*GN37+(1-EXP(-LN(2)/2))/(LN(2)/2)*GH38*GK38*VLOOKUP('Données projet'!$B$17,Paramètres!$A$1:$I$89,3,0)*0.475*44/12</f>
        <v>6.1446400880011334</v>
      </c>
      <c r="GO38" s="21">
        <f t="shared" si="27"/>
        <v>32.40461555186279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21.4</v>
      </c>
      <c r="GU38" s="12">
        <f>IF('Données projet'!$A$270&gt;35,GU37+GT38-HC37,IF(A38&lt;'Données projet'!$A$270,$GR$205^A38,IF(A38='Données projet'!$A$270,'Données projet'!$B$270,GU37+GT38-HC37)))</f>
        <v>327.99999999999983</v>
      </c>
      <c r="GV38" s="17">
        <f>GU38*VLOOKUP('Données projet'!$B$18,Paramètres!$A$1:$I$89,3,0)*VLOOKUP('Données projet'!$B$18,Paramètres!$A$1:$I$89,5,0)</f>
        <v>196.14399999999992</v>
      </c>
      <c r="GW38" s="13">
        <f t="shared" si="51"/>
        <v>48.895777841838452</v>
      </c>
      <c r="GX38" s="20">
        <f t="shared" si="28"/>
        <v>426.77761307453511</v>
      </c>
      <c r="GY38" s="59">
        <f t="shared" si="29"/>
        <v>670.42814579910964</v>
      </c>
      <c r="GZ38" s="59">
        <f ca="1">AVERAGE(OFFSET($GY$3,0,0,'Données projet'!$E$18+1,1))-AVERAGE(OFFSET($H$3,0,0,'Données projet'!$E$18+1,1))</f>
        <v>-18.333333333333343</v>
      </c>
      <c r="HA38" s="59">
        <f t="shared" si="52"/>
        <v>-18.333333333333343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3.6212273497957872</v>
      </c>
      <c r="HH38" s="21">
        <f>EXP(-LN(2)/25)*HH37+(1-EXP(-LN(2)/25))/(LN(2)/25)*Calculateur!HC38*Calculateur!HE38*VLOOKUP('Données projet'!$B$18,Paramètres!$A$1:$I$89,3,0)*0.475*44/12</f>
        <v>22.638748114065869</v>
      </c>
      <c r="HI38" s="21">
        <f>EXP(-LN(2)/2)*HI37+(1-EXP(-LN(2)/2))/(LN(2)/2)*HC38*HF38*VLOOKUP('Données projet'!$B$18,Paramètres!$A$1:$I$89,3,0)*0.475*44/12</f>
        <v>6.1446400880011334</v>
      </c>
      <c r="HJ38" s="22">
        <f t="shared" si="30"/>
        <v>32.40461555186279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10.000000000000004</v>
      </c>
      <c r="N39" s="13">
        <f>IF('Données projet'!$A$36&gt;35,N38+M39-V38,IF(A39&lt;'Données projet'!$A$36,$K$205^A39,IF(A39='Données projet'!$A$36,'Données projet'!$B$36,N38+M39-V38)))</f>
        <v>251.59999999999988</v>
      </c>
      <c r="O39" s="13">
        <f>N39*VLOOKUP('Données projet'!$B$9,Paramètres!$A$1:$I$89,3,0)*VLOOKUP('Données projet'!$B$9,Paramètres!$A$1:$I$89,5,0)</f>
        <v>117.74879999999995</v>
      </c>
      <c r="P39" s="13">
        <f t="shared" si="33"/>
        <v>31.149366548366</v>
      </c>
      <c r="Q39" s="20">
        <f t="shared" si="53"/>
        <v>259.33097340507067</v>
      </c>
      <c r="R39" s="59">
        <f t="shared" si="0"/>
        <v>503.84339164610509</v>
      </c>
      <c r="S39" s="59">
        <f ca="1">AVERAGE(OFFSET($R$3,0,0,'Données projet'!$E$9+1,1))-AVERAGE(OFFSET($H$3,0,0,'Données projet'!$E$9+1,1))</f>
        <v>376.11581547534814</v>
      </c>
      <c r="T39" s="59">
        <f t="shared" si="34"/>
        <v>300.91675649863294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2.7833924065534239</v>
      </c>
      <c r="AA39" s="21">
        <f>EXP(-LN(2)/25)*AA38+(1-EXP(-LN(2)/25))/(LN(2)/25)*Calculateur!V39*Calculateur!X39*VLOOKUP('Données projet'!$B$9,Paramètres!$A$1:$I$89,3,0)*0.475*44/12</f>
        <v>6.6515776181746933</v>
      </c>
      <c r="AB39" s="21">
        <f>EXP(-LN(2)/2)*AB38+(1-EXP(-LN(2)/2))/(LN(2)/2)*V39*Y39*VLOOKUP('Données projet'!$B$9,Paramètres!$A$1:$I$89,3,0)*0.475*44/12</f>
        <v>1.229022060036999</v>
      </c>
      <c r="AC39" s="22">
        <f t="shared" si="3"/>
        <v>10.663992084765116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143.86320000000001</v>
      </c>
      <c r="AK39" s="13">
        <f t="shared" si="35"/>
        <v>37.180603445028773</v>
      </c>
      <c r="AL39" s="20">
        <f t="shared" si="4"/>
        <v>315.31795766675845</v>
      </c>
      <c r="AM39" s="59">
        <f t="shared" si="5"/>
        <v>559.83037590779281</v>
      </c>
      <c r="AN39" s="59">
        <f ca="1">AVERAGE(OFFSET($AM$3,0,0,'Données projet'!$E$10+1,1))-AVERAGE(OFFSET($H$3,0,0,'Données projet'!$E$10+1,1))</f>
        <v>505.38595282220405</v>
      </c>
      <c r="AO39" s="59">
        <f t="shared" si="36"/>
        <v>351.72130415456365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2.1387057782007295</v>
      </c>
      <c r="AV39" s="21">
        <f>EXP(-LN(2)/25)*AV38+(1-EXP(-LN(2)/25))/(LN(2)/25)*Calculateur!AQ39*Calculateur!AS39*VLOOKUP('Données projet'!$B$10,Paramètres!$A$1:$I$89,3,0)*0.475*44/12</f>
        <v>9.5536735908692965</v>
      </c>
      <c r="AW39" s="21">
        <f>EXP(-LN(2)/2)*AW38+(1-EXP(-LN(2)/2))/(LN(2)/2)*AQ39*AT39*VLOOKUP('Données projet'!$B$10,Paramètres!$A$1:$I$89,3,0)*0.475*44/12</f>
        <v>2.6941670967633229</v>
      </c>
      <c r="AX39" s="21">
        <f t="shared" si="6"/>
        <v>14.386546465833348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170.73575999999997</v>
      </c>
      <c r="BF39" s="13">
        <f t="shared" si="37"/>
        <v>43.254767908658785</v>
      </c>
      <c r="BG39" s="20">
        <f t="shared" si="7"/>
        <v>372.70016944091395</v>
      </c>
      <c r="BH39" s="59">
        <f t="shared" si="8"/>
        <v>617.21258768194843</v>
      </c>
      <c r="BI39" s="59">
        <f ca="1">AVERAGE(OFFSET($BH$3,0,0,'Données projet'!$E$11+1,1))-AVERAGE(OFFSET($H$3,0,0,'Données projet'!$E$11+1,1))</f>
        <v>394.14657090341535</v>
      </c>
      <c r="BJ39" s="59">
        <f t="shared" si="38"/>
        <v>424.06445894109982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2.8974146544088684</v>
      </c>
      <c r="BQ39" s="21">
        <f>EXP(-LN(2)/25)*BQ38+(1-EXP(-LN(2)/25))/(LN(2)/25)*Calculateur!BL39*Calculateur!BN39*VLOOKUP('Données projet'!$B$11,Paramètres!$A$1:$I$89,3,0)*0.475*44/12</f>
        <v>17.374877418763198</v>
      </c>
      <c r="BR39" s="21">
        <f>EXP(-LN(2)/2)*BR38+(1-EXP(-LN(2)/2))/(LN(2)/2)*BL39*BO39*VLOOKUP('Données projet'!$B$11,Paramètres!$A$1:$I$89,3,0)*0.475*44/12</f>
        <v>3.0048792815946608</v>
      </c>
      <c r="BS39" s="22">
        <f t="shared" si="9"/>
        <v>23.277171354766729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15.7</v>
      </c>
      <c r="BY39" s="12">
        <f>IF('Données projet'!$A$114&gt;35,BY38+BX39-CG38,IF(A39&lt;'Données projet'!$A$114,$BV$205^A39,IF(A39='Données projet'!$A$114,'Données projet'!$B$114,BY38+BX39-CG38)))</f>
        <v>293.19999999999993</v>
      </c>
      <c r="BZ39" s="13">
        <f>BY39*VLOOKUP('Données projet'!$B$12,Paramètres!$A$1:$I$89,3,0)*VLOOKUP('Données projet'!$B$12,Paramètres!$A$1:$I$89,5,0)</f>
        <v>160.08719999999997</v>
      </c>
      <c r="CA39" s="13">
        <f t="shared" si="39"/>
        <v>40.862182986370868</v>
      </c>
      <c r="CB39" s="20">
        <f t="shared" si="10"/>
        <v>349.98684203459584</v>
      </c>
      <c r="CC39" s="59">
        <f t="shared" si="11"/>
        <v>594.49926027563026</v>
      </c>
      <c r="CD39" s="59">
        <f ca="1">AVERAGE(OFFSET($CC$3,0,0,'Données projet'!$E$12+1,1))-AVERAGE(OFFSET($H$3,0,0,'Données projet'!$E$12+1,1))</f>
        <v>382.09004346384319</v>
      </c>
      <c r="CE39" s="59">
        <f t="shared" si="40"/>
        <v>410.18893995284986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7.563506400854223</v>
      </c>
      <c r="CL39" s="21">
        <f>EXP(-LN(2)/25)*CL38+(1-EXP(-LN(2)/25))/(LN(2)/25)*Calculateur!CG39*Calculateur!CI39*VLOOKUP('Données projet'!$B$12,Paramètres!$A$1:$I$89,3,0)*0.475*44/12</f>
        <v>28.821296561172737</v>
      </c>
      <c r="CM39" s="21">
        <f>EXP(-LN(2)/2)*CM38+(1-EXP(-LN(2)/2))/(LN(2)/2)*CG39*CJ39*VLOOKUP('Données projet'!$B$12,Paramètres!$A$1:$I$89,3,0)*0.475*44/12</f>
        <v>3.1478032643582812</v>
      </c>
      <c r="CN39" s="22">
        <f t="shared" si="12"/>
        <v>39.532606226385241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11.5</v>
      </c>
      <c r="CT39" s="12">
        <f>IF('Données projet'!$A$140&gt;35,CT38+CS39-DB38,IF(A39&lt;'Données projet'!$A$140,$CQ$205^A39,IF(A39='Données projet'!$A$140,'Données projet'!$B$140,CT38+CS39-DB38)))</f>
        <v>209.00000000000006</v>
      </c>
      <c r="CU39" s="17">
        <f>CT39*VLOOKUP('Données projet'!$B$13,Paramètres!$A$1:$I$89,3,0)*VLOOKUP('Données projet'!$B$13,Paramètres!$A$1:$I$89,5,0)</f>
        <v>182.58240000000009</v>
      </c>
      <c r="CV39" s="13">
        <f t="shared" si="41"/>
        <v>45.896245406460288</v>
      </c>
      <c r="CW39" s="20">
        <f t="shared" si="13"/>
        <v>397.93364074958509</v>
      </c>
      <c r="CX39" s="59">
        <f t="shared" si="14"/>
        <v>642.44605899061958</v>
      </c>
      <c r="CY39" s="59">
        <f ca="1">AVERAGE(OFFSET($CX$3,0,0,'Données projet'!$E$13+1,1))-AVERAGE(OFFSET($H$3,0,0,'Données projet'!$E$13+1,1))</f>
        <v>363.02374534486341</v>
      </c>
      <c r="CZ39" s="59">
        <f t="shared" si="42"/>
        <v>489.00477393029598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6.4898658097125592</v>
      </c>
      <c r="DG39" s="21">
        <f>EXP(-LN(2)/25)*DG38+(1-EXP(-LN(2)/25))/(LN(2)/25)*Calculateur!DB39*Calculateur!DD39*VLOOKUP('Données projet'!$B$13,Paramètres!$A$1:$I$89,3,0)*0.475*44/12</f>
        <v>16.39504559745437</v>
      </c>
      <c r="DH39" s="21">
        <f>EXP(-LN(2)/2)*DH38+(1-EXP(-LN(2)/2))/(LN(2)/2)*DB39*DE39*VLOOKUP('Données projet'!$B$13,Paramètres!$A$1:$I$89,3,0)*0.475*44/12</f>
        <v>3.6643674016452672</v>
      </c>
      <c r="DI39" s="22">
        <f t="shared" si="15"/>
        <v>26.549278808812197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>
        <f>DO39*VLOOKUP('Données projet'!$B$14,Paramètres!$A$1:$I$89,3,0)*VLOOKUP('Données projet'!$B$14,Paramètres!$A$1:$I$89,5,0)</f>
        <v>157.34471999999997</v>
      </c>
      <c r="DQ39" s="13">
        <f t="shared" si="43"/>
        <v>40.243027528788531</v>
      </c>
      <c r="DR39" s="20">
        <f t="shared" si="16"/>
        <v>344.13199361263992</v>
      </c>
      <c r="DS39" s="59">
        <f t="shared" si="17"/>
        <v>588.64441185367434</v>
      </c>
      <c r="DT39" s="59">
        <f ca="1">AVERAGE(OFFSET($DS$3,0,0,'Données projet'!$E$14+1,1))-AVERAGE(OFFSET($H$3,0,0,'Données projet'!$E$14+1,1))</f>
        <v>368.03281986807173</v>
      </c>
      <c r="DU39" s="59">
        <f t="shared" si="44"/>
        <v>395.83504504492248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2.1663614563671185</v>
      </c>
      <c r="EB39" s="21">
        <f>EXP(-LN(2)/25)*EB38+(1-EXP(-LN(2)/25))/(LN(2)/25)*Calculateur!DW39*Calculateur!DY39*VLOOKUP('Données projet'!$B$14,Paramètres!$A$1:$I$89,3,0)*0.475*44/12</f>
        <v>12.990983079289833</v>
      </c>
      <c r="EC39" s="21">
        <f>EXP(-LN(2)/2)*EC38+(1-EXP(-LN(2)/2))/(LN(2)/2)*DW39*DZ39*VLOOKUP('Données projet'!$B$14,Paramètres!$A$1:$I$89,3,0)*0.475*44/12</f>
        <v>2.7692024751950806</v>
      </c>
      <c r="ED39" s="22">
        <f t="shared" si="18"/>
        <v>17.926547010852033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</v>
      </c>
      <c r="EJ39" s="12">
        <f>IF('Données projet'!$A$192&gt;35,EJ38+EI39-ER38,IF(A39&lt;'Données projet'!$A$192,$EG$205^A39,IF(A39='Données projet'!$A$192,'Données projet'!$B$192,EJ38+EI39-ER38)))</f>
        <v>174.99999999999994</v>
      </c>
      <c r="EK39" s="17">
        <f>EJ39*VLOOKUP('Données projet'!$B$15,Paramètres!$A$1:$I$89,3,0)*VLOOKUP('Données projet'!$B$15,Paramètres!$A$1:$I$89,5,0)</f>
        <v>104.64999999999996</v>
      </c>
      <c r="EL39" s="13">
        <f t="shared" si="45"/>
        <v>28.066848529735861</v>
      </c>
      <c r="EM39" s="20">
        <f t="shared" si="19"/>
        <v>231.14851118928985</v>
      </c>
      <c r="EN39" s="59">
        <f t="shared" si="20"/>
        <v>475.66092943032425</v>
      </c>
      <c r="EO39" s="59">
        <f ca="1">AVERAGE(OFFSET($EN$3,0,0,'Données projet'!$E$15+1,1))-AVERAGE(OFFSET($H$3,0,0,'Données projet'!$E$15+1,1))</f>
        <v>225.2264820414552</v>
      </c>
      <c r="EP39" s="59">
        <f t="shared" si="46"/>
        <v>249.91838548328681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1.9644393216857026</v>
      </c>
      <c r="EW39" s="21">
        <f>EXP(-LN(2)/25)*EW38+(1-EXP(-LN(2)/25))/(LN(2)/25)*Calculateur!ER39*Calculateur!ET39*VLOOKUP('Données projet'!$B$15,Paramètres!$A$1:$I$89,3,0)*0.475*44/12</f>
        <v>7.3290795832782036</v>
      </c>
      <c r="EX39" s="21">
        <f>EXP(-LN(2)/2)*EX38+(1-EXP(-LN(2)/2))/(LN(2)/2)*ER39*EU39*VLOOKUP('Données projet'!$B$15,Paramètres!$A$1:$I$89,3,0)*0.475*44/12</f>
        <v>0.50569032633461752</v>
      </c>
      <c r="EY39" s="22">
        <f t="shared" si="21"/>
        <v>9.7992092312985246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26.8</v>
      </c>
      <c r="FE39" s="12">
        <f>IF('Données projet'!$A$218&gt;35,FE38+FD39-FM38,IF(A39&lt;'Données projet'!$A$218,$FB$205^A39,IF(A39='Données projet'!$A$218,'Données projet'!$B$218,FE38+FD39-FM38)))</f>
        <v>419.80000000000007</v>
      </c>
      <c r="FF39" s="17">
        <f>FE39*VLOOKUP('Données projet'!$B$16,Paramètres!$A$1:$I$89,3,0)*VLOOKUP('Données projet'!$B$16,Paramètres!$A$1:$I$89,5,0)</f>
        <v>234.66820000000007</v>
      </c>
      <c r="FG39" s="13">
        <f t="shared" si="47"/>
        <v>57.290872093206247</v>
      </c>
      <c r="FH39" s="20">
        <f t="shared" si="22"/>
        <v>508.4953838956676</v>
      </c>
      <c r="FI39" s="59">
        <f t="shared" si="23"/>
        <v>753.00780213670203</v>
      </c>
      <c r="FJ39" s="59">
        <f ca="1">AVERAGE(OFFSET($FI$3,0,0,'Données projet'!$E$16+1,1))-AVERAGE(OFFSET($H$3,0,0,'Données projet'!$E$16+1,1))</f>
        <v>549.85684198202534</v>
      </c>
      <c r="FK39" s="59">
        <f t="shared" si="48"/>
        <v>539.63748606275431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10.140415327675877</v>
      </c>
      <c r="FR39" s="21">
        <f>EXP(-LN(2)/25)*FR38+(1-EXP(-LN(2)/25))/(LN(2)/25)*Calculateur!FM39*Calculateur!FO39*VLOOKUP('Données projet'!$B$16,Paramètres!$A$1:$I$89,3,0)*0.475*44/12</f>
        <v>32.819348816414767</v>
      </c>
      <c r="FS39" s="21">
        <f>EXP(-LN(2)/2)*FS38+(1-EXP(-LN(2)/2))/(LN(2)/2)*FM39*FP39*VLOOKUP('Données projet'!$B$16,Paramètres!$A$1:$I$89,3,0)*0.475*44/12</f>
        <v>4.558986419379262</v>
      </c>
      <c r="FT39" s="22">
        <f t="shared" si="24"/>
        <v>47.518750563469901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21.4</v>
      </c>
      <c r="FZ39" s="12">
        <f>IF('Données projet'!$A$244&gt;35,FZ38+FY39-GH38,IF(A39&lt;'Données projet'!$A$244,$FW$205^A39,IF(A39='Données projet'!$A$244,'Données projet'!$B$244,FZ38+FY39-GH38)))</f>
        <v>349.39999999999981</v>
      </c>
      <c r="GA39" s="17">
        <f>FZ39*VLOOKUP('Données projet'!$B$17,Paramètres!$A$1:$I$89,3,0)*VLOOKUP('Données projet'!$B$17,Paramètres!$A$1:$I$89,5,0)</f>
        <v>208.9411999999999</v>
      </c>
      <c r="GB39" s="13">
        <f t="shared" si="49"/>
        <v>51.704143237301885</v>
      </c>
      <c r="GC39" s="20">
        <f t="shared" si="25"/>
        <v>453.95730613830068</v>
      </c>
      <c r="GD39" s="59">
        <f t="shared" si="26"/>
        <v>698.46972437933505</v>
      </c>
      <c r="GE39" s="59">
        <f ca="1">AVERAGE(OFFSET($GD$3,0,0,'Données projet'!$E$17+1,1))-AVERAGE(OFFSET($H$3,0,0,'Données projet'!$E$17+1,1))</f>
        <v>495.6641415122013</v>
      </c>
      <c r="GF39" s="59">
        <f t="shared" si="50"/>
        <v>488.90534169400757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3.5502172901968811</v>
      </c>
      <c r="GM39" s="21">
        <f>EXP(-LN(2)/25)*GM38+(1-EXP(-LN(2)/25))/(LN(2)/25)*Calculateur!GH39*Calculateur!GJ39*VLOOKUP('Données projet'!$B$17,Paramètres!$A$1:$I$89,3,0)*0.475*44/12</f>
        <v>22.019690356366716</v>
      </c>
      <c r="GN39" s="21">
        <f>EXP(-LN(2)/2)*GN38+(1-EXP(-LN(2)/2))/(LN(2)/2)*GH39*GK39*VLOOKUP('Données projet'!$B$17,Paramètres!$A$1:$I$89,3,0)*0.475*44/12</f>
        <v>4.3449166741763054</v>
      </c>
      <c r="GO39" s="21">
        <f t="shared" si="27"/>
        <v>29.914824320739903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21.4</v>
      </c>
      <c r="GU39" s="12">
        <f>IF('Données projet'!$A$270&gt;35,GU38+GT39-HC38,IF(A39&lt;'Données projet'!$A$270,$GR$205^A39,IF(A39='Données projet'!$A$270,'Données projet'!$B$270,GU38+GT39-HC38)))</f>
        <v>349.39999999999981</v>
      </c>
      <c r="GV39" s="17">
        <f>GU39*VLOOKUP('Données projet'!$B$18,Paramètres!$A$1:$I$89,3,0)*VLOOKUP('Données projet'!$B$18,Paramètres!$A$1:$I$89,5,0)</f>
        <v>208.9411999999999</v>
      </c>
      <c r="GW39" s="13">
        <f t="shared" si="51"/>
        <v>51.704143237301885</v>
      </c>
      <c r="GX39" s="20">
        <f t="shared" si="28"/>
        <v>453.95730613830068</v>
      </c>
      <c r="GY39" s="59">
        <f t="shared" si="29"/>
        <v>698.46972437933505</v>
      </c>
      <c r="GZ39" s="59">
        <f ca="1">AVERAGE(OFFSET($GY$3,0,0,'Données projet'!$E$18+1,1))-AVERAGE(OFFSET($H$3,0,0,'Données projet'!$E$18+1,1))</f>
        <v>-18.333333333333343</v>
      </c>
      <c r="HA39" s="59">
        <f t="shared" si="52"/>
        <v>-18.333333333333343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3.5502172901968811</v>
      </c>
      <c r="HH39" s="21">
        <f>EXP(-LN(2)/25)*HH38+(1-EXP(-LN(2)/25))/(LN(2)/25)*Calculateur!HC39*Calculateur!HE39*VLOOKUP('Données projet'!$B$18,Paramètres!$A$1:$I$89,3,0)*0.475*44/12</f>
        <v>22.019690356366716</v>
      </c>
      <c r="HI39" s="21">
        <f>EXP(-LN(2)/2)*HI38+(1-EXP(-LN(2)/2))/(LN(2)/2)*HC39*HF39*VLOOKUP('Données projet'!$B$18,Paramètres!$A$1:$I$89,3,0)*0.475*44/12</f>
        <v>4.3449166741763054</v>
      </c>
      <c r="HJ39" s="22">
        <f t="shared" si="30"/>
        <v>29.914824320739903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10.000000000000004</v>
      </c>
      <c r="N40" s="13">
        <f>IF('Données projet'!$A$36&gt;35,N39+M40-V39,IF(A40&lt;'Données projet'!$A$36,$K$205^A40,IF(A40='Données projet'!$A$36,'Données projet'!$B$36,N39+M40-V39)))</f>
        <v>261.59999999999991</v>
      </c>
      <c r="O40" s="13">
        <f>N40*VLOOKUP('Données projet'!$B$9,Paramètres!$A$1:$I$89,3,0)*VLOOKUP('Données projet'!$B$9,Paramètres!$A$1:$I$89,5,0)</f>
        <v>122.42879999999995</v>
      </c>
      <c r="P40" s="13">
        <f t="shared" si="33"/>
        <v>32.240814688958388</v>
      </c>
      <c r="Q40" s="20">
        <f t="shared" si="53"/>
        <v>269.38291224993577</v>
      </c>
      <c r="R40" s="59">
        <f t="shared" si="0"/>
        <v>514.7422642206069</v>
      </c>
      <c r="S40" s="59">
        <f ca="1">AVERAGE(OFFSET($R$3,0,0,'Données projet'!$E$9+1,1))-AVERAGE(OFFSET($H$3,0,0,'Données projet'!$E$9+1,1))</f>
        <v>376.11581547534814</v>
      </c>
      <c r="T40" s="59">
        <f t="shared" si="34"/>
        <v>300.91675649863294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2.7288117791626449</v>
      </c>
      <c r="AA40" s="21">
        <f>EXP(-LN(2)/25)*AA39+(1-EXP(-LN(2)/25))/(LN(2)/25)*Calculateur!V40*Calculateur!X40*VLOOKUP('Données projet'!$B$9,Paramètres!$A$1:$I$89,3,0)*0.475*44/12</f>
        <v>6.4696898784144414</v>
      </c>
      <c r="AB40" s="21">
        <f>EXP(-LN(2)/2)*AB39+(1-EXP(-LN(2)/2))/(LN(2)/2)*V40*Y40*VLOOKUP('Données projet'!$B$9,Paramètres!$A$1:$I$89,3,0)*0.475*44/12</f>
        <v>0.86904983288002213</v>
      </c>
      <c r="AC40" s="22">
        <f t="shared" si="3"/>
        <v>10.067551490457108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153.816</v>
      </c>
      <c r="AK40" s="13">
        <f t="shared" si="35"/>
        <v>39.444513325737063</v>
      </c>
      <c r="AL40" s="20">
        <f t="shared" si="4"/>
        <v>336.59539404232538</v>
      </c>
      <c r="AM40" s="59">
        <f t="shared" si="5"/>
        <v>581.95474601299645</v>
      </c>
      <c r="AN40" s="59">
        <f ca="1">AVERAGE(OFFSET($AM$3,0,0,'Données projet'!$E$10+1,1))-AVERAGE(OFFSET($H$3,0,0,'Données projet'!$E$10+1,1))</f>
        <v>505.38595282220405</v>
      </c>
      <c r="AO40" s="59">
        <f t="shared" si="36"/>
        <v>351.72130415456365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2.096767062371931</v>
      </c>
      <c r="AV40" s="21">
        <f>EXP(-LN(2)/25)*AV39+(1-EXP(-LN(2)/25))/(LN(2)/25)*Calculateur!AQ40*Calculateur!AS40*VLOOKUP('Données projet'!$B$10,Paramètres!$A$1:$I$89,3,0)*0.475*44/12</f>
        <v>9.2924278841211159</v>
      </c>
      <c r="AW40" s="21">
        <f>EXP(-LN(2)/2)*AW39+(1-EXP(-LN(2)/2))/(LN(2)/2)*AQ40*AT40*VLOOKUP('Données projet'!$B$10,Paramètres!$A$1:$I$89,3,0)*0.475*44/12</f>
        <v>1.9050638237710191</v>
      </c>
      <c r="AX40" s="21">
        <f t="shared" si="6"/>
        <v>13.294258770264067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180.36251999999996</v>
      </c>
      <c r="BF40" s="13">
        <f t="shared" si="37"/>
        <v>45.402830740762262</v>
      </c>
      <c r="BG40" s="20">
        <f t="shared" si="7"/>
        <v>393.20798587349418</v>
      </c>
      <c r="BH40" s="59">
        <f t="shared" si="8"/>
        <v>638.56733784416531</v>
      </c>
      <c r="BI40" s="59">
        <f ca="1">AVERAGE(OFFSET($BH$3,0,0,'Données projet'!$E$11+1,1))-AVERAGE(OFFSET($H$3,0,0,'Données projet'!$E$11+1,1))</f>
        <v>394.14657090341535</v>
      </c>
      <c r="BJ40" s="59">
        <f t="shared" si="38"/>
        <v>424.06445894109982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2.8405981202843482</v>
      </c>
      <c r="BQ40" s="21">
        <f>EXP(-LN(2)/25)*BQ39+(1-EXP(-LN(2)/25))/(LN(2)/25)*Calculateur!BL40*Calculateur!BN40*VLOOKUP('Données projet'!$B$11,Paramètres!$A$1:$I$89,3,0)*0.475*44/12</f>
        <v>16.899760482042026</v>
      </c>
      <c r="BR40" s="21">
        <f>EXP(-LN(2)/2)*BR39+(1-EXP(-LN(2)/2))/(LN(2)/2)*BL40*BO40*VLOOKUP('Données projet'!$B$11,Paramètres!$A$1:$I$89,3,0)*0.475*44/12</f>
        <v>2.1247705166625459</v>
      </c>
      <c r="BS40" s="22">
        <f t="shared" si="9"/>
        <v>21.865129118988921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15.7</v>
      </c>
      <c r="BY40" s="12">
        <f>IF('Données projet'!$A$114&gt;35,BY39+BX40-CG39,IF(A40&lt;'Données projet'!$A$114,$BV$205^A40,IF(A40='Données projet'!$A$114,'Données projet'!$B$114,BY39+BX40-CG39)))</f>
        <v>308.89999999999992</v>
      </c>
      <c r="BZ40" s="13">
        <f>BY40*VLOOKUP('Données projet'!$B$12,Paramètres!$A$1:$I$89,3,0)*VLOOKUP('Données projet'!$B$12,Paramètres!$A$1:$I$89,5,0)</f>
        <v>168.65939999999998</v>
      </c>
      <c r="CA40" s="13">
        <f t="shared" si="39"/>
        <v>42.789635572993348</v>
      </c>
      <c r="CB40" s="20">
        <f t="shared" si="10"/>
        <v>368.27373695629672</v>
      </c>
      <c r="CC40" s="59">
        <f t="shared" si="11"/>
        <v>613.63308892696784</v>
      </c>
      <c r="CD40" s="59">
        <f ca="1">AVERAGE(OFFSET($CC$3,0,0,'Données projet'!$E$12+1,1))-AVERAGE(OFFSET($H$3,0,0,'Données projet'!$E$12+1,1))</f>
        <v>382.09004346384319</v>
      </c>
      <c r="CE40" s="59">
        <f t="shared" si="40"/>
        <v>410.18893995284986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7.4151906536168521</v>
      </c>
      <c r="CL40" s="21">
        <f>EXP(-LN(2)/25)*CL39+(1-EXP(-LN(2)/25))/(LN(2)/25)*Calculateur!CG40*Calculateur!CI40*VLOOKUP('Données projet'!$B$12,Paramètres!$A$1:$I$89,3,0)*0.475*44/12</f>
        <v>28.033176691061353</v>
      </c>
      <c r="CM40" s="21">
        <f>EXP(-LN(2)/2)*CM39+(1-EXP(-LN(2)/2))/(LN(2)/2)*CG40*CJ40*VLOOKUP('Données projet'!$B$12,Paramètres!$A$1:$I$89,3,0)*0.475*44/12</f>
        <v>2.2258330340688914</v>
      </c>
      <c r="CN40" s="22">
        <f t="shared" si="12"/>
        <v>37.674200378747095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220.50000000000006</v>
      </c>
      <c r="CU40" s="17">
        <f>CT40*VLOOKUP('Données projet'!$B$13,Paramètres!$A$1:$I$89,3,0)*VLOOKUP('Données projet'!$B$13,Paramètres!$A$1:$I$89,5,0)</f>
        <v>192.62880000000007</v>
      </c>
      <c r="CV40" s="13">
        <f t="shared" si="41"/>
        <v>48.120677599655217</v>
      </c>
      <c r="CW40" s="20">
        <f t="shared" si="13"/>
        <v>419.30534015273292</v>
      </c>
      <c r="CX40" s="59">
        <f t="shared" si="14"/>
        <v>664.66469212340405</v>
      </c>
      <c r="CY40" s="59">
        <f ca="1">AVERAGE(OFFSET($CX$3,0,0,'Données projet'!$E$13+1,1))-AVERAGE(OFFSET($H$3,0,0,'Données projet'!$E$13+1,1))</f>
        <v>363.02374534486341</v>
      </c>
      <c r="CZ40" s="59">
        <f t="shared" si="42"/>
        <v>489.00477393029598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6.3626034996113781</v>
      </c>
      <c r="DG40" s="21">
        <f>EXP(-LN(2)/25)*DG39+(1-EXP(-LN(2)/25))/(LN(2)/25)*Calculateur!DB40*Calculateur!DD40*VLOOKUP('Données projet'!$B$13,Paramètres!$A$1:$I$89,3,0)*0.475*44/12</f>
        <v>15.946722213414004</v>
      </c>
      <c r="DH40" s="21">
        <f>EXP(-LN(2)/2)*DH39+(1-EXP(-LN(2)/2))/(LN(2)/2)*DB40*DE40*VLOOKUP('Données projet'!$B$13,Paramètres!$A$1:$I$89,3,0)*0.475*44/12</f>
        <v>2.5910990384622981</v>
      </c>
      <c r="DI40" s="22">
        <f t="shared" si="15"/>
        <v>24.900424751487677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>
        <f>DO40*VLOOKUP('Données projet'!$B$14,Paramètres!$A$1:$I$89,3,0)*VLOOKUP('Données projet'!$B$14,Paramètres!$A$1:$I$89,5,0)</f>
        <v>166.21643999999998</v>
      </c>
      <c r="DQ40" s="13">
        <f t="shared" si="43"/>
        <v>42.241525171139848</v>
      </c>
      <c r="DR40" s="20">
        <f t="shared" si="16"/>
        <v>363.06428933973513</v>
      </c>
      <c r="DS40" s="59">
        <f t="shared" si="17"/>
        <v>608.4236413104062</v>
      </c>
      <c r="DT40" s="59">
        <f ca="1">AVERAGE(OFFSET($DS$3,0,0,'Données projet'!$E$14+1,1))-AVERAGE(OFFSET($H$3,0,0,'Données projet'!$E$14+1,1))</f>
        <v>368.03281986807173</v>
      </c>
      <c r="DU40" s="59">
        <f t="shared" si="44"/>
        <v>395.83504504492248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2.1238804295577753</v>
      </c>
      <c r="EB40" s="21">
        <f>EXP(-LN(2)/25)*EB39+(1-EXP(-LN(2)/25))/(LN(2)/25)*Calculateur!DW40*Calculateur!DY40*VLOOKUP('Données projet'!$B$14,Paramètres!$A$1:$I$89,3,0)*0.475*44/12</f>
        <v>12.635743963820543</v>
      </c>
      <c r="EC40" s="21">
        <f>EXP(-LN(2)/2)*EC39+(1-EXP(-LN(2)/2))/(LN(2)/2)*DW40*DZ40*VLOOKUP('Données projet'!$B$14,Paramètres!$A$1:$I$89,3,0)*0.475*44/12</f>
        <v>1.9581218486890137</v>
      </c>
      <c r="ED40" s="22">
        <f t="shared" si="18"/>
        <v>16.717746242067332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</v>
      </c>
      <c r="EJ40" s="12">
        <f>IF('Données projet'!$A$192&gt;35,EJ39+EI40-ER39,IF(A40&lt;'Données projet'!$A$192,$EG$205^A40,IF(A40='Données projet'!$A$192,'Données projet'!$B$192,EJ39+EI40-ER39)))</f>
        <v>184.99999999999994</v>
      </c>
      <c r="EK40" s="17">
        <f>EJ40*VLOOKUP('Données projet'!$B$15,Paramètres!$A$1:$I$89,3,0)*VLOOKUP('Données projet'!$B$15,Paramètres!$A$1:$I$89,5,0)</f>
        <v>110.62999999999998</v>
      </c>
      <c r="EL40" s="13">
        <f t="shared" si="45"/>
        <v>29.479368114771006</v>
      </c>
      <c r="EM40" s="20">
        <f t="shared" si="19"/>
        <v>244.02381613322609</v>
      </c>
      <c r="EN40" s="59">
        <f t="shared" si="20"/>
        <v>489.38316810389722</v>
      </c>
      <c r="EO40" s="59">
        <f ca="1">AVERAGE(OFFSET($EN$3,0,0,'Données projet'!$E$15+1,1))-AVERAGE(OFFSET($H$3,0,0,'Données projet'!$E$15+1,1))</f>
        <v>225.2264820414552</v>
      </c>
      <c r="EP40" s="59">
        <f t="shared" si="46"/>
        <v>249.91838548328681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1.9259178647771207</v>
      </c>
      <c r="EW40" s="21">
        <f>EXP(-LN(2)/25)*EW39+(1-EXP(-LN(2)/25))/(LN(2)/25)*Calculateur!ER40*Calculateur!ET40*VLOOKUP('Données projet'!$B$15,Paramètres!$A$1:$I$89,3,0)*0.475*44/12</f>
        <v>7.1286655166539168</v>
      </c>
      <c r="EX40" s="21">
        <f>EXP(-LN(2)/2)*EX39+(1-EXP(-LN(2)/2))/(LN(2)/2)*ER40*EU40*VLOOKUP('Données projet'!$B$15,Paramètres!$A$1:$I$89,3,0)*0.475*44/12</f>
        <v>0.35757705893164621</v>
      </c>
      <c r="EY40" s="22">
        <f t="shared" si="21"/>
        <v>9.4121604403626833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26.8</v>
      </c>
      <c r="FE40" s="12">
        <f>IF('Données projet'!$A$218&gt;35,FE39+FD40-FM39,IF(A40&lt;'Données projet'!$A$218,$FB$205^A40,IF(A40='Données projet'!$A$218,'Données projet'!$B$218,FE39+FD40-FM39)))</f>
        <v>446.60000000000008</v>
      </c>
      <c r="FF40" s="17">
        <f>FE40*VLOOKUP('Données projet'!$B$16,Paramètres!$A$1:$I$89,3,0)*VLOOKUP('Données projet'!$B$16,Paramètres!$A$1:$I$89,5,0)</f>
        <v>249.64940000000007</v>
      </c>
      <c r="FG40" s="13">
        <f t="shared" si="47"/>
        <v>60.510859008247188</v>
      </c>
      <c r="FH40" s="20">
        <f t="shared" si="22"/>
        <v>540.19578443936393</v>
      </c>
      <c r="FI40" s="59">
        <f t="shared" si="23"/>
        <v>785.55513641003506</v>
      </c>
      <c r="FJ40" s="59">
        <f ca="1">AVERAGE(OFFSET($FI$3,0,0,'Données projet'!$E$16+1,1))-AVERAGE(OFFSET($H$3,0,0,'Données projet'!$E$16+1,1))</f>
        <v>549.85684198202534</v>
      </c>
      <c r="FK40" s="59">
        <f t="shared" si="48"/>
        <v>539.63748606275431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9.9415679681427811</v>
      </c>
      <c r="FR40" s="21">
        <f>EXP(-LN(2)/25)*FR39+(1-EXP(-LN(2)/25))/(LN(2)/25)*Calculateur!FM40*Calculateur!FO40*VLOOKUP('Données projet'!$B$16,Paramètres!$A$1:$I$89,3,0)*0.475*44/12</f>
        <v>31.921901997135361</v>
      </c>
      <c r="FS40" s="21">
        <f>EXP(-LN(2)/2)*FS39+(1-EXP(-LN(2)/2))/(LN(2)/2)*FM40*FP40*VLOOKUP('Données projet'!$B$16,Paramètres!$A$1:$I$89,3,0)*0.475*44/12</f>
        <v>3.2236902124804536</v>
      </c>
      <c r="FT40" s="22">
        <f t="shared" si="24"/>
        <v>45.087160177758598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21.4</v>
      </c>
      <c r="FZ40" s="12">
        <f>IF('Données projet'!$A$244&gt;35,FZ39+FY40-GH39,IF(A40&lt;'Données projet'!$A$244,$FW$205^A40,IF(A40='Données projet'!$A$244,'Données projet'!$B$244,FZ39+FY40-GH39)))</f>
        <v>370.79999999999978</v>
      </c>
      <c r="GA40" s="17">
        <f>FZ40*VLOOKUP('Données projet'!$B$17,Paramètres!$A$1:$I$89,3,0)*VLOOKUP('Données projet'!$B$17,Paramètres!$A$1:$I$89,5,0)</f>
        <v>221.73839999999987</v>
      </c>
      <c r="GB40" s="13">
        <f t="shared" si="49"/>
        <v>54.492545120441747</v>
      </c>
      <c r="GC40" s="20">
        <f t="shared" si="25"/>
        <v>481.10222941810247</v>
      </c>
      <c r="GD40" s="59">
        <f t="shared" si="26"/>
        <v>726.46158138877354</v>
      </c>
      <c r="GE40" s="59">
        <f ca="1">AVERAGE(OFFSET($GD$3,0,0,'Données projet'!$E$17+1,1))-AVERAGE(OFFSET($H$3,0,0,'Données projet'!$E$17+1,1))</f>
        <v>495.6641415122013</v>
      </c>
      <c r="GF40" s="59">
        <f t="shared" si="50"/>
        <v>488.90534169400757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3.4805996945548499</v>
      </c>
      <c r="GM40" s="21">
        <f>EXP(-LN(2)/25)*GM39+(1-EXP(-LN(2)/25))/(LN(2)/25)*Calculateur!GH40*Calculateur!GJ40*VLOOKUP('Données projet'!$B$17,Paramètres!$A$1:$I$89,3,0)*0.475*44/12</f>
        <v>21.41756076560668</v>
      </c>
      <c r="GN40" s="21">
        <f>EXP(-LN(2)/2)*GN39+(1-EXP(-LN(2)/2))/(LN(2)/2)*GH40*GK40*VLOOKUP('Données projet'!$B$17,Paramètres!$A$1:$I$89,3,0)*0.475*44/12</f>
        <v>3.0723200440005667</v>
      </c>
      <c r="GO40" s="21">
        <f t="shared" si="27"/>
        <v>27.970480504162097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21.4</v>
      </c>
      <c r="GU40" s="12">
        <f>IF('Données projet'!$A$270&gt;35,GU39+GT40-HC39,IF(A40&lt;'Données projet'!$A$270,$GR$205^A40,IF(A40='Données projet'!$A$270,'Données projet'!$B$270,GU39+GT40-HC39)))</f>
        <v>370.79999999999978</v>
      </c>
      <c r="GV40" s="17">
        <f>GU40*VLOOKUP('Données projet'!$B$18,Paramètres!$A$1:$I$89,3,0)*VLOOKUP('Données projet'!$B$18,Paramètres!$A$1:$I$89,5,0)</f>
        <v>221.73839999999987</v>
      </c>
      <c r="GW40" s="13">
        <f t="shared" si="51"/>
        <v>54.492545120441747</v>
      </c>
      <c r="GX40" s="20">
        <f t="shared" si="28"/>
        <v>481.10222941810247</v>
      </c>
      <c r="GY40" s="59">
        <f t="shared" si="29"/>
        <v>726.46158138877354</v>
      </c>
      <c r="GZ40" s="59">
        <f ca="1">AVERAGE(OFFSET($GY$3,0,0,'Données projet'!$E$18+1,1))-AVERAGE(OFFSET($H$3,0,0,'Données projet'!$E$18+1,1))</f>
        <v>-18.333333333333343</v>
      </c>
      <c r="HA40" s="59">
        <f t="shared" si="52"/>
        <v>-18.333333333333343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3.4805996945548499</v>
      </c>
      <c r="HH40" s="21">
        <f>EXP(-LN(2)/25)*HH39+(1-EXP(-LN(2)/25))/(LN(2)/25)*Calculateur!HC40*Calculateur!HE40*VLOOKUP('Données projet'!$B$18,Paramètres!$A$1:$I$89,3,0)*0.475*44/12</f>
        <v>21.41756076560668</v>
      </c>
      <c r="HI40" s="21">
        <f>EXP(-LN(2)/2)*HI39+(1-EXP(-LN(2)/2))/(LN(2)/2)*HC40*HF40*VLOOKUP('Données projet'!$B$18,Paramètres!$A$1:$I$89,3,0)*0.475*44/12</f>
        <v>3.0723200440005667</v>
      </c>
      <c r="HJ40" s="22">
        <f t="shared" si="30"/>
        <v>27.970480504162097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10.000000000000004</v>
      </c>
      <c r="N41" s="13">
        <f>IF('Données projet'!$A$36&gt;35,N40+M41-V40,IF(A41&lt;'Données projet'!$A$36,$K$205^A41,IF(A41='Données projet'!$A$36,'Données projet'!$B$36,N40+M41-V40)))</f>
        <v>271.59999999999991</v>
      </c>
      <c r="O41" s="13">
        <f>N41*VLOOKUP('Données projet'!$B$9,Paramètres!$A$1:$I$89,3,0)*VLOOKUP('Données projet'!$B$9,Paramètres!$A$1:$I$89,5,0)</f>
        <v>127.10879999999996</v>
      </c>
      <c r="P41" s="13">
        <f t="shared" si="33"/>
        <v>33.32741592766736</v>
      </c>
      <c r="Q41" s="20">
        <f t="shared" si="53"/>
        <v>279.4264094073539</v>
      </c>
      <c r="R41" s="59">
        <f t="shared" si="0"/>
        <v>525.6180027009126</v>
      </c>
      <c r="S41" s="59">
        <f ca="1">AVERAGE(OFFSET($R$3,0,0,'Données projet'!$E$9+1,1))-AVERAGE(OFFSET($H$3,0,0,'Données projet'!$E$9+1,1))</f>
        <v>376.11581547534814</v>
      </c>
      <c r="T41" s="59">
        <f t="shared" si="34"/>
        <v>300.91675649863294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2.6753014445841039</v>
      </c>
      <c r="AA41" s="21">
        <f>EXP(-LN(2)/25)*AA40+(1-EXP(-LN(2)/25))/(LN(2)/25)*Calculateur!V41*Calculateur!X41*VLOOKUP('Données projet'!$B$9,Paramètres!$A$1:$I$89,3,0)*0.475*44/12</f>
        <v>6.2927758684629946</v>
      </c>
      <c r="AB41" s="21">
        <f>EXP(-LN(2)/2)*AB40+(1-EXP(-LN(2)/2))/(LN(2)/2)*V41*Y41*VLOOKUP('Données projet'!$B$9,Paramètres!$A$1:$I$89,3,0)*0.475*44/12</f>
        <v>0.61451103001849949</v>
      </c>
      <c r="AC41" s="22">
        <f t="shared" si="3"/>
        <v>9.5825883430655985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163.7688</v>
      </c>
      <c r="AK41" s="13">
        <f t="shared" si="35"/>
        <v>41.691423503509803</v>
      </c>
      <c r="AL41" s="20">
        <f t="shared" si="4"/>
        <v>357.84322260194625</v>
      </c>
      <c r="AM41" s="59">
        <f t="shared" si="5"/>
        <v>604.03481589550495</v>
      </c>
      <c r="AN41" s="59">
        <f ca="1">AVERAGE(OFFSET($AM$3,0,0,'Données projet'!$E$10+1,1))-AVERAGE(OFFSET($H$3,0,0,'Données projet'!$E$10+1,1))</f>
        <v>505.38595282220405</v>
      </c>
      <c r="AO41" s="59">
        <f t="shared" si="36"/>
        <v>351.72130415456365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2.0556507391804444</v>
      </c>
      <c r="AV41" s="21">
        <f>EXP(-LN(2)/25)*AV40+(1-EXP(-LN(2)/25))/(LN(2)/25)*Calculateur!AQ41*Calculateur!AS41*VLOOKUP('Données projet'!$B$10,Paramètres!$A$1:$I$89,3,0)*0.475*44/12</f>
        <v>9.0383259549622803</v>
      </c>
      <c r="AW41" s="21">
        <f>EXP(-LN(2)/2)*AW40+(1-EXP(-LN(2)/2))/(LN(2)/2)*AQ41*AT41*VLOOKUP('Données projet'!$B$10,Paramètres!$A$1:$I$89,3,0)*0.475*44/12</f>
        <v>1.3470835483816617</v>
      </c>
      <c r="AX41" s="21">
        <f t="shared" si="6"/>
        <v>12.441060242524387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189.98927999999998</v>
      </c>
      <c r="BF41" s="13">
        <f t="shared" si="37"/>
        <v>47.537582803650189</v>
      </c>
      <c r="BG41" s="20">
        <f t="shared" si="7"/>
        <v>413.69261938302407</v>
      </c>
      <c r="BH41" s="59">
        <f t="shared" si="8"/>
        <v>659.88421267658282</v>
      </c>
      <c r="BI41" s="59">
        <f ca="1">AVERAGE(OFFSET($BH$3,0,0,'Données projet'!$E$11+1,1))-AVERAGE(OFFSET($H$3,0,0,'Données projet'!$E$11+1,1))</f>
        <v>394.14657090341535</v>
      </c>
      <c r="BJ41" s="59">
        <f t="shared" si="38"/>
        <v>424.06445894109982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2.7848957237393459</v>
      </c>
      <c r="BQ41" s="21">
        <f>EXP(-LN(2)/25)*BQ40+(1-EXP(-LN(2)/25))/(LN(2)/25)*Calculateur!BL41*Calculateur!BN41*VLOOKUP('Données projet'!$B$11,Paramètres!$A$1:$I$89,3,0)*0.475*44/12</f>
        <v>16.437635642940808</v>
      </c>
      <c r="BR41" s="21">
        <f>EXP(-LN(2)/2)*BR40+(1-EXP(-LN(2)/2))/(LN(2)/2)*BL41*BO41*VLOOKUP('Données projet'!$B$11,Paramètres!$A$1:$I$89,3,0)*0.475*44/12</f>
        <v>1.5024396407973304</v>
      </c>
      <c r="BS41" s="22">
        <f t="shared" si="9"/>
        <v>20.724971007477485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15.7</v>
      </c>
      <c r="BY41" s="12">
        <f>IF('Données projet'!$A$114&gt;35,BY40+BX41-CG40,IF(A41&lt;'Données projet'!$A$114,$BV$205^A41,IF(A41='Données projet'!$A$114,'Données projet'!$B$114,BY40+BX41-CG40)))</f>
        <v>324.59999999999991</v>
      </c>
      <c r="BZ41" s="13">
        <f>BY41*VLOOKUP('Données projet'!$B$12,Paramètres!$A$1:$I$89,3,0)*VLOOKUP('Données projet'!$B$12,Paramètres!$A$1:$I$89,5,0)</f>
        <v>177.23159999999996</v>
      </c>
      <c r="CA41" s="13">
        <f t="shared" si="39"/>
        <v>44.70571367190955</v>
      </c>
      <c r="CB41" s="20">
        <f t="shared" si="10"/>
        <v>386.54082131190904</v>
      </c>
      <c r="CC41" s="59">
        <f t="shared" si="11"/>
        <v>632.73241460546774</v>
      </c>
      <c r="CD41" s="59">
        <f ca="1">AVERAGE(OFFSET($CC$3,0,0,'Données projet'!$E$12+1,1))-AVERAGE(OFFSET($H$3,0,0,'Données projet'!$E$12+1,1))</f>
        <v>382.09004346384319</v>
      </c>
      <c r="CE41" s="59">
        <f t="shared" si="40"/>
        <v>410.18893995284986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7.2697832877191333</v>
      </c>
      <c r="CL41" s="21">
        <f>EXP(-LN(2)/25)*CL40+(1-EXP(-LN(2)/25))/(LN(2)/25)*Calculateur!CG41*Calculateur!CI41*VLOOKUP('Données projet'!$B$12,Paramètres!$A$1:$I$89,3,0)*0.475*44/12</f>
        <v>27.26660800024359</v>
      </c>
      <c r="CM41" s="21">
        <f>EXP(-LN(2)/2)*CM40+(1-EXP(-LN(2)/2))/(LN(2)/2)*CG41*CJ41*VLOOKUP('Données projet'!$B$12,Paramètres!$A$1:$I$89,3,0)*0.475*44/12</f>
        <v>1.5739016321791408</v>
      </c>
      <c r="CN41" s="22">
        <f t="shared" si="12"/>
        <v>36.110292920141866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11.5</v>
      </c>
      <c r="CT41" s="12">
        <f>IF('Données projet'!$A$140&gt;35,CT40+CS41-DB40,IF(A41&lt;'Données projet'!$A$140,$CQ$205^A41,IF(A41='Données projet'!$A$140,'Données projet'!$B$140,CT40+CS41-DB40)))</f>
        <v>232.00000000000006</v>
      </c>
      <c r="CU41" s="17">
        <f>CT41*VLOOKUP('Données projet'!$B$13,Paramètres!$A$1:$I$89,3,0)*VLOOKUP('Données projet'!$B$13,Paramètres!$A$1:$I$89,5,0)</f>
        <v>202.67520000000007</v>
      </c>
      <c r="CV41" s="13">
        <f t="shared" si="41"/>
        <v>50.331640285313689</v>
      </c>
      <c r="CW41" s="20">
        <f t="shared" si="13"/>
        <v>440.65358016358806</v>
      </c>
      <c r="CX41" s="59">
        <f t="shared" si="14"/>
        <v>686.84517345714676</v>
      </c>
      <c r="CY41" s="59">
        <f ca="1">AVERAGE(OFFSET($CX$3,0,0,'Données projet'!$E$13+1,1))-AVERAGE(OFFSET($H$3,0,0,'Données projet'!$E$13+1,1))</f>
        <v>363.02374534486341</v>
      </c>
      <c r="CZ41" s="59">
        <f t="shared" si="42"/>
        <v>489.00477393029598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6.2378367257889362</v>
      </c>
      <c r="DG41" s="21">
        <f>EXP(-LN(2)/25)*DG40+(1-EXP(-LN(2)/25))/(LN(2)/25)*Calculateur!DB41*Calculateur!DD41*VLOOKUP('Données projet'!$B$13,Paramètres!$A$1:$I$89,3,0)*0.475*44/12</f>
        <v>15.510658255886524</v>
      </c>
      <c r="DH41" s="21">
        <f>EXP(-LN(2)/2)*DH40+(1-EXP(-LN(2)/2))/(LN(2)/2)*DB41*DE41*VLOOKUP('Données projet'!$B$13,Paramètres!$A$1:$I$89,3,0)*0.475*44/12</f>
        <v>1.832183700822634</v>
      </c>
      <c r="DI41" s="22">
        <f t="shared" si="15"/>
        <v>23.580678682498093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>
        <f>DO41*VLOOKUP('Données projet'!$B$14,Paramètres!$A$1:$I$89,3,0)*VLOOKUP('Données projet'!$B$14,Paramètres!$A$1:$I$89,5,0)</f>
        <v>175.08815999999996</v>
      </c>
      <c r="DQ41" s="13">
        <f t="shared" si="43"/>
        <v>44.227638845714424</v>
      </c>
      <c r="DR41" s="20">
        <f t="shared" si="16"/>
        <v>381.97501632295251</v>
      </c>
      <c r="DS41" s="59">
        <f t="shared" si="17"/>
        <v>628.16660961651121</v>
      </c>
      <c r="DT41" s="59">
        <f ca="1">AVERAGE(OFFSET($DS$3,0,0,'Données projet'!$E$14+1,1))-AVERAGE(OFFSET($H$3,0,0,'Données projet'!$E$14+1,1))</f>
        <v>368.03281986807173</v>
      </c>
      <c r="DU41" s="59">
        <f t="shared" si="44"/>
        <v>395.83504504492248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2.0822324297732955</v>
      </c>
      <c r="EB41" s="21">
        <f>EXP(-LN(2)/25)*EB40+(1-EXP(-LN(2)/25))/(LN(2)/25)*Calculateur!DW41*Calculateur!DY41*VLOOKUP('Données projet'!$B$14,Paramètres!$A$1:$I$89,3,0)*0.475*44/12</f>
        <v>12.290218880644975</v>
      </c>
      <c r="EC41" s="21">
        <f>EXP(-LN(2)/2)*EC40+(1-EXP(-LN(2)/2))/(LN(2)/2)*DW41*DZ41*VLOOKUP('Données projet'!$B$14,Paramètres!$A$1:$I$89,3,0)*0.475*44/12</f>
        <v>1.3846012375975405</v>
      </c>
      <c r="ED41" s="22">
        <f t="shared" si="18"/>
        <v>15.75705254801581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</v>
      </c>
      <c r="EJ41" s="12">
        <f>IF('Données projet'!$A$192&gt;35,EJ40+EI41-ER40,IF(A41&lt;'Données projet'!$A$192,$EG$205^A41,IF(A41='Données projet'!$A$192,'Données projet'!$B$192,EJ40+EI41-ER40)))</f>
        <v>194.99999999999994</v>
      </c>
      <c r="EK41" s="17">
        <f>EJ41*VLOOKUP('Données projet'!$B$15,Paramètres!$A$1:$I$89,3,0)*VLOOKUP('Données projet'!$B$15,Paramètres!$A$1:$I$89,5,0)</f>
        <v>116.60999999999997</v>
      </c>
      <c r="EL41" s="13">
        <f t="shared" si="45"/>
        <v>30.883023623410974</v>
      </c>
      <c r="EM41" s="20">
        <f t="shared" si="19"/>
        <v>256.88368281077408</v>
      </c>
      <c r="EN41" s="59">
        <f t="shared" si="20"/>
        <v>503.07527610433283</v>
      </c>
      <c r="EO41" s="59">
        <f ca="1">AVERAGE(OFFSET($EN$3,0,0,'Données projet'!$E$15+1,1))-AVERAGE(OFFSET($H$3,0,0,'Données projet'!$E$15+1,1))</f>
        <v>225.2264820414552</v>
      </c>
      <c r="EP41" s="59">
        <f t="shared" si="46"/>
        <v>249.91838548328681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1.8881517901427474</v>
      </c>
      <c r="EW41" s="21">
        <f>EXP(-LN(2)/25)*EW40+(1-EXP(-LN(2)/25))/(LN(2)/25)*Calculateur!ER41*Calculateur!ET41*VLOOKUP('Données projet'!$B$15,Paramètres!$A$1:$I$89,3,0)*0.475*44/12</f>
        <v>6.9337317832207885</v>
      </c>
      <c r="EX41" s="21">
        <f>EXP(-LN(2)/2)*EX40+(1-EXP(-LN(2)/2))/(LN(2)/2)*ER41*EU41*VLOOKUP('Données projet'!$B$15,Paramètres!$A$1:$I$89,3,0)*0.475*44/12</f>
        <v>0.25284516316730876</v>
      </c>
      <c r="EY41" s="22">
        <f t="shared" si="21"/>
        <v>9.0747287365308438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26.8</v>
      </c>
      <c r="FE41" s="12">
        <f>IF('Données projet'!$A$218&gt;35,FE40+FD41-FM40,IF(A41&lt;'Données projet'!$A$218,$FB$205^A41,IF(A41='Données projet'!$A$218,'Données projet'!$B$218,FE40+FD41-FM40)))</f>
        <v>473.40000000000009</v>
      </c>
      <c r="FF41" s="17">
        <f>FE41*VLOOKUP('Données projet'!$B$16,Paramètres!$A$1:$I$89,3,0)*VLOOKUP('Données projet'!$B$16,Paramètres!$A$1:$I$89,5,0)</f>
        <v>264.63060000000007</v>
      </c>
      <c r="FG41" s="13">
        <f t="shared" si="47"/>
        <v>63.708418341323984</v>
      </c>
      <c r="FH41" s="20">
        <f t="shared" si="22"/>
        <v>571.8571236111394</v>
      </c>
      <c r="FI41" s="59">
        <f t="shared" si="23"/>
        <v>818.04871690469815</v>
      </c>
      <c r="FJ41" s="59">
        <f ca="1">AVERAGE(OFFSET($FI$3,0,0,'Données projet'!$E$16+1,1))-AVERAGE(OFFSET($H$3,0,0,'Données projet'!$E$16+1,1))</f>
        <v>549.85684198202534</v>
      </c>
      <c r="FK41" s="59">
        <f t="shared" si="48"/>
        <v>539.63748606275431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9.7466198840452147</v>
      </c>
      <c r="FR41" s="21">
        <f>EXP(-LN(2)/25)*FR40+(1-EXP(-LN(2)/25))/(LN(2)/25)*Calculateur!FM41*Calculateur!FO41*VLOOKUP('Données projet'!$B$16,Paramètres!$A$1:$I$89,3,0)*0.475*44/12</f>
        <v>31.048995908323828</v>
      </c>
      <c r="FS41" s="21">
        <f>EXP(-LN(2)/2)*FS40+(1-EXP(-LN(2)/2))/(LN(2)/2)*FM41*FP41*VLOOKUP('Données projet'!$B$16,Paramètres!$A$1:$I$89,3,0)*0.475*44/12</f>
        <v>2.279493209689631</v>
      </c>
      <c r="FT41" s="22">
        <f t="shared" si="24"/>
        <v>43.075109002058674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21.4</v>
      </c>
      <c r="FZ41" s="12">
        <f>IF('Données projet'!$A$244&gt;35,FZ40+FY41-GH40,IF(A41&lt;'Données projet'!$A$244,$FW$205^A41,IF(A41='Données projet'!$A$244,'Données projet'!$B$244,FZ40+FY41-GH40)))</f>
        <v>392.19999999999976</v>
      </c>
      <c r="GA41" s="17">
        <f>FZ41*VLOOKUP('Données projet'!$B$17,Paramètres!$A$1:$I$89,3,0)*VLOOKUP('Données projet'!$B$17,Paramètres!$A$1:$I$89,5,0)</f>
        <v>234.53559999999987</v>
      </c>
      <c r="GB41" s="13">
        <f t="shared" si="49"/>
        <v>57.262266911728588</v>
      </c>
      <c r="GC41" s="20">
        <f t="shared" si="25"/>
        <v>508.21461820459371</v>
      </c>
      <c r="GD41" s="59">
        <f t="shared" si="26"/>
        <v>754.4062114981524</v>
      </c>
      <c r="GE41" s="59">
        <f ca="1">AVERAGE(OFFSET($GD$3,0,0,'Données projet'!$E$17+1,1))-AVERAGE(OFFSET($H$3,0,0,'Données projet'!$E$17+1,1))</f>
        <v>495.6641415122013</v>
      </c>
      <c r="GF41" s="59">
        <f t="shared" si="50"/>
        <v>488.90534169400757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3.4123472575008185</v>
      </c>
      <c r="GM41" s="21">
        <f>EXP(-LN(2)/25)*GM40+(1-EXP(-LN(2)/25))/(LN(2)/25)*Calculateur!GH41*Calculateur!GJ41*VLOOKUP('Données projet'!$B$17,Paramètres!$A$1:$I$89,3,0)*0.475*44/12</f>
        <v>20.831896440170595</v>
      </c>
      <c r="GN41" s="21">
        <f>EXP(-LN(2)/2)*GN40+(1-EXP(-LN(2)/2))/(LN(2)/2)*GH41*GK41*VLOOKUP('Données projet'!$B$17,Paramètres!$A$1:$I$89,3,0)*0.475*44/12</f>
        <v>2.1724583370881527</v>
      </c>
      <c r="GO41" s="21">
        <f t="shared" si="27"/>
        <v>26.416702034759567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21.4</v>
      </c>
      <c r="GU41" s="12">
        <f>IF('Données projet'!$A$270&gt;35,GU40+GT41-HC40,IF(A41&lt;'Données projet'!$A$270,$GR$205^A41,IF(A41='Données projet'!$A$270,'Données projet'!$B$270,GU40+GT41-HC40)))</f>
        <v>392.19999999999976</v>
      </c>
      <c r="GV41" s="17">
        <f>GU41*VLOOKUP('Données projet'!$B$18,Paramètres!$A$1:$I$89,3,0)*VLOOKUP('Données projet'!$B$18,Paramètres!$A$1:$I$89,5,0)</f>
        <v>234.53559999999987</v>
      </c>
      <c r="GW41" s="13">
        <f t="shared" si="51"/>
        <v>57.262266911728588</v>
      </c>
      <c r="GX41" s="20">
        <f t="shared" si="28"/>
        <v>508.21461820459371</v>
      </c>
      <c r="GY41" s="59">
        <f t="shared" si="29"/>
        <v>754.4062114981524</v>
      </c>
      <c r="GZ41" s="59">
        <f ca="1">AVERAGE(OFFSET($GY$3,0,0,'Données projet'!$E$18+1,1))-AVERAGE(OFFSET($H$3,0,0,'Données projet'!$E$18+1,1))</f>
        <v>-18.333333333333343</v>
      </c>
      <c r="HA41" s="59">
        <f t="shared" si="52"/>
        <v>-18.333333333333343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3.4123472575008185</v>
      </c>
      <c r="HH41" s="21">
        <f>EXP(-LN(2)/25)*HH40+(1-EXP(-LN(2)/25))/(LN(2)/25)*Calculateur!HC41*Calculateur!HE41*VLOOKUP('Données projet'!$B$18,Paramètres!$A$1:$I$89,3,0)*0.475*44/12</f>
        <v>20.831896440170595</v>
      </c>
      <c r="HI41" s="21">
        <f>EXP(-LN(2)/2)*HI40+(1-EXP(-LN(2)/2))/(LN(2)/2)*HC41*HF41*VLOOKUP('Données projet'!$B$18,Paramètres!$A$1:$I$89,3,0)*0.475*44/12</f>
        <v>2.1724583370881527</v>
      </c>
      <c r="HJ41" s="22">
        <f t="shared" si="30"/>
        <v>26.416702034759567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10.000000000000004</v>
      </c>
      <c r="N42" s="13">
        <f>IF('Données projet'!$A$36&gt;35,N41+M42-V41,IF(A42&lt;'Données projet'!$A$36,$K$205^A42,IF(A42='Données projet'!$A$36,'Données projet'!$B$36,N41+M42-V41)))</f>
        <v>281.59999999999991</v>
      </c>
      <c r="O42" s="13">
        <f>N42*VLOOKUP('Données projet'!$B$9,Paramètres!$A$1:$I$89,3,0)*VLOOKUP('Données projet'!$B$9,Paramètres!$A$1:$I$89,5,0)</f>
        <v>131.78879999999995</v>
      </c>
      <c r="P42" s="13">
        <f t="shared" si="33"/>
        <v>34.409369159409614</v>
      </c>
      <c r="Q42" s="20">
        <f t="shared" si="53"/>
        <v>289.46181128597163</v>
      </c>
      <c r="R42" s="59">
        <f t="shared" si="0"/>
        <v>536.47120837607872</v>
      </c>
      <c r="S42" s="59">
        <f ca="1">AVERAGE(OFFSET($R$3,0,0,'Données projet'!$E$9+1,1))-AVERAGE(OFFSET($H$3,0,0,'Données projet'!$E$9+1,1))</f>
        <v>376.11581547534814</v>
      </c>
      <c r="T42" s="59">
        <f t="shared" si="34"/>
        <v>300.91675649863294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2.6228404150285667</v>
      </c>
      <c r="AA42" s="21">
        <f>EXP(-LN(2)/25)*AA41+(1-EXP(-LN(2)/25))/(LN(2)/25)*Calculateur!V42*Calculateur!X42*VLOOKUP('Données projet'!$B$9,Paramètres!$A$1:$I$89,3,0)*0.475*44/12</f>
        <v>6.1206995814171732</v>
      </c>
      <c r="AB42" s="21">
        <f>EXP(-LN(2)/2)*AB41+(1-EXP(-LN(2)/2))/(LN(2)/2)*V42*Y42*VLOOKUP('Données projet'!$B$9,Paramètres!$A$1:$I$89,3,0)*0.475*44/12</f>
        <v>0.43452491644001107</v>
      </c>
      <c r="AC42" s="22">
        <f t="shared" si="3"/>
        <v>9.1780649128857519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173.7216</v>
      </c>
      <c r="AK42" s="13">
        <f t="shared" si="35"/>
        <v>43.922484755075111</v>
      </c>
      <c r="AL42" s="20">
        <f t="shared" si="4"/>
        <v>379.06344761508916</v>
      </c>
      <c r="AM42" s="59">
        <f t="shared" si="5"/>
        <v>626.0728447051963</v>
      </c>
      <c r="AN42" s="59">
        <f ca="1">AVERAGE(OFFSET($AM$3,0,0,'Données projet'!$E$10+1,1))-AVERAGE(OFFSET($H$3,0,0,'Données projet'!$E$10+1,1))</f>
        <v>505.38595282220405</v>
      </c>
      <c r="AO42" s="59">
        <f t="shared" si="36"/>
        <v>351.72130415456365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2.015340682008262</v>
      </c>
      <c r="AV42" s="21">
        <f>EXP(-LN(2)/25)*AV41+(1-EXP(-LN(2)/25))/(LN(2)/25)*Calculateur!AQ42*Calculateur!AS42*VLOOKUP('Données projet'!$B$10,Paramètres!$A$1:$I$89,3,0)*0.475*44/12</f>
        <v>8.7911724564189324</v>
      </c>
      <c r="AW42" s="21">
        <f>EXP(-LN(2)/2)*AW41+(1-EXP(-LN(2)/2))/(LN(2)/2)*AQ42*AT42*VLOOKUP('Données projet'!$B$10,Paramètres!$A$1:$I$89,3,0)*0.475*44/12</f>
        <v>0.95253191188550967</v>
      </c>
      <c r="AX42" s="21">
        <f t="shared" si="6"/>
        <v>11.759045050312704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199.61603999999997</v>
      </c>
      <c r="BF42" s="13">
        <f t="shared" si="37"/>
        <v>49.659775503665841</v>
      </c>
      <c r="BG42" s="20">
        <f t="shared" si="7"/>
        <v>434.15537866888457</v>
      </c>
      <c r="BH42" s="59">
        <f t="shared" si="8"/>
        <v>681.16477575899171</v>
      </c>
      <c r="BI42" s="59">
        <f ca="1">AVERAGE(OFFSET($BH$3,0,0,'Données projet'!$E$11+1,1))-AVERAGE(OFFSET($H$3,0,0,'Données projet'!$E$11+1,1))</f>
        <v>394.14657090341535</v>
      </c>
      <c r="BJ42" s="59">
        <f t="shared" si="38"/>
        <v>424.06445894109982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2.7302856172154844</v>
      </c>
      <c r="BQ42" s="21">
        <f>EXP(-LN(2)/25)*BQ41+(1-EXP(-LN(2)/25))/(LN(2)/25)*Calculateur!BL42*Calculateur!BN42*VLOOKUP('Données projet'!$B$11,Paramètres!$A$1:$I$89,3,0)*0.475*44/12</f>
        <v>15.988147631866902</v>
      </c>
      <c r="BR42" s="21">
        <f>EXP(-LN(2)/2)*BR41+(1-EXP(-LN(2)/2))/(LN(2)/2)*BL42*BO42*VLOOKUP('Données projet'!$B$11,Paramètres!$A$1:$I$89,3,0)*0.475*44/12</f>
        <v>1.062385258331273</v>
      </c>
      <c r="BS42" s="22">
        <f t="shared" si="9"/>
        <v>19.78081850741366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15.7</v>
      </c>
      <c r="BY42" s="12">
        <f>IF('Données projet'!$A$114&gt;35,BY41+BX42-CG41,IF(A42&lt;'Données projet'!$A$114,$BV$205^A42,IF(A42='Données projet'!$A$114,'Données projet'!$B$114,BY41+BX42-CG41)))</f>
        <v>340.2999999999999</v>
      </c>
      <c r="BZ42" s="13">
        <f>BY42*VLOOKUP('Données projet'!$B$12,Paramètres!$A$1:$I$89,3,0)*VLOOKUP('Données projet'!$B$12,Paramètres!$A$1:$I$89,5,0)</f>
        <v>185.80379999999997</v>
      </c>
      <c r="CA42" s="13">
        <f t="shared" si="39"/>
        <v>46.611030236615356</v>
      </c>
      <c r="CB42" s="20">
        <f t="shared" si="10"/>
        <v>404.78916266210507</v>
      </c>
      <c r="CC42" s="59">
        <f t="shared" si="11"/>
        <v>651.79855975221221</v>
      </c>
      <c r="CD42" s="59">
        <f ca="1">AVERAGE(OFFSET($CC$3,0,0,'Données projet'!$E$12+1,1))-AVERAGE(OFFSET($H$3,0,0,'Données projet'!$E$12+1,1))</f>
        <v>382.09004346384319</v>
      </c>
      <c r="CE42" s="59">
        <f t="shared" si="40"/>
        <v>410.18893995284986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7.1272272715769329</v>
      </c>
      <c r="CL42" s="21">
        <f>EXP(-LN(2)/25)*CL41+(1-EXP(-LN(2)/25))/(LN(2)/25)*Calculateur!CG42*Calculateur!CI42*VLOOKUP('Données projet'!$B$12,Paramètres!$A$1:$I$89,3,0)*0.475*44/12</f>
        <v>26.521001170588331</v>
      </c>
      <c r="CM42" s="21">
        <f>EXP(-LN(2)/2)*CM41+(1-EXP(-LN(2)/2))/(LN(2)/2)*CG42*CJ42*VLOOKUP('Données projet'!$B$12,Paramètres!$A$1:$I$89,3,0)*0.475*44/12</f>
        <v>1.1129165170344457</v>
      </c>
      <c r="CN42" s="22">
        <f t="shared" si="12"/>
        <v>34.761144959199711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11.5</v>
      </c>
      <c r="CT42" s="12">
        <f>IF('Données projet'!$A$140&gt;35,CT41+CS42-DB41,IF(A42&lt;'Données projet'!$A$140,$CQ$205^A42,IF(A42='Données projet'!$A$140,'Données projet'!$B$140,CT41+CS42-DB41)))</f>
        <v>243.50000000000006</v>
      </c>
      <c r="CU42" s="17">
        <f>CT42*VLOOKUP('Données projet'!$B$13,Paramètres!$A$1:$I$89,3,0)*VLOOKUP('Données projet'!$B$13,Paramètres!$A$1:$I$89,5,0)</f>
        <v>212.72160000000008</v>
      </c>
      <c r="CV42" s="13">
        <f t="shared" si="41"/>
        <v>52.529877327267741</v>
      </c>
      <c r="CW42" s="20">
        <f t="shared" si="13"/>
        <v>461.9796563449915</v>
      </c>
      <c r="CX42" s="59">
        <f t="shared" si="14"/>
        <v>708.98905343509864</v>
      </c>
      <c r="CY42" s="59">
        <f ca="1">AVERAGE(OFFSET($CX$3,0,0,'Données projet'!$E$13+1,1))-AVERAGE(OFFSET($H$3,0,0,'Données projet'!$E$13+1,1))</f>
        <v>363.02374534486341</v>
      </c>
      <c r="CZ42" s="59">
        <f t="shared" si="42"/>
        <v>489.00477393029598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6.1155165523009343</v>
      </c>
      <c r="DG42" s="21">
        <f>EXP(-LN(2)/25)*DG41+(1-EXP(-LN(2)/25))/(LN(2)/25)*Calculateur!DB42*Calculateur!DD42*VLOOKUP('Données projet'!$B$13,Paramètres!$A$1:$I$89,3,0)*0.475*44/12</f>
        <v>15.086518490209238</v>
      </c>
      <c r="DH42" s="21">
        <f>EXP(-LN(2)/2)*DH41+(1-EXP(-LN(2)/2))/(LN(2)/2)*DB42*DE42*VLOOKUP('Données projet'!$B$13,Paramètres!$A$1:$I$89,3,0)*0.475*44/12</f>
        <v>1.2955495192311492</v>
      </c>
      <c r="DI42" s="22">
        <f t="shared" si="15"/>
        <v>22.49758456174132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>
        <f>DO42*VLOOKUP('Données projet'!$B$14,Paramètres!$A$1:$I$89,3,0)*VLOOKUP('Données projet'!$B$14,Paramètres!$A$1:$I$89,5,0)</f>
        <v>183.95987999999997</v>
      </c>
      <c r="DQ42" s="13">
        <f t="shared" si="43"/>
        <v>46.202067639979852</v>
      </c>
      <c r="DR42" s="20">
        <f t="shared" si="16"/>
        <v>400.86539213963152</v>
      </c>
      <c r="DS42" s="59">
        <f t="shared" si="17"/>
        <v>647.87478922973867</v>
      </c>
      <c r="DT42" s="59">
        <f ca="1">AVERAGE(OFFSET($DS$3,0,0,'Données projet'!$E$14+1,1))-AVERAGE(OFFSET($H$3,0,0,'Données projet'!$E$14+1,1))</f>
        <v>368.03281986807173</v>
      </c>
      <c r="DU42" s="59">
        <f t="shared" si="44"/>
        <v>395.83504504492248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2.0414011218618175</v>
      </c>
      <c r="EB42" s="21">
        <f>EXP(-LN(2)/25)*EB41+(1-EXP(-LN(2)/25))/(LN(2)/25)*Calculateur!DW42*Calculateur!DY42*VLOOKUP('Données projet'!$B$14,Paramètres!$A$1:$I$89,3,0)*0.475*44/12</f>
        <v>11.954142199039216</v>
      </c>
      <c r="EC42" s="21">
        <f>EXP(-LN(2)/2)*EC41+(1-EXP(-LN(2)/2))/(LN(2)/2)*DW42*DZ42*VLOOKUP('Données projet'!$B$14,Paramètres!$A$1:$I$89,3,0)*0.475*44/12</f>
        <v>0.97906092434450709</v>
      </c>
      <c r="ED42" s="22">
        <f t="shared" si="18"/>
        <v>14.974604245245541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</v>
      </c>
      <c r="EJ42" s="12">
        <f>IF('Données projet'!$A$192&gt;35,EJ41+EI42-ER41,IF(A42&lt;'Données projet'!$A$192,$EG$205^A42,IF(A42='Données projet'!$A$192,'Données projet'!$B$192,EJ41+EI42-ER41)))</f>
        <v>204.99999999999994</v>
      </c>
      <c r="EK42" s="17">
        <f>EJ42*VLOOKUP('Données projet'!$B$15,Paramètres!$A$1:$I$89,3,0)*VLOOKUP('Données projet'!$B$15,Paramètres!$A$1:$I$89,5,0)</f>
        <v>122.58999999999997</v>
      </c>
      <c r="EL42" s="13">
        <f t="shared" si="45"/>
        <v>32.278321478706822</v>
      </c>
      <c r="EM42" s="20">
        <f t="shared" si="19"/>
        <v>269.728993242081</v>
      </c>
      <c r="EN42" s="59">
        <f t="shared" si="20"/>
        <v>516.73839033218815</v>
      </c>
      <c r="EO42" s="59">
        <f ca="1">AVERAGE(OFFSET($EN$3,0,0,'Données projet'!$E$15+1,1))-AVERAGE(OFFSET($H$3,0,0,'Données projet'!$E$15+1,1))</f>
        <v>225.2264820414552</v>
      </c>
      <c r="EP42" s="59">
        <f t="shared" si="46"/>
        <v>249.91838548328681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1.8511262851969232</v>
      </c>
      <c r="EW42" s="21">
        <f>EXP(-LN(2)/25)*EW41+(1-EXP(-LN(2)/25))/(LN(2)/25)*Calculateur!ER42*Calculateur!ET42*VLOOKUP('Données projet'!$B$15,Paramètres!$A$1:$I$89,3,0)*0.475*44/12</f>
        <v>6.7441285229795085</v>
      </c>
      <c r="EX42" s="21">
        <f>EXP(-LN(2)/2)*EX41+(1-EXP(-LN(2)/2))/(LN(2)/2)*ER42*EU42*VLOOKUP('Données projet'!$B$15,Paramètres!$A$1:$I$89,3,0)*0.475*44/12</f>
        <v>0.1787885294658231</v>
      </c>
      <c r="EY42" s="22">
        <f t="shared" si="21"/>
        <v>8.7740433376422544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26.8</v>
      </c>
      <c r="FE42" s="12">
        <f>IF('Données projet'!$A$218&gt;35,FE41+FD42-FM41,IF(A42&lt;'Données projet'!$A$218,$FB$205^A42,IF(A42='Données projet'!$A$218,'Données projet'!$B$218,FE41+FD42-FM41)))</f>
        <v>500.2000000000001</v>
      </c>
      <c r="FF42" s="17">
        <f>FE42*VLOOKUP('Données projet'!$B$16,Paramètres!$A$1:$I$89,3,0)*VLOOKUP('Données projet'!$B$16,Paramètres!$A$1:$I$89,5,0)</f>
        <v>279.61180000000007</v>
      </c>
      <c r="FG42" s="13">
        <f t="shared" si="47"/>
        <v>66.884964438617615</v>
      </c>
      <c r="FH42" s="20">
        <f t="shared" si="22"/>
        <v>603.48186473059241</v>
      </c>
      <c r="FI42" s="59">
        <f t="shared" si="23"/>
        <v>850.49126182069949</v>
      </c>
      <c r="FJ42" s="59">
        <f ca="1">AVERAGE(OFFSET($FI$3,0,0,'Données projet'!$E$16+1,1))-AVERAGE(OFFSET($H$3,0,0,'Données projet'!$E$16+1,1))</f>
        <v>549.85684198202534</v>
      </c>
      <c r="FK42" s="59">
        <f t="shared" si="48"/>
        <v>539.63748606275431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9.5554946129702127</v>
      </c>
      <c r="FR42" s="21">
        <f>EXP(-LN(2)/25)*FR41+(1-EXP(-LN(2)/25))/(LN(2)/25)*Calculateur!FM42*Calculateur!FO42*VLOOKUP('Données projet'!$B$16,Paramètres!$A$1:$I$89,3,0)*0.475*44/12</f>
        <v>30.199959482414982</v>
      </c>
      <c r="FS42" s="21">
        <f>EXP(-LN(2)/2)*FS41+(1-EXP(-LN(2)/2))/(LN(2)/2)*FM42*FP42*VLOOKUP('Données projet'!$B$16,Paramètres!$A$1:$I$89,3,0)*0.475*44/12</f>
        <v>1.6118451062402268</v>
      </c>
      <c r="FT42" s="22">
        <f t="shared" si="24"/>
        <v>41.367299201625421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21.4</v>
      </c>
      <c r="FZ42" s="12">
        <f>IF('Données projet'!$A$244&gt;35,FZ41+FY42-GH41,IF(A42&lt;'Données projet'!$A$244,$FW$205^A42,IF(A42='Données projet'!$A$244,'Données projet'!$B$244,FZ41+FY42-GH41)))</f>
        <v>413.59999999999974</v>
      </c>
      <c r="GA42" s="17">
        <f>FZ42*VLOOKUP('Données projet'!$B$17,Paramètres!$A$1:$I$89,3,0)*VLOOKUP('Données projet'!$B$17,Paramètres!$A$1:$I$89,5,0)</f>
        <v>247.33279999999985</v>
      </c>
      <c r="GB42" s="13">
        <f t="shared" si="49"/>
        <v>60.014444064381038</v>
      </c>
      <c r="GC42" s="20">
        <f t="shared" si="25"/>
        <v>535.29645007879674</v>
      </c>
      <c r="GD42" s="59">
        <f t="shared" si="26"/>
        <v>782.30584716890382</v>
      </c>
      <c r="GE42" s="59">
        <f ca="1">AVERAGE(OFFSET($GD$3,0,0,'Données projet'!$E$17+1,1))-AVERAGE(OFFSET($H$3,0,0,'Données projet'!$E$17+1,1))</f>
        <v>495.6641415122013</v>
      </c>
      <c r="GF42" s="59">
        <f t="shared" si="50"/>
        <v>488.90534169400757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3.3454332091075405</v>
      </c>
      <c r="GM42" s="21">
        <f>EXP(-LN(2)/25)*GM41+(1-EXP(-LN(2)/25))/(LN(2)/25)*Calculateur!GH42*Calculateur!GJ42*VLOOKUP('Données projet'!$B$17,Paramètres!$A$1:$I$89,3,0)*0.475*44/12</f>
        <v>20.262247136512308</v>
      </c>
      <c r="GN42" s="21">
        <f>EXP(-LN(2)/2)*GN41+(1-EXP(-LN(2)/2))/(LN(2)/2)*GH42*GK42*VLOOKUP('Données projet'!$B$17,Paramètres!$A$1:$I$89,3,0)*0.475*44/12</f>
        <v>1.5361600220002833</v>
      </c>
      <c r="GO42" s="21">
        <f t="shared" si="27"/>
        <v>25.143840367620133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21.4</v>
      </c>
      <c r="GU42" s="12">
        <f>IF('Données projet'!$A$270&gt;35,GU41+GT42-HC41,IF(A42&lt;'Données projet'!$A$270,$GR$205^A42,IF(A42='Données projet'!$A$270,'Données projet'!$B$270,GU41+GT42-HC41)))</f>
        <v>413.59999999999974</v>
      </c>
      <c r="GV42" s="17">
        <f>GU42*VLOOKUP('Données projet'!$B$18,Paramètres!$A$1:$I$89,3,0)*VLOOKUP('Données projet'!$B$18,Paramètres!$A$1:$I$89,5,0)</f>
        <v>247.33279999999985</v>
      </c>
      <c r="GW42" s="13">
        <f t="shared" si="51"/>
        <v>60.014444064381038</v>
      </c>
      <c r="GX42" s="20">
        <f t="shared" si="28"/>
        <v>535.29645007879674</v>
      </c>
      <c r="GY42" s="59">
        <f t="shared" si="29"/>
        <v>782.30584716890382</v>
      </c>
      <c r="GZ42" s="59">
        <f ca="1">AVERAGE(OFFSET($GY$3,0,0,'Données projet'!$E$18+1,1))-AVERAGE(OFFSET($H$3,0,0,'Données projet'!$E$18+1,1))</f>
        <v>-18.333333333333343</v>
      </c>
      <c r="HA42" s="59">
        <f t="shared" si="52"/>
        <v>-18.333333333333343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3.3454332091075405</v>
      </c>
      <c r="HH42" s="21">
        <f>EXP(-LN(2)/25)*HH41+(1-EXP(-LN(2)/25))/(LN(2)/25)*Calculateur!HC42*Calculateur!HE42*VLOOKUP('Données projet'!$B$18,Paramètres!$A$1:$I$89,3,0)*0.475*44/12</f>
        <v>20.262247136512308</v>
      </c>
      <c r="HI42" s="21">
        <f>EXP(-LN(2)/2)*HI41+(1-EXP(-LN(2)/2))/(LN(2)/2)*HC42*HF42*VLOOKUP('Données projet'!$B$18,Paramètres!$A$1:$I$89,3,0)*0.475*44/12</f>
        <v>1.5361600220002833</v>
      </c>
      <c r="HJ42" s="22">
        <f t="shared" si="30"/>
        <v>25.143840367620133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291.60000000000002</v>
      </c>
      <c r="L43" s="12">
        <f>VLOOKUP(A43,'Données projet'!$A$35:$I$55,9,0)</f>
        <v>10.000000000000004</v>
      </c>
      <c r="M43" s="12">
        <f t="array" ref="M43">INDEX(L:L,MIN(IF(ISNUMBER(L43:L239),ROW(L43:L239),"")))</f>
        <v>10.000000000000004</v>
      </c>
      <c r="N43" s="13">
        <f>IF('Données projet'!$A$36&gt;35,N42+M43-V42,IF(A43&lt;'Données projet'!$A$36,$K$205^A43,IF(A43='Données projet'!$A$36,'Données projet'!$B$36,N42+M43-V42)))</f>
        <v>291.59999999999991</v>
      </c>
      <c r="O43" s="13">
        <f>N43*VLOOKUP('Données projet'!$B$9,Paramètres!$A$1:$I$89,3,0)*VLOOKUP('Données projet'!$B$9,Paramètres!$A$1:$I$89,5,0)</f>
        <v>136.46879999999996</v>
      </c>
      <c r="P43" s="13">
        <f t="shared" si="33"/>
        <v>35.486858352195874</v>
      </c>
      <c r="Q43" s="20">
        <f t="shared" si="53"/>
        <v>299.48943829674107</v>
      </c>
      <c r="R43" s="59">
        <f t="shared" si="0"/>
        <v>547.30245211586191</v>
      </c>
      <c r="S43" s="59">
        <f ca="1">AVERAGE(OFFSET($R$3,0,0,'Données projet'!$E$9+1,1))-AVERAGE(OFFSET($H$3,0,0,'Données projet'!$E$9+1,1))</f>
        <v>376.11581547534814</v>
      </c>
      <c r="T43" s="59">
        <f t="shared" si="34"/>
        <v>300.91675649863294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83.4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2.5714081142645449</v>
      </c>
      <c r="AA43" s="21">
        <f>EXP(-LN(2)/25)*AA42+(1-EXP(-LN(2)/25))/(LN(2)/25)*Calculateur!V43*Calculateur!X43*VLOOKUP('Données projet'!$B$9,Paramètres!$A$1:$I$89,3,0)*0.475*44/12</f>
        <v>5.9533287294897184</v>
      </c>
      <c r="AB43" s="21">
        <f>EXP(-LN(2)/2)*AB42+(1-EXP(-LN(2)/2))/(LN(2)/2)*V43*Y43*VLOOKUP('Données projet'!$B$9,Paramètres!$A$1:$I$89,3,0)*0.475*44/12</f>
        <v>0.30725551500924975</v>
      </c>
      <c r="AC43" s="22">
        <f t="shared" si="3"/>
        <v>8.8319923587635127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183.67439999999999</v>
      </c>
      <c r="AK43" s="13">
        <f t="shared" si="35"/>
        <v>46.138708549418673</v>
      </c>
      <c r="AL43" s="20">
        <f t="shared" si="4"/>
        <v>400.25783072357081</v>
      </c>
      <c r="AM43" s="59">
        <f t="shared" si="5"/>
        <v>648.07084454269159</v>
      </c>
      <c r="AN43" s="59">
        <f ca="1">AVERAGE(OFFSET($AM$3,0,0,'Données projet'!$E$10+1,1))-AVERAGE(OFFSET($H$3,0,0,'Données projet'!$E$10+1,1))</f>
        <v>505.38595282220405</v>
      </c>
      <c r="AO43" s="59">
        <f t="shared" si="36"/>
        <v>351.72130415456365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1.975821080470519</v>
      </c>
      <c r="AV43" s="21">
        <f>EXP(-LN(2)/25)*AV42+(1-EXP(-LN(2)/25))/(LN(2)/25)*Calculateur!AQ43*Calculateur!AS43*VLOOKUP('Données projet'!$B$10,Paramètres!$A$1:$I$89,3,0)*0.475*44/12</f>
        <v>8.5507773832904892</v>
      </c>
      <c r="AW43" s="21">
        <f>EXP(-LN(2)/2)*AW42+(1-EXP(-LN(2)/2))/(LN(2)/2)*AQ43*AT43*VLOOKUP('Données projet'!$B$10,Paramètres!$A$1:$I$89,3,0)*0.475*44/12</f>
        <v>0.67354177419083094</v>
      </c>
      <c r="AX43" s="21">
        <f t="shared" si="6"/>
        <v>11.200140237951839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209.24279999999996</v>
      </c>
      <c r="BF43" s="13">
        <f t="shared" si="37"/>
        <v>51.770083677016814</v>
      </c>
      <c r="BG43" s="20">
        <f t="shared" si="7"/>
        <v>454.59743907080411</v>
      </c>
      <c r="BH43" s="59">
        <f t="shared" si="8"/>
        <v>702.41045288992495</v>
      </c>
      <c r="BI43" s="59">
        <f ca="1">AVERAGE(OFFSET($BH$3,0,0,'Données projet'!$E$11+1,1))-AVERAGE(OFFSET($H$3,0,0,'Données projet'!$E$11+1,1))</f>
        <v>394.14657090341535</v>
      </c>
      <c r="BJ43" s="59">
        <f t="shared" si="38"/>
        <v>424.06445894109982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2.6767463815716797</v>
      </c>
      <c r="BQ43" s="21">
        <f>EXP(-LN(2)/25)*BQ42+(1-EXP(-LN(2)/25))/(LN(2)/25)*Calculateur!BL43*Calculateur!BN43*VLOOKUP('Données projet'!$B$11,Paramètres!$A$1:$I$89,3,0)*0.475*44/12</f>
        <v>15.550950894093358</v>
      </c>
      <c r="BR43" s="21">
        <f>EXP(-LN(2)/2)*BR42+(1-EXP(-LN(2)/2))/(LN(2)/2)*BL43*BO43*VLOOKUP('Données projet'!$B$11,Paramètres!$A$1:$I$89,3,0)*0.475*44/12</f>
        <v>0.75121982039866519</v>
      </c>
      <c r="BS43" s="22">
        <f t="shared" si="9"/>
        <v>18.9789170960637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356</v>
      </c>
      <c r="BW43" s="12">
        <f>VLOOKUP(A43,'Données projet'!$A$113:$I$133,9,0)</f>
        <v>15.7</v>
      </c>
      <c r="BX43" s="12">
        <f t="array" ref="BX43">INDEX(BW:BW,MIN(IF(ISNUMBER(BW43:BW239),ROW(BW43:BW239),"")))</f>
        <v>15.7</v>
      </c>
      <c r="BY43" s="12">
        <f>IF('Données projet'!$A$114&gt;35,BY42+BX43-CG42,IF(A43&lt;'Données projet'!$A$114,$BV$205^A43,IF(A43='Données projet'!$A$114,'Données projet'!$B$114,BY42+BX43-CG42)))</f>
        <v>355.99999999999989</v>
      </c>
      <c r="BZ43" s="13">
        <f>BY43*VLOOKUP('Données projet'!$B$12,Paramètres!$A$1:$I$89,3,0)*VLOOKUP('Données projet'!$B$12,Paramètres!$A$1:$I$89,5,0)</f>
        <v>194.37599999999995</v>
      </c>
      <c r="CA43" s="13">
        <f t="shared" si="39"/>
        <v>48.506138465833089</v>
      </c>
      <c r="CB43" s="20">
        <f t="shared" si="10"/>
        <v>423.01972449465916</v>
      </c>
      <c r="CC43" s="59">
        <f t="shared" si="11"/>
        <v>670.83273831377994</v>
      </c>
      <c r="CD43" s="59">
        <f ca="1">AVERAGE(OFFSET($CC$3,0,0,'Données projet'!$E$12+1,1))-AVERAGE(OFFSET($H$3,0,0,'Données projet'!$E$12+1,1))</f>
        <v>382.09004346384319</v>
      </c>
      <c r="CE43" s="59">
        <f t="shared" si="40"/>
        <v>410.18893995284986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92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6.9874666919606963</v>
      </c>
      <c r="CL43" s="21">
        <f>EXP(-LN(2)/25)*CL42+(1-EXP(-LN(2)/25))/(LN(2)/25)*Calculateur!CG43*Calculateur!CI43*VLOOKUP('Données projet'!$B$12,Paramètres!$A$1:$I$89,3,0)*0.475*44/12</f>
        <v>25.795782998899757</v>
      </c>
      <c r="CM43" s="21">
        <f>EXP(-LN(2)/2)*CM42+(1-EXP(-LN(2)/2))/(LN(2)/2)*CG43*CJ43*VLOOKUP('Données projet'!$B$12,Paramètres!$A$1:$I$89,3,0)*0.475*44/12</f>
        <v>0.7869508160895704</v>
      </c>
      <c r="CN43" s="22">
        <f t="shared" si="12"/>
        <v>33.570200506950023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255</v>
      </c>
      <c r="CR43" s="12">
        <f>VLOOKUP(A43,'Données projet'!$A$139:$I$159,9,0)</f>
        <v>11.5</v>
      </c>
      <c r="CS43" s="12">
        <f t="array" ref="CS43">INDEX(CR:CR,MIN(IF(ISNUMBER(CR43:CR239),ROW(CR43:CR239),"")))</f>
        <v>11.5</v>
      </c>
      <c r="CT43" s="12">
        <f>IF('Données projet'!$A$140&gt;35,CT42+CS43-DB42,IF(A43&lt;'Données projet'!$A$140,$CQ$205^A43,IF(A43='Données projet'!$A$140,'Données projet'!$B$140,CT42+CS43-DB42)))</f>
        <v>255.00000000000006</v>
      </c>
      <c r="CU43" s="17">
        <f>CT43*VLOOKUP('Données projet'!$B$13,Paramètres!$A$1:$I$89,3,0)*VLOOKUP('Données projet'!$B$13,Paramètres!$A$1:$I$89,5,0)</f>
        <v>222.76800000000006</v>
      </c>
      <c r="CV43" s="13">
        <f t="shared" si="41"/>
        <v>54.716058356609508</v>
      </c>
      <c r="CW43" s="20">
        <f t="shared" si="13"/>
        <v>483.28473497109502</v>
      </c>
      <c r="CX43" s="59">
        <f t="shared" si="14"/>
        <v>731.09774879021586</v>
      </c>
      <c r="CY43" s="59">
        <f ca="1">AVERAGE(OFFSET($CX$3,0,0,'Données projet'!$E$13+1,1))-AVERAGE(OFFSET($H$3,0,0,'Données projet'!$E$13+1,1))</f>
        <v>363.02374534486341</v>
      </c>
      <c r="CZ43" s="59">
        <f t="shared" si="42"/>
        <v>489.00477393029598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81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5.995595002807093</v>
      </c>
      <c r="DG43" s="21">
        <f>EXP(-LN(2)/25)*DG42+(1-EXP(-LN(2)/25))/(LN(2)/25)*Calculateur!DB43*Calculateur!DD43*VLOOKUP('Données projet'!$B$13,Paramètres!$A$1:$I$89,3,0)*0.475*44/12</f>
        <v>14.673976848728939</v>
      </c>
      <c r="DH43" s="21">
        <f>EXP(-LN(2)/2)*DH42+(1-EXP(-LN(2)/2))/(LN(2)/2)*DB43*DE43*VLOOKUP('Données projet'!$B$13,Paramètres!$A$1:$I$89,3,0)*0.475*44/12</f>
        <v>0.91609185041131713</v>
      </c>
      <c r="DI43" s="22">
        <f t="shared" si="15"/>
        <v>21.58566370194735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43"/>
        <v>48.165439402688818</v>
      </c>
      <c r="DR43" s="20">
        <f t="shared" si="16"/>
        <v>419.73651029301618</v>
      </c>
      <c r="DS43" s="59">
        <f t="shared" si="17"/>
        <v>667.54952411213696</v>
      </c>
      <c r="DT43" s="59">
        <f ca="1">AVERAGE(OFFSET($DS$3,0,0,'Données projet'!$E$14+1,1))-AVERAGE(OFFSET($H$3,0,0,'Données projet'!$E$14+1,1))</f>
        <v>368.03281986807173</v>
      </c>
      <c r="DU43" s="59">
        <f t="shared" si="44"/>
        <v>395.83504504492248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2.0013704909938452</v>
      </c>
      <c r="EB43" s="21">
        <f>EXP(-LN(2)/25)*EB42+(1-EXP(-LN(2)/25))/(LN(2)/25)*Calculateur!DW43*Calculateur!DY43*VLOOKUP('Données projet'!$B$14,Paramètres!$A$1:$I$89,3,0)*0.475*44/12</f>
        <v>11.627255551965472</v>
      </c>
      <c r="EC43" s="21">
        <f>EXP(-LN(2)/2)*EC42+(1-EXP(-LN(2)/2))/(LN(2)/2)*DW43*DZ43*VLOOKUP('Données projet'!$B$14,Paramètres!$A$1:$I$89,3,0)*0.475*44/12</f>
        <v>0.69230061879877036</v>
      </c>
      <c r="ED43" s="22">
        <f t="shared" si="18"/>
        <v>14.320926661758088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215</v>
      </c>
      <c r="EH43" s="12">
        <f>VLOOKUP(A43,'Données projet'!$A$191:$I$211,9,0)</f>
        <v>10</v>
      </c>
      <c r="EI43" s="12">
        <f t="array" ref="EI43">INDEX(EH:EH,MIN(IF(ISNUMBER(EH43:EH239),ROW(EH43:EH239),"")))</f>
        <v>10</v>
      </c>
      <c r="EJ43" s="12">
        <f>IF('Données projet'!$A$192&gt;35,EJ42+EI43-ER42,IF(A43&lt;'Données projet'!$A$192,$EG$205^A43,IF(A43='Données projet'!$A$192,'Données projet'!$B$192,EJ42+EI43-ER42)))</f>
        <v>214.99999999999994</v>
      </c>
      <c r="EK43" s="17">
        <f>EJ43*VLOOKUP('Données projet'!$B$15,Paramètres!$A$1:$I$89,3,0)*VLOOKUP('Données projet'!$B$15,Paramètres!$A$1:$I$89,5,0)</f>
        <v>128.56999999999996</v>
      </c>
      <c r="EL43" s="13">
        <f t="shared" si="45"/>
        <v>33.665715905233249</v>
      </c>
      <c r="EM43" s="20">
        <f t="shared" si="19"/>
        <v>282.5605385349478</v>
      </c>
      <c r="EN43" s="59">
        <f t="shared" si="20"/>
        <v>530.37355235406858</v>
      </c>
      <c r="EO43" s="59">
        <f ca="1">AVERAGE(OFFSET($EN$3,0,0,'Données projet'!$E$15+1,1))-AVERAGE(OFFSET($H$3,0,0,'Données projet'!$E$15+1,1))</f>
        <v>225.2264820414552</v>
      </c>
      <c r="EP43" s="59">
        <f t="shared" si="46"/>
        <v>249.91838548328681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1.8148268278197586</v>
      </c>
      <c r="EW43" s="21">
        <f>EXP(-LN(2)/25)*EW42+(1-EXP(-LN(2)/25))/(LN(2)/25)*Calculateur!ER43*Calculateur!ET43*VLOOKUP('Données projet'!$B$15,Paramètres!$A$1:$I$89,3,0)*0.475*44/12</f>
        <v>6.5597099738603291</v>
      </c>
      <c r="EX43" s="21">
        <f>EXP(-LN(2)/2)*EX42+(1-EXP(-LN(2)/2))/(LN(2)/2)*ER43*EU43*VLOOKUP('Données projet'!$B$15,Paramètres!$A$1:$I$89,3,0)*0.475*44/12</f>
        <v>0.12642258158365438</v>
      </c>
      <c r="EY43" s="22">
        <f t="shared" si="21"/>
        <v>8.5009593832637407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527</v>
      </c>
      <c r="FC43" s="12">
        <f>VLOOKUP(A43,'Données projet'!$A$217:$I$237,9,0)</f>
        <v>26.8</v>
      </c>
      <c r="FD43" s="12">
        <f t="array" ref="FD43">INDEX(FC:FC,MIN(IF(ISNUMBER(FC43:FC239),ROW(FC43:FC239),"")))</f>
        <v>26.8</v>
      </c>
      <c r="FE43" s="12">
        <f>IF('Données projet'!$A$218&gt;35,FE42+FD43-FM42,IF(A43&lt;'Données projet'!$A$218,$FB$205^A43,IF(A43='Données projet'!$A$218,'Données projet'!$B$218,FE42+FD43-FM42)))</f>
        <v>527.00000000000011</v>
      </c>
      <c r="FF43" s="17">
        <f>FE43*VLOOKUP('Données projet'!$B$16,Paramètres!$A$1:$I$89,3,0)*VLOOKUP('Données projet'!$B$16,Paramètres!$A$1:$I$89,5,0)</f>
        <v>294.59300000000007</v>
      </c>
      <c r="FG43" s="13">
        <f t="shared" si="47"/>
        <v>70.041751529321004</v>
      </c>
      <c r="FH43" s="20">
        <f t="shared" si="22"/>
        <v>635.07219224690084</v>
      </c>
      <c r="FI43" s="59">
        <f t="shared" si="23"/>
        <v>882.88520606602162</v>
      </c>
      <c r="FJ43" s="59">
        <f ca="1">AVERAGE(OFFSET($FI$3,0,0,'Données projet'!$E$16+1,1))-AVERAGE(OFFSET($H$3,0,0,'Données projet'!$E$16+1,1))</f>
        <v>549.85684198202534</v>
      </c>
      <c r="FK43" s="59">
        <f t="shared" si="48"/>
        <v>539.63748606275431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140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9.3681171918860855</v>
      </c>
      <c r="FR43" s="21">
        <f>EXP(-LN(2)/25)*FR42+(1-EXP(-LN(2)/25))/(LN(2)/25)*Calculateur!FM43*Calculateur!FO43*VLOOKUP('Données projet'!$B$16,Paramètres!$A$1:$I$89,3,0)*0.475*44/12</f>
        <v>29.374140002221498</v>
      </c>
      <c r="FS43" s="21">
        <f>EXP(-LN(2)/2)*FS42+(1-EXP(-LN(2)/2))/(LN(2)/2)*FM43*FP43*VLOOKUP('Données projet'!$B$16,Paramètres!$A$1:$I$89,3,0)*0.475*44/12</f>
        <v>1.1397466048448155</v>
      </c>
      <c r="FT43" s="22">
        <f t="shared" si="24"/>
        <v>39.882003798952397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435</v>
      </c>
      <c r="FX43" s="12">
        <f>VLOOKUP(A43,'Données projet'!$A$243:$I$263,9,0)</f>
        <v>21.4</v>
      </c>
      <c r="FY43" s="12">
        <f t="array" ref="FY43">INDEX(FX:FX,MIN(IF(ISNUMBER(FX43:FX239),ROW(FX43:FX239),"")))</f>
        <v>21.4</v>
      </c>
      <c r="FZ43" s="12">
        <f>IF('Données projet'!$A$244&gt;35,FZ42+FY43-GH42,IF(A43&lt;'Données projet'!$A$244,$FW$205^A43,IF(A43='Données projet'!$A$244,'Données projet'!$B$244,FZ42+FY43-GH42)))</f>
        <v>434.99999999999972</v>
      </c>
      <c r="GA43" s="17">
        <f>FZ43*VLOOKUP('Données projet'!$B$17,Paramètres!$A$1:$I$89,3,0)*VLOOKUP('Données projet'!$B$17,Paramètres!$A$1:$I$89,5,0)</f>
        <v>260.12999999999988</v>
      </c>
      <c r="GB43" s="13">
        <f t="shared" si="49"/>
        <v>62.750087896510983</v>
      </c>
      <c r="GC43" s="20">
        <f t="shared" si="25"/>
        <v>562.34948641975632</v>
      </c>
      <c r="GD43" s="59">
        <f t="shared" si="26"/>
        <v>810.1625002388771</v>
      </c>
      <c r="GE43" s="59">
        <f ca="1">AVERAGE(OFFSET($GD$3,0,0,'Données projet'!$E$17+1,1))-AVERAGE(OFFSET($H$3,0,0,'Données projet'!$E$17+1,1))</f>
        <v>495.6641415122013</v>
      </c>
      <c r="GF43" s="59">
        <f t="shared" si="50"/>
        <v>488.90534169400757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112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3.2798313043897154</v>
      </c>
      <c r="GM43" s="21">
        <f>EXP(-LN(2)/25)*GM42+(1-EXP(-LN(2)/25))/(LN(2)/25)*Calculateur!GH43*Calculateur!GJ43*VLOOKUP('Données projet'!$B$17,Paramètres!$A$1:$I$89,3,0)*0.475*44/12</f>
        <v>19.708174923019111</v>
      </c>
      <c r="GN43" s="21">
        <f>EXP(-LN(2)/2)*GN42+(1-EXP(-LN(2)/2))/(LN(2)/2)*GH43*GK43*VLOOKUP('Données projet'!$B$17,Paramètres!$A$1:$I$89,3,0)*0.475*44/12</f>
        <v>1.0862291685440764</v>
      </c>
      <c r="GO43" s="21">
        <f t="shared" si="27"/>
        <v>24.074235395952904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435</v>
      </c>
      <c r="GS43" s="12">
        <f>VLOOKUP(A43,'Données projet'!$A$269:$I$289,9,0)</f>
        <v>21.4</v>
      </c>
      <c r="GT43" s="12">
        <f t="array" ref="GT43">INDEX(GS:GS,MIN(IF(ISNUMBER(GS43:GS239),ROW(GS43:GS239),"")))</f>
        <v>21.4</v>
      </c>
      <c r="GU43" s="12">
        <f>IF('Données projet'!$A$270&gt;35,GU42+GT43-HC42,IF(A43&lt;'Données projet'!$A$270,$GR$205^A43,IF(A43='Données projet'!$A$270,'Données projet'!$B$270,GU42+GT43-HC42)))</f>
        <v>434.99999999999972</v>
      </c>
      <c r="GV43" s="17">
        <f>GU43*VLOOKUP('Données projet'!$B$18,Paramètres!$A$1:$I$89,3,0)*VLOOKUP('Données projet'!$B$18,Paramètres!$A$1:$I$89,5,0)</f>
        <v>260.12999999999988</v>
      </c>
      <c r="GW43" s="13">
        <f t="shared" si="51"/>
        <v>62.750087896510983</v>
      </c>
      <c r="GX43" s="20">
        <f t="shared" si="28"/>
        <v>562.34948641975632</v>
      </c>
      <c r="GY43" s="59">
        <f t="shared" si="29"/>
        <v>810.1625002388771</v>
      </c>
      <c r="GZ43" s="59">
        <f ca="1">AVERAGE(OFFSET($GY$3,0,0,'Données projet'!$E$18+1,1))-AVERAGE(OFFSET($H$3,0,0,'Données projet'!$E$18+1,1))</f>
        <v>-18.333333333333343</v>
      </c>
      <c r="HA43" s="59">
        <f t="shared" si="52"/>
        <v>-18.333333333333343</v>
      </c>
      <c r="HB43" s="15">
        <f>IF(ISNA(VLOOKUP(A43,'Données projet'!$A$269:$I$289,3,0)),0,VLOOKUP(A43,'Données projet'!$A$269:$I$289,3,0))</f>
        <v>3</v>
      </c>
      <c r="HC43" s="15">
        <f>IF(ISNA(VLOOKUP(A43,'Données projet'!$A$269:$I$289,4,0)),0,VLOOKUP(A43,'Données projet'!$A$269:$I$289,4,0))</f>
        <v>112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3.2798313043897154</v>
      </c>
      <c r="HH43" s="21">
        <f>EXP(-LN(2)/25)*HH42+(1-EXP(-LN(2)/25))/(LN(2)/25)*Calculateur!HC43*Calculateur!HE43*VLOOKUP('Données projet'!$B$18,Paramètres!$A$1:$I$89,3,0)*0.475*44/12</f>
        <v>19.708174923019111</v>
      </c>
      <c r="HI43" s="21">
        <f>EXP(-LN(2)/2)*HI42+(1-EXP(-LN(2)/2))/(LN(2)/2)*HC43*HF43*VLOOKUP('Données projet'!$B$18,Paramètres!$A$1:$I$89,3,0)*0.475*44/12</f>
        <v>1.0862291685440764</v>
      </c>
      <c r="HJ43" s="22">
        <f t="shared" si="30"/>
        <v>24.074235395952904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11.499999999999996</v>
      </c>
      <c r="N44" s="13">
        <f>IF('Données projet'!$A$36&gt;35,N43+M44-V43,IF(A44&lt;'Données projet'!$A$36,$K$205^A44,IF(A44='Données projet'!$A$36,'Données projet'!$B$36,N43+M44-V43)))</f>
        <v>219.6999999999999</v>
      </c>
      <c r="O44" s="13">
        <f>N44*VLOOKUP('Données projet'!$B$9,Paramètres!$A$1:$I$89,3,0)*VLOOKUP('Données projet'!$B$9,Paramètres!$A$1:$I$89,5,0)</f>
        <v>102.81959999999995</v>
      </c>
      <c r="P44" s="13">
        <f t="shared" si="33"/>
        <v>27.632637448562328</v>
      </c>
      <c r="Q44" s="20">
        <f t="shared" si="53"/>
        <v>227.20431355624598</v>
      </c>
      <c r="R44" s="59">
        <f t="shared" si="0"/>
        <v>475.80700315074995</v>
      </c>
      <c r="S44" s="59">
        <f ca="1">AVERAGE(OFFSET($R$3,0,0,'Données projet'!$E$9+1,1))-AVERAGE(OFFSET($H$3,0,0,'Données projet'!$E$9+1,1))</f>
        <v>376.11581547534814</v>
      </c>
      <c r="T44" s="59">
        <f t="shared" si="34"/>
        <v>300.91675649863294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2.5209843695478997</v>
      </c>
      <c r="AA44" s="21">
        <f>EXP(-LN(2)/25)*AA43+(1-EXP(-LN(2)/25))/(LN(2)/25)*Calculateur!V44*Calculateur!X44*VLOOKUP('Données projet'!$B$9,Paramètres!$A$1:$I$89,3,0)*0.475*44/12</f>
        <v>5.7905346423098703</v>
      </c>
      <c r="AB44" s="21">
        <f>EXP(-LN(2)/2)*AB43+(1-EXP(-LN(2)/2))/(LN(2)/2)*V44*Y44*VLOOKUP('Données projet'!$B$9,Paramètres!$A$1:$I$89,3,0)*0.475*44/12</f>
        <v>0.21726245822000553</v>
      </c>
      <c r="AC44" s="22">
        <f t="shared" si="3"/>
        <v>8.5287814700777762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143.13935999999998</v>
      </c>
      <c r="AK44" s="13">
        <f t="shared" si="35"/>
        <v>37.015257937854066</v>
      </c>
      <c r="AL44" s="20">
        <f t="shared" si="4"/>
        <v>313.76929290842912</v>
      </c>
      <c r="AM44" s="59">
        <f t="shared" si="5"/>
        <v>562.37198250293307</v>
      </c>
      <c r="AN44" s="59">
        <f ca="1">AVERAGE(OFFSET($AM$3,0,0,'Données projet'!$E$10+1,1))-AVERAGE(OFFSET($H$3,0,0,'Données projet'!$E$10+1,1))</f>
        <v>505.38595282220405</v>
      </c>
      <c r="AO44" s="59">
        <f t="shared" si="36"/>
        <v>351.72130415456365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1.9370764342143543</v>
      </c>
      <c r="AV44" s="21">
        <f>EXP(-LN(2)/25)*AV43+(1-EXP(-LN(2)/25))/(LN(2)/25)*Calculateur!AQ44*Calculateur!AS44*VLOOKUP('Données projet'!$B$10,Paramètres!$A$1:$I$89,3,0)*0.475*44/12</f>
        <v>8.3169559260785704</v>
      </c>
      <c r="AW44" s="21">
        <f>EXP(-LN(2)/2)*AW43+(1-EXP(-LN(2)/2))/(LN(2)/2)*AQ44*AT44*VLOOKUP('Données projet'!$B$10,Paramètres!$A$1:$I$89,3,0)*0.475*44/12</f>
        <v>0.47626595594275495</v>
      </c>
      <c r="AX44" s="21">
        <f t="shared" si="6"/>
        <v>10.730298316235681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160.87031999999996</v>
      </c>
      <c r="BF44" s="13">
        <f t="shared" si="37"/>
        <v>41.038756492063129</v>
      </c>
      <c r="BG44" s="20">
        <f t="shared" si="7"/>
        <v>351.65830822367656</v>
      </c>
      <c r="BH44" s="59">
        <f t="shared" si="8"/>
        <v>600.2609978181805</v>
      </c>
      <c r="BI44" s="59">
        <f ca="1">AVERAGE(OFFSET($BH$3,0,0,'Données projet'!$E$11+1,1))-AVERAGE(OFFSET($H$3,0,0,'Données projet'!$E$11+1,1))</f>
        <v>394.14657090341535</v>
      </c>
      <c r="BJ44" s="59">
        <f t="shared" si="38"/>
        <v>424.06445894109982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2.6242570176831408</v>
      </c>
      <c r="BQ44" s="21">
        <f>EXP(-LN(2)/25)*BQ43+(1-EXP(-LN(2)/25))/(LN(2)/25)*Calculateur!BL44*Calculateur!BN44*VLOOKUP('Données projet'!$B$11,Paramètres!$A$1:$I$89,3,0)*0.475*44/12</f>
        <v>15.12570932410541</v>
      </c>
      <c r="BR44" s="21">
        <f>EXP(-LN(2)/2)*BR43+(1-EXP(-LN(2)/2))/(LN(2)/2)*BL44*BO44*VLOOKUP('Données projet'!$B$11,Paramètres!$A$1:$I$89,3,0)*0.475*44/12</f>
        <v>0.53119262916563648</v>
      </c>
      <c r="BS44" s="22">
        <f t="shared" si="9"/>
        <v>18.281158970954188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13.1</v>
      </c>
      <c r="BY44" s="12">
        <f>IF('Données projet'!$A$114&gt;35,BY43+BX44-CG43,IF(A44&lt;'Données projet'!$A$114,$BV$205^A44,IF(A44='Données projet'!$A$114,'Données projet'!$B$114,BY43+BX44-CG43)))</f>
        <v>277.09999999999991</v>
      </c>
      <c r="BZ44" s="13">
        <f>BY44*VLOOKUP('Données projet'!$B$12,Paramètres!$A$1:$I$89,3,0)*VLOOKUP('Données projet'!$B$12,Paramètres!$A$1:$I$89,5,0)</f>
        <v>151.29659999999996</v>
      </c>
      <c r="CA44" s="13">
        <f t="shared" si="39"/>
        <v>38.87309486191122</v>
      </c>
      <c r="CB44" s="20">
        <f t="shared" si="10"/>
        <v>331.21221855116193</v>
      </c>
      <c r="CC44" s="59">
        <f t="shared" si="11"/>
        <v>579.81490814566587</v>
      </c>
      <c r="CD44" s="59">
        <f ca="1">AVERAGE(OFFSET($CC$3,0,0,'Données projet'!$E$12+1,1))-AVERAGE(OFFSET($H$3,0,0,'Données projet'!$E$12+1,1))</f>
        <v>382.09004346384319</v>
      </c>
      <c r="CE44" s="59">
        <f t="shared" si="40"/>
        <v>410.18893995284986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6.8504467320651985</v>
      </c>
      <c r="CL44" s="21">
        <f>EXP(-LN(2)/25)*CL43+(1-EXP(-LN(2)/25))/(LN(2)/25)*Calculateur!CG44*Calculateur!CI44*VLOOKUP('Données projet'!$B$12,Paramètres!$A$1:$I$89,3,0)*0.475*44/12</f>
        <v>25.090395956253573</v>
      </c>
      <c r="CM44" s="21">
        <f>EXP(-LN(2)/2)*CM43+(1-EXP(-LN(2)/2))/(LN(2)/2)*CG44*CJ44*VLOOKUP('Données projet'!$B$12,Paramètres!$A$1:$I$89,3,0)*0.475*44/12</f>
        <v>0.55645825851722286</v>
      </c>
      <c r="CN44" s="22">
        <f t="shared" si="12"/>
        <v>32.497300946835992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9.4</v>
      </c>
      <c r="CT44" s="12">
        <f>IF('Données projet'!$A$140&gt;35,CT43+CS44-DB43,IF(A44&lt;'Données projet'!$A$140,$CQ$205^A44,IF(A44='Données projet'!$A$140,'Données projet'!$B$140,CT43+CS44-DB43)))</f>
        <v>183.40000000000003</v>
      </c>
      <c r="CU44" s="17">
        <f>CT44*VLOOKUP('Données projet'!$B$13,Paramètres!$A$1:$I$89,3,0)*VLOOKUP('Données projet'!$B$13,Paramètres!$A$1:$I$89,5,0)</f>
        <v>160.21824000000004</v>
      </c>
      <c r="CV44" s="13">
        <f t="shared" si="41"/>
        <v>40.891736142170217</v>
      </c>
      <c r="CW44" s="20">
        <f t="shared" si="13"/>
        <v>350.26654178094645</v>
      </c>
      <c r="CX44" s="59">
        <f t="shared" si="14"/>
        <v>598.86923137545045</v>
      </c>
      <c r="CY44" s="59">
        <f ca="1">AVERAGE(OFFSET($CX$3,0,0,'Données projet'!$E$13+1,1))-AVERAGE(OFFSET($H$3,0,0,'Données projet'!$E$13+1,1))</f>
        <v>363.02374534486341</v>
      </c>
      <c r="CZ44" s="59">
        <f t="shared" si="42"/>
        <v>489.00477393029598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5.8780250417539035</v>
      </c>
      <c r="DG44" s="21">
        <f>EXP(-LN(2)/25)*DG43+(1-EXP(-LN(2)/25))/(LN(2)/25)*Calculateur!DB44*Calculateur!DD44*VLOOKUP('Données projet'!$B$13,Paramètres!$A$1:$I$89,3,0)*0.475*44/12</f>
        <v>14.272716180129542</v>
      </c>
      <c r="DH44" s="21">
        <f>EXP(-LN(2)/2)*DH43+(1-EXP(-LN(2)/2))/(LN(2)/2)*DB44*DE44*VLOOKUP('Données projet'!$B$13,Paramètres!$A$1:$I$89,3,0)*0.475*44/12</f>
        <v>0.64777475961557474</v>
      </c>
      <c r="DI44" s="22">
        <f t="shared" si="15"/>
        <v>20.798515981499023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>
        <f>DO44*VLOOKUP('Données projet'!$B$14,Paramètres!$A$1:$I$89,3,0)*VLOOKUP('Données projet'!$B$14,Paramètres!$A$1:$I$89,5,0)</f>
        <v>148.25303999999994</v>
      </c>
      <c r="DQ44" s="13">
        <f t="shared" si="43"/>
        <v>38.181312421901637</v>
      </c>
      <c r="DR44" s="20">
        <f t="shared" si="16"/>
        <v>324.70649713481191</v>
      </c>
      <c r="DS44" s="59">
        <f t="shared" si="17"/>
        <v>573.30918672931591</v>
      </c>
      <c r="DT44" s="59">
        <f ca="1">AVERAGE(OFFSET($DS$3,0,0,'Données projet'!$E$14+1,1))-AVERAGE(OFFSET($H$3,0,0,'Données projet'!$E$14+1,1))</f>
        <v>368.03281986807173</v>
      </c>
      <c r="DU44" s="59">
        <f t="shared" si="44"/>
        <v>395.83504504492248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1.9621248363809198</v>
      </c>
      <c r="EB44" s="21">
        <f>EXP(-LN(2)/25)*EB43+(1-EXP(-LN(2)/25))/(LN(2)/25)*Calculateur!DW44*Calculateur!DY44*VLOOKUP('Données projet'!$B$14,Paramètres!$A$1:$I$89,3,0)*0.475*44/12</f>
        <v>11.309307637446182</v>
      </c>
      <c r="EC44" s="21">
        <f>EXP(-LN(2)/2)*EC43+(1-EXP(-LN(2)/2))/(LN(2)/2)*DW44*DZ44*VLOOKUP('Données projet'!$B$14,Paramètres!$A$1:$I$89,3,0)*0.475*44/12</f>
        <v>0.4895304621722536</v>
      </c>
      <c r="ED44" s="22">
        <f t="shared" si="18"/>
        <v>13.760962935999355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7.333333333333333</v>
      </c>
      <c r="EJ44" s="12">
        <f>IF('Données projet'!$A$192&gt;35,EJ43+EI44-ER43,IF(A44&lt;'Données projet'!$A$192,$EG$205^A44,IF(A44='Données projet'!$A$192,'Données projet'!$B$192,EJ43+EI44-ER43)))</f>
        <v>191.33333333333329</v>
      </c>
      <c r="EK44" s="17">
        <f>EJ44*VLOOKUP('Données projet'!$B$15,Paramètres!$A$1:$I$89,3,0)*VLOOKUP('Données projet'!$B$15,Paramètres!$A$1:$I$89,5,0)</f>
        <v>114.41733333333332</v>
      </c>
      <c r="EL44" s="13">
        <f t="shared" si="45"/>
        <v>30.36934592669316</v>
      </c>
      <c r="EM44" s="20">
        <f t="shared" si="19"/>
        <v>252.17013304454611</v>
      </c>
      <c r="EN44" s="59">
        <f t="shared" si="20"/>
        <v>500.7728226390501</v>
      </c>
      <c r="EO44" s="59">
        <f ca="1">AVERAGE(OFFSET($EN$3,0,0,'Données projet'!$E$15+1,1))-AVERAGE(OFFSET($H$3,0,0,'Données projet'!$E$15+1,1))</f>
        <v>225.2264820414552</v>
      </c>
      <c r="EP44" s="59">
        <f t="shared" si="46"/>
        <v>249.91838548328681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1.7792391806612773</v>
      </c>
      <c r="EW44" s="21">
        <f>EXP(-LN(2)/25)*EW43+(1-EXP(-LN(2)/25))/(LN(2)/25)*Calculateur!ER44*Calculateur!ET44*VLOOKUP('Données projet'!$B$15,Paramètres!$A$1:$I$89,3,0)*0.475*44/12</f>
        <v>6.3803343596649631</v>
      </c>
      <c r="EX44" s="21">
        <f>EXP(-LN(2)/2)*EX43+(1-EXP(-LN(2)/2))/(LN(2)/2)*ER44*EU44*VLOOKUP('Données projet'!$B$15,Paramètres!$A$1:$I$89,3,0)*0.475*44/12</f>
        <v>8.9394264732911552E-2</v>
      </c>
      <c r="EY44" s="22">
        <f t="shared" si="21"/>
        <v>8.2489678050591522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22.8</v>
      </c>
      <c r="FE44" s="12">
        <f>IF('Données projet'!$A$218&gt;35,FE43+FD44-FM43,IF(A44&lt;'Données projet'!$A$218,$FB$205^A44,IF(A44='Données projet'!$A$218,'Données projet'!$B$218,FE43+FD44-FM43)))</f>
        <v>409.80000000000007</v>
      </c>
      <c r="FF44" s="17">
        <f>FE44*VLOOKUP('Données projet'!$B$16,Paramètres!$A$1:$I$89,3,0)*VLOOKUP('Données projet'!$B$16,Paramètres!$A$1:$I$89,5,0)</f>
        <v>229.07820000000004</v>
      </c>
      <c r="FG44" s="13">
        <f t="shared" si="47"/>
        <v>56.083320258718402</v>
      </c>
      <c r="FH44" s="20">
        <f t="shared" si="22"/>
        <v>496.65631445060126</v>
      </c>
      <c r="FI44" s="59">
        <f t="shared" si="23"/>
        <v>745.25900404510526</v>
      </c>
      <c r="FJ44" s="59">
        <f ca="1">AVERAGE(OFFSET($FI$3,0,0,'Données projet'!$E$16+1,1))-AVERAGE(OFFSET($H$3,0,0,'Données projet'!$E$16+1,1))</f>
        <v>549.85684198202534</v>
      </c>
      <c r="FK44" s="59">
        <f t="shared" si="48"/>
        <v>539.63748606275431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9.1844141277404763</v>
      </c>
      <c r="FR44" s="21">
        <f>EXP(-LN(2)/25)*FR43+(1-EXP(-LN(2)/25))/(LN(2)/25)*Calculateur!FM44*Calculateur!FO44*VLOOKUP('Données projet'!$B$16,Paramètres!$A$1:$I$89,3,0)*0.475*44/12</f>
        <v>28.570902599141863</v>
      </c>
      <c r="FS44" s="21">
        <f>EXP(-LN(2)/2)*FS43+(1-EXP(-LN(2)/2))/(LN(2)/2)*FM44*FP44*VLOOKUP('Données projet'!$B$16,Paramètres!$A$1:$I$89,3,0)*0.475*44/12</f>
        <v>0.80592255312011341</v>
      </c>
      <c r="FT44" s="22">
        <f t="shared" si="24"/>
        <v>38.561239280002454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18.899999999999999</v>
      </c>
      <c r="FZ44" s="12">
        <f>IF('Données projet'!$A$244&gt;35,FZ43+FY44-GH43,IF(A44&lt;'Données projet'!$A$244,$FW$205^A44,IF(A44='Données projet'!$A$244,'Données projet'!$B$244,FZ43+FY44-GH43)))</f>
        <v>341.89999999999969</v>
      </c>
      <c r="GA44" s="17">
        <f>FZ44*VLOOKUP('Données projet'!$B$17,Paramètres!$A$1:$I$89,3,0)*VLOOKUP('Données projet'!$B$17,Paramètres!$A$1:$I$89,5,0)</f>
        <v>204.45619999999982</v>
      </c>
      <c r="GB44" s="13">
        <f t="shared" si="49"/>
        <v>50.722246056554653</v>
      </c>
      <c r="GC44" s="20">
        <f t="shared" si="25"/>
        <v>444.43579354849908</v>
      </c>
      <c r="GD44" s="59">
        <f t="shared" si="26"/>
        <v>693.03848314300308</v>
      </c>
      <c r="GE44" s="59">
        <f ca="1">AVERAGE(OFFSET($GD$3,0,0,'Données projet'!$E$17+1,1))-AVERAGE(OFFSET($H$3,0,0,'Données projet'!$E$17+1,1))</f>
        <v>495.6641415122013</v>
      </c>
      <c r="GF44" s="59">
        <f t="shared" si="50"/>
        <v>488.90534169400757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3.215515813010196</v>
      </c>
      <c r="GM44" s="21">
        <f>EXP(-LN(2)/25)*GM43+(1-EXP(-LN(2)/25))/(LN(2)/25)*Calculateur!GH44*Calculateur!GJ44*VLOOKUP('Données projet'!$B$17,Paramètres!$A$1:$I$89,3,0)*0.475*44/12</f>
        <v>19.169253843341277</v>
      </c>
      <c r="GN44" s="21">
        <f>EXP(-LN(2)/2)*GN43+(1-EXP(-LN(2)/2))/(LN(2)/2)*GH44*GK44*VLOOKUP('Données projet'!$B$17,Paramètres!$A$1:$I$89,3,0)*0.475*44/12</f>
        <v>0.76808001100014167</v>
      </c>
      <c r="GO44" s="21">
        <f t="shared" si="27"/>
        <v>23.152849667351614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18.899999999999999</v>
      </c>
      <c r="GU44" s="12">
        <f>IF('Données projet'!$A$270&gt;35,GU43+GT44-HC43,IF(A44&lt;'Données projet'!$A$270,$GR$205^A44,IF(A44='Données projet'!$A$270,'Données projet'!$B$270,GU43+GT44-HC43)))</f>
        <v>341.89999999999969</v>
      </c>
      <c r="GV44" s="17">
        <f>GU44*VLOOKUP('Données projet'!$B$18,Paramètres!$A$1:$I$89,3,0)*VLOOKUP('Données projet'!$B$18,Paramètres!$A$1:$I$89,5,0)</f>
        <v>204.45619999999982</v>
      </c>
      <c r="GW44" s="13">
        <f t="shared" si="51"/>
        <v>50.722246056554653</v>
      </c>
      <c r="GX44" s="20">
        <f t="shared" si="28"/>
        <v>444.43579354849908</v>
      </c>
      <c r="GY44" s="59">
        <f t="shared" si="29"/>
        <v>693.03848314300308</v>
      </c>
      <c r="GZ44" s="59">
        <f ca="1">AVERAGE(OFFSET($GY$3,0,0,'Données projet'!$E$18+1,1))-AVERAGE(OFFSET($H$3,0,0,'Données projet'!$E$18+1,1))</f>
        <v>-18.333333333333343</v>
      </c>
      <c r="HA44" s="59">
        <f t="shared" si="52"/>
        <v>-18.333333333333343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3.215515813010196</v>
      </c>
      <c r="HH44" s="21">
        <f>EXP(-LN(2)/25)*HH43+(1-EXP(-LN(2)/25))/(LN(2)/25)*Calculateur!HC44*Calculateur!HE44*VLOOKUP('Données projet'!$B$18,Paramètres!$A$1:$I$89,3,0)*0.475*44/12</f>
        <v>19.169253843341277</v>
      </c>
      <c r="HI44" s="21">
        <f>EXP(-LN(2)/2)*HI43+(1-EXP(-LN(2)/2))/(LN(2)/2)*HC44*HF44*VLOOKUP('Données projet'!$B$18,Paramètres!$A$1:$I$89,3,0)*0.475*44/12</f>
        <v>0.76808001100014167</v>
      </c>
      <c r="HJ44" s="22">
        <f t="shared" si="30"/>
        <v>23.152849667351614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11.499999999999996</v>
      </c>
      <c r="N45" s="13">
        <f>IF('Données projet'!$A$36&gt;35,N44+M45-V44,IF(A45&lt;'Données projet'!$A$36,$K$205^A45,IF(A45='Données projet'!$A$36,'Données projet'!$B$36,N44+M45-V44)))</f>
        <v>231.1999999999999</v>
      </c>
      <c r="O45" s="13">
        <f>N45*VLOOKUP('Données projet'!$B$9,Paramètres!$A$1:$I$89,3,0)*VLOOKUP('Données projet'!$B$9,Paramètres!$A$1:$I$89,5,0)</f>
        <v>108.20159999999994</v>
      </c>
      <c r="P45" s="13">
        <f t="shared" si="33"/>
        <v>28.906861857161235</v>
      </c>
      <c r="Q45" s="20">
        <f t="shared" si="53"/>
        <v>238.79723773455569</v>
      </c>
      <c r="R45" s="59">
        <f t="shared" si="0"/>
        <v>488.17590399519042</v>
      </c>
      <c r="S45" s="59">
        <f ca="1">AVERAGE(OFFSET($R$3,0,0,'Données projet'!$E$9+1,1))-AVERAGE(OFFSET($H$3,0,0,'Données projet'!$E$9+1,1))</f>
        <v>376.11581547534814</v>
      </c>
      <c r="T45" s="59">
        <f t="shared" si="34"/>
        <v>300.91675649863294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2.4715494037097008</v>
      </c>
      <c r="AA45" s="21">
        <f>EXP(-LN(2)/25)*AA44+(1-EXP(-LN(2)/25))/(LN(2)/25)*Calculateur!V45*Calculateur!X45*VLOOKUP('Données projet'!$B$9,Paramètres!$A$1:$I$89,3,0)*0.475*44/12</f>
        <v>5.6321921680049245</v>
      </c>
      <c r="AB45" s="21">
        <f>EXP(-LN(2)/2)*AB44+(1-EXP(-LN(2)/2))/(LN(2)/2)*V45*Y45*VLOOKUP('Données projet'!$B$9,Paramètres!$A$1:$I$89,3,0)*0.475*44/12</f>
        <v>0.15362775750462487</v>
      </c>
      <c r="AC45" s="22">
        <f t="shared" si="3"/>
        <v>8.2573693292192498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153.27311999999998</v>
      </c>
      <c r="AK45" s="13">
        <f t="shared" si="35"/>
        <v>39.321476829336504</v>
      </c>
      <c r="AL45" s="20">
        <f t="shared" si="4"/>
        <v>335.43558947776097</v>
      </c>
      <c r="AM45" s="59">
        <f t="shared" si="5"/>
        <v>584.81425573839567</v>
      </c>
      <c r="AN45" s="59">
        <f ca="1">AVERAGE(OFFSET($AM$3,0,0,'Données projet'!$E$10+1,1))-AVERAGE(OFFSET($H$3,0,0,'Données projet'!$E$10+1,1))</f>
        <v>505.38595282220405</v>
      </c>
      <c r="AO45" s="59">
        <f t="shared" si="36"/>
        <v>351.72130415456365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1.8990915468393723</v>
      </c>
      <c r="AV45" s="21">
        <f>EXP(-LN(2)/25)*AV44+(1-EXP(-LN(2)/25))/(LN(2)/25)*Calculateur!AQ45*Calculateur!AS45*VLOOKUP('Données projet'!$B$10,Paramètres!$A$1:$I$89,3,0)*0.475*44/12</f>
        <v>8.089528328910248</v>
      </c>
      <c r="AW45" s="21">
        <f>EXP(-LN(2)/2)*AW44+(1-EXP(-LN(2)/2))/(LN(2)/2)*AQ45*AT45*VLOOKUP('Données projet'!$B$10,Paramètres!$A$1:$I$89,3,0)*0.475*44/12</f>
        <v>0.33677088709541553</v>
      </c>
      <c r="AX45" s="21">
        <f t="shared" si="6"/>
        <v>10.325390762845036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168.18983999999995</v>
      </c>
      <c r="BF45" s="13">
        <f t="shared" si="37"/>
        <v>42.684355718695357</v>
      </c>
      <c r="BG45" s="20">
        <f t="shared" si="7"/>
        <v>367.27255754339438</v>
      </c>
      <c r="BH45" s="59">
        <f t="shared" si="8"/>
        <v>616.65122380402909</v>
      </c>
      <c r="BI45" s="59">
        <f ca="1">AVERAGE(OFFSET($BH$3,0,0,'Données projet'!$E$11+1,1))-AVERAGE(OFFSET($H$3,0,0,'Données projet'!$E$11+1,1))</f>
        <v>394.14657090341535</v>
      </c>
      <c r="BJ45" s="59">
        <f t="shared" si="38"/>
        <v>424.06445894109982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2.572796938205105</v>
      </c>
      <c r="BQ45" s="21">
        <f>EXP(-LN(2)/25)*BQ44+(1-EXP(-LN(2)/25))/(LN(2)/25)*Calculateur!BL45*Calculateur!BN45*VLOOKUP('Données projet'!$B$11,Paramètres!$A$1:$I$89,3,0)*0.475*44/12</f>
        <v>14.712096007211263</v>
      </c>
      <c r="BR45" s="21">
        <f>EXP(-LN(2)/2)*BR44+(1-EXP(-LN(2)/2))/(LN(2)/2)*BL45*BO45*VLOOKUP('Données projet'!$B$11,Paramètres!$A$1:$I$89,3,0)*0.475*44/12</f>
        <v>0.3756099101993326</v>
      </c>
      <c r="BS45" s="22">
        <f t="shared" si="9"/>
        <v>17.6605028556157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13.1</v>
      </c>
      <c r="BY45" s="12">
        <f>IF('Données projet'!$A$114&gt;35,BY44+BX45-CG44,IF(A45&lt;'Données projet'!$A$114,$BV$205^A45,IF(A45='Données projet'!$A$114,'Données projet'!$B$114,BY44+BX45-CG44)))</f>
        <v>290.19999999999993</v>
      </c>
      <c r="BZ45" s="13">
        <f>BY45*VLOOKUP('Données projet'!$B$12,Paramètres!$A$1:$I$89,3,0)*VLOOKUP('Données projet'!$B$12,Paramètres!$A$1:$I$89,5,0)</f>
        <v>158.44919999999996</v>
      </c>
      <c r="CA45" s="13">
        <f t="shared" si="39"/>
        <v>40.492530106300926</v>
      </c>
      <c r="CB45" s="20">
        <f t="shared" si="10"/>
        <v>346.49017993514076</v>
      </c>
      <c r="CC45" s="59">
        <f t="shared" si="11"/>
        <v>595.86884619577552</v>
      </c>
      <c r="CD45" s="59">
        <f ca="1">AVERAGE(OFFSET($CC$3,0,0,'Données projet'!$E$12+1,1))-AVERAGE(OFFSET($H$3,0,0,'Données projet'!$E$12+1,1))</f>
        <v>382.09004346384319</v>
      </c>
      <c r="CE45" s="59">
        <f t="shared" si="40"/>
        <v>410.18893995284986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6.7161136500093281</v>
      </c>
      <c r="CL45" s="21">
        <f>EXP(-LN(2)/25)*CL44+(1-EXP(-LN(2)/25))/(LN(2)/25)*Calculateur!CG45*Calculateur!CI45*VLOOKUP('Données projet'!$B$12,Paramètres!$A$1:$I$89,3,0)*0.475*44/12</f>
        <v>24.40429775938324</v>
      </c>
      <c r="CM45" s="21">
        <f>EXP(-LN(2)/2)*CM44+(1-EXP(-LN(2)/2))/(LN(2)/2)*CG45*CJ45*VLOOKUP('Données projet'!$B$12,Paramètres!$A$1:$I$89,3,0)*0.475*44/12</f>
        <v>0.3934754080447852</v>
      </c>
      <c r="CN45" s="22">
        <f t="shared" si="12"/>
        <v>31.513886817437353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9.4</v>
      </c>
      <c r="CT45" s="12">
        <f>IF('Données projet'!$A$140&gt;35,CT44+CS45-DB44,IF(A45&lt;'Données projet'!$A$140,$CQ$205^A45,IF(A45='Données projet'!$A$140,'Données projet'!$B$140,CT44+CS45-DB44)))</f>
        <v>192.80000000000004</v>
      </c>
      <c r="CU45" s="17">
        <f>CT45*VLOOKUP('Données projet'!$B$13,Paramètres!$A$1:$I$89,3,0)*VLOOKUP('Données projet'!$B$13,Paramètres!$A$1:$I$89,5,0)</f>
        <v>168.43008000000006</v>
      </c>
      <c r="CV45" s="13">
        <f t="shared" si="41"/>
        <v>42.73822409848502</v>
      </c>
      <c r="CW45" s="20">
        <f t="shared" si="13"/>
        <v>367.78479630486146</v>
      </c>
      <c r="CX45" s="59">
        <f t="shared" si="14"/>
        <v>617.16346256549616</v>
      </c>
      <c r="CY45" s="59">
        <f ca="1">AVERAGE(OFFSET($CX$3,0,0,'Données projet'!$E$13+1,1))-AVERAGE(OFFSET($H$3,0,0,'Données projet'!$E$13+1,1))</f>
        <v>363.02374534486341</v>
      </c>
      <c r="CZ45" s="59">
        <f t="shared" si="42"/>
        <v>489.00477393029598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5.7627605559263717</v>
      </c>
      <c r="DG45" s="21">
        <f>EXP(-LN(2)/25)*DG44+(1-EXP(-LN(2)/25))/(LN(2)/25)*Calculateur!DB45*Calculateur!DD45*VLOOKUP('Données projet'!$B$13,Paramètres!$A$1:$I$89,3,0)*0.475*44/12</f>
        <v>13.882428005614377</v>
      </c>
      <c r="DH45" s="21">
        <f>EXP(-LN(2)/2)*DH44+(1-EXP(-LN(2)/2))/(LN(2)/2)*DB45*DE45*VLOOKUP('Données projet'!$B$13,Paramètres!$A$1:$I$89,3,0)*0.475*44/12</f>
        <v>0.45804592520565868</v>
      </c>
      <c r="DI45" s="22">
        <f t="shared" si="15"/>
        <v>20.103234486746409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>
        <f>DO45*VLOOKUP('Données projet'!$B$14,Paramètres!$A$1:$I$89,3,0)*VLOOKUP('Données projet'!$B$14,Paramètres!$A$1:$I$89,5,0)</f>
        <v>154.99847999999994</v>
      </c>
      <c r="DQ45" s="13">
        <f t="shared" si="43"/>
        <v>39.712331964500009</v>
      </c>
      <c r="DR45" s="20">
        <f t="shared" si="16"/>
        <v>339.12133083817071</v>
      </c>
      <c r="DS45" s="59">
        <f t="shared" si="17"/>
        <v>588.49999709880547</v>
      </c>
      <c r="DT45" s="59">
        <f ca="1">AVERAGE(OFFSET($DS$3,0,0,'Données projet'!$E$14+1,1))-AVERAGE(OFFSET($H$3,0,0,'Données projet'!$E$14+1,1))</f>
        <v>368.03281986807173</v>
      </c>
      <c r="DU45" s="59">
        <f t="shared" si="44"/>
        <v>395.83504504492248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1.9236487651174681</v>
      </c>
      <c r="EB45" s="21">
        <f>EXP(-LN(2)/25)*EB44+(1-EXP(-LN(2)/25))/(LN(2)/25)*Calculateur!DW45*Calculateur!DY45*VLOOKUP('Données projet'!$B$14,Paramètres!$A$1:$I$89,3,0)*0.475*44/12</f>
        <v>11.000054025369575</v>
      </c>
      <c r="EC45" s="21">
        <f>EXP(-LN(2)/2)*EC44+(1-EXP(-LN(2)/2))/(LN(2)/2)*DW45*DZ45*VLOOKUP('Données projet'!$B$14,Paramètres!$A$1:$I$89,3,0)*0.475*44/12</f>
        <v>0.34615030939938524</v>
      </c>
      <c r="ED45" s="22">
        <f t="shared" si="18"/>
        <v>13.269853099886429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7.333333333333333</v>
      </c>
      <c r="EJ45" s="12">
        <f>IF('Données projet'!$A$192&gt;35,EJ44+EI45-ER44,IF(A45&lt;'Données projet'!$A$192,$EG$205^A45,IF(A45='Données projet'!$A$192,'Données projet'!$B$192,EJ44+EI45-ER44)))</f>
        <v>198.66666666666663</v>
      </c>
      <c r="EK45" s="17">
        <f>EJ45*VLOOKUP('Données projet'!$B$15,Paramètres!$A$1:$I$89,3,0)*VLOOKUP('Données projet'!$B$15,Paramètres!$A$1:$I$89,5,0)</f>
        <v>118.80266666666665</v>
      </c>
      <c r="EL45" s="13">
        <f t="shared" si="45"/>
        <v>31.395578184054404</v>
      </c>
      <c r="EM45" s="20">
        <f t="shared" si="19"/>
        <v>261.59527644833923</v>
      </c>
      <c r="EN45" s="59">
        <f t="shared" si="20"/>
        <v>510.97394270897394</v>
      </c>
      <c r="EO45" s="59">
        <f ca="1">AVERAGE(OFFSET($EN$3,0,0,'Données projet'!$E$15+1,1))-AVERAGE(OFFSET($H$3,0,0,'Données projet'!$E$15+1,1))</f>
        <v>225.2264820414552</v>
      </c>
      <c r="EP45" s="59">
        <f t="shared" si="46"/>
        <v>249.91838548328681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1.7443493855572525</v>
      </c>
      <c r="EW45" s="21">
        <f>EXP(-LN(2)/25)*EW44+(1-EXP(-LN(2)/25))/(LN(2)/25)*Calculateur!ER45*Calculateur!ET45*VLOOKUP('Données projet'!$B$15,Paramètres!$A$1:$I$89,3,0)*0.475*44/12</f>
        <v>6.2058637810727229</v>
      </c>
      <c r="EX45" s="21">
        <f>EXP(-LN(2)/2)*EX44+(1-EXP(-LN(2)/2))/(LN(2)/2)*ER45*EU45*VLOOKUP('Données projet'!$B$15,Paramètres!$A$1:$I$89,3,0)*0.475*44/12</f>
        <v>6.321129079182719E-2</v>
      </c>
      <c r="EY45" s="22">
        <f t="shared" si="21"/>
        <v>8.0134244574218023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22.8</v>
      </c>
      <c r="FE45" s="12">
        <f>IF('Données projet'!$A$218&gt;35,FE44+FD45-FM44,IF(A45&lt;'Données projet'!$A$218,$FB$205^A45,IF(A45='Données projet'!$A$218,'Données projet'!$B$218,FE44+FD45-FM44)))</f>
        <v>432.60000000000008</v>
      </c>
      <c r="FF45" s="17">
        <f>FE45*VLOOKUP('Données projet'!$B$16,Paramètres!$A$1:$I$89,3,0)*VLOOKUP('Données projet'!$B$16,Paramètres!$A$1:$I$89,5,0)</f>
        <v>241.82340000000005</v>
      </c>
      <c r="FG45" s="13">
        <f t="shared" si="47"/>
        <v>58.831670892221915</v>
      </c>
      <c r="FH45" s="20">
        <f t="shared" si="22"/>
        <v>523.64091513728647</v>
      </c>
      <c r="FI45" s="59">
        <f t="shared" si="23"/>
        <v>773.01958139792123</v>
      </c>
      <c r="FJ45" s="59">
        <f ca="1">AVERAGE(OFFSET($FI$3,0,0,'Données projet'!$E$16+1,1))-AVERAGE(OFFSET($H$3,0,0,'Données projet'!$E$16+1,1))</f>
        <v>549.85684198202534</v>
      </c>
      <c r="FK45" s="59">
        <f t="shared" si="48"/>
        <v>539.63748606275431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9.004313368634957</v>
      </c>
      <c r="FR45" s="21">
        <f>EXP(-LN(2)/25)*FR44+(1-EXP(-LN(2)/25))/(LN(2)/25)*Calculateur!FM45*Calculateur!FO45*VLOOKUP('Données projet'!$B$16,Paramètres!$A$1:$I$89,3,0)*0.475*44/12</f>
        <v>27.78962976508986</v>
      </c>
      <c r="FS45" s="21">
        <f>EXP(-LN(2)/2)*FS44+(1-EXP(-LN(2)/2))/(LN(2)/2)*FM45*FP45*VLOOKUP('Données projet'!$B$16,Paramètres!$A$1:$I$89,3,0)*0.475*44/12</f>
        <v>0.56987330242240775</v>
      </c>
      <c r="FT45" s="22">
        <f t="shared" si="24"/>
        <v>37.363816436147225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18.899999999999999</v>
      </c>
      <c r="FZ45" s="12">
        <f>IF('Données projet'!$A$244&gt;35,FZ44+FY45-GH44,IF(A45&lt;'Données projet'!$A$244,$FW$205^A45,IF(A45='Données projet'!$A$244,'Données projet'!$B$244,FZ44+FY45-GH44)))</f>
        <v>360.79999999999967</v>
      </c>
      <c r="GA45" s="17">
        <f>FZ45*VLOOKUP('Données projet'!$B$17,Paramètres!$A$1:$I$89,3,0)*VLOOKUP('Données projet'!$B$17,Paramètres!$A$1:$I$89,5,0)</f>
        <v>215.7583999999998</v>
      </c>
      <c r="GB45" s="13">
        <f t="shared" si="49"/>
        <v>53.191952969002173</v>
      </c>
      <c r="GC45" s="20">
        <f t="shared" si="25"/>
        <v>468.42186475434511</v>
      </c>
      <c r="GD45" s="59">
        <f t="shared" si="26"/>
        <v>717.80053101497981</v>
      </c>
      <c r="GE45" s="59">
        <f ca="1">AVERAGE(OFFSET($GD$3,0,0,'Données projet'!$E$17+1,1))-AVERAGE(OFFSET($H$3,0,0,'Données projet'!$E$17+1,1))</f>
        <v>495.6641415122013</v>
      </c>
      <c r="GF45" s="59">
        <f t="shared" si="50"/>
        <v>488.90534169400757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3.1524615091880523</v>
      </c>
      <c r="GM45" s="21">
        <f>EXP(-LN(2)/25)*GM44+(1-EXP(-LN(2)/25))/(LN(2)/25)*Calculateur!GH45*Calculateur!GJ45*VLOOKUP('Données projet'!$B$17,Paramètres!$A$1:$I$89,3,0)*0.475*44/12</f>
        <v>18.645069588927861</v>
      </c>
      <c r="GN45" s="21">
        <f>EXP(-LN(2)/2)*GN44+(1-EXP(-LN(2)/2))/(LN(2)/2)*GH45*GK45*VLOOKUP('Données projet'!$B$17,Paramètres!$A$1:$I$89,3,0)*0.475*44/12</f>
        <v>0.54311458427203818</v>
      </c>
      <c r="GO45" s="21">
        <f t="shared" si="27"/>
        <v>22.340645682387951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18.899999999999999</v>
      </c>
      <c r="GU45" s="12">
        <f>IF('Données projet'!$A$270&gt;35,GU44+GT45-HC44,IF(A45&lt;'Données projet'!$A$270,$GR$205^A45,IF(A45='Données projet'!$A$270,'Données projet'!$B$270,GU44+GT45-HC44)))</f>
        <v>360.79999999999967</v>
      </c>
      <c r="GV45" s="17">
        <f>GU45*VLOOKUP('Données projet'!$B$18,Paramètres!$A$1:$I$89,3,0)*VLOOKUP('Données projet'!$B$18,Paramètres!$A$1:$I$89,5,0)</f>
        <v>215.7583999999998</v>
      </c>
      <c r="GW45" s="13">
        <f t="shared" si="51"/>
        <v>53.191952969002173</v>
      </c>
      <c r="GX45" s="20">
        <f t="shared" si="28"/>
        <v>468.42186475434511</v>
      </c>
      <c r="GY45" s="59">
        <f t="shared" si="29"/>
        <v>717.80053101497981</v>
      </c>
      <c r="GZ45" s="59">
        <f ca="1">AVERAGE(OFFSET($GY$3,0,0,'Données projet'!$E$18+1,1))-AVERAGE(OFFSET($H$3,0,0,'Données projet'!$E$18+1,1))</f>
        <v>-18.333333333333343</v>
      </c>
      <c r="HA45" s="59">
        <f t="shared" si="52"/>
        <v>-18.333333333333343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3.1524615091880523</v>
      </c>
      <c r="HH45" s="21">
        <f>EXP(-LN(2)/25)*HH44+(1-EXP(-LN(2)/25))/(LN(2)/25)*Calculateur!HC45*Calculateur!HE45*VLOOKUP('Données projet'!$B$18,Paramètres!$A$1:$I$89,3,0)*0.475*44/12</f>
        <v>18.645069588927861</v>
      </c>
      <c r="HI45" s="21">
        <f>EXP(-LN(2)/2)*HI44+(1-EXP(-LN(2)/2))/(LN(2)/2)*HC45*HF45*VLOOKUP('Données projet'!$B$18,Paramètres!$A$1:$I$89,3,0)*0.475*44/12</f>
        <v>0.54311458427203818</v>
      </c>
      <c r="HJ45" s="22">
        <f t="shared" si="30"/>
        <v>22.340645682387951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11.499999999999996</v>
      </c>
      <c r="N46" s="13">
        <f>IF('Données projet'!$A$36&gt;35,N45+M46-V45,IF(A46&lt;'Données projet'!$A$36,$K$205^A46,IF(A46='Données projet'!$A$36,'Données projet'!$B$36,N45+M46-V45)))</f>
        <v>242.6999999999999</v>
      </c>
      <c r="O46" s="13">
        <f>N46*VLOOKUP('Données projet'!$B$9,Paramètres!$A$1:$I$89,3,0)*VLOOKUP('Données projet'!$B$9,Paramètres!$A$1:$I$89,5,0)</f>
        <v>113.58359999999995</v>
      </c>
      <c r="P46" s="13">
        <f t="shared" si="33"/>
        <v>30.17372688298952</v>
      </c>
      <c r="Q46" s="20">
        <f t="shared" si="53"/>
        <v>250.37734432120666</v>
      </c>
      <c r="R46" s="59">
        <f t="shared" si="0"/>
        <v>500.51852578763874</v>
      </c>
      <c r="S46" s="59">
        <f ca="1">AVERAGE(OFFSET($R$3,0,0,'Données projet'!$E$9+1,1))-AVERAGE(OFFSET($H$3,0,0,'Données projet'!$E$9+1,1))</f>
        <v>376.11581547534814</v>
      </c>
      <c r="T46" s="59">
        <f t="shared" si="34"/>
        <v>300.91675649863294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2.4230838273992368</v>
      </c>
      <c r="AA46" s="21">
        <f>EXP(-LN(2)/25)*AA45+(1-EXP(-LN(2)/25))/(LN(2)/25)*Calculateur!V46*Calculateur!X46*VLOOKUP('Données projet'!$B$9,Paramètres!$A$1:$I$89,3,0)*0.475*44/12</f>
        <v>5.4781795769867161</v>
      </c>
      <c r="AB46" s="21">
        <f>EXP(-LN(2)/2)*AB45+(1-EXP(-LN(2)/2))/(LN(2)/2)*V46*Y46*VLOOKUP('Données projet'!$B$9,Paramètres!$A$1:$I$89,3,0)*0.475*44/12</f>
        <v>0.10863122911000277</v>
      </c>
      <c r="AC46" s="22">
        <f t="shared" si="3"/>
        <v>8.0098946334959553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163.40687999999997</v>
      </c>
      <c r="AK46" s="13">
        <f t="shared" si="35"/>
        <v>41.610001881769797</v>
      </c>
      <c r="AL46" s="20">
        <f t="shared" si="4"/>
        <v>357.07106927741569</v>
      </c>
      <c r="AM46" s="59">
        <f t="shared" si="5"/>
        <v>607.21225074384779</v>
      </c>
      <c r="AN46" s="59">
        <f ca="1">AVERAGE(OFFSET($AM$3,0,0,'Données projet'!$E$10+1,1))-AVERAGE(OFFSET($H$3,0,0,'Données projet'!$E$10+1,1))</f>
        <v>505.38595282220405</v>
      </c>
      <c r="AO46" s="59">
        <f t="shared" si="36"/>
        <v>351.72130415456365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1.86185151993732</v>
      </c>
      <c r="AV46" s="21">
        <f>EXP(-LN(2)/25)*AV45+(1-EXP(-LN(2)/25))/(LN(2)/25)*Calculateur!AQ46*Calculateur!AS46*VLOOKUP('Données projet'!$B$10,Paramètres!$A$1:$I$89,3,0)*0.475*44/12</f>
        <v>7.8683197513463909</v>
      </c>
      <c r="AW46" s="21">
        <f>EXP(-LN(2)/2)*AW45+(1-EXP(-LN(2)/2))/(LN(2)/2)*AQ46*AT46*VLOOKUP('Données projet'!$B$10,Paramètres!$A$1:$I$89,3,0)*0.475*44/12</f>
        <v>0.2381329779713775</v>
      </c>
      <c r="AX46" s="21">
        <f t="shared" si="6"/>
        <v>9.9683042492550875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175.50935999999993</v>
      </c>
      <c r="BF46" s="13">
        <f t="shared" si="37"/>
        <v>44.321637208794016</v>
      </c>
      <c r="BG46" s="20">
        <f t="shared" si="7"/>
        <v>382.87232013864946</v>
      </c>
      <c r="BH46" s="59">
        <f t="shared" si="8"/>
        <v>633.0135016050815</v>
      </c>
      <c r="BI46" s="59">
        <f ca="1">AVERAGE(OFFSET($BH$3,0,0,'Données projet'!$E$11+1,1))-AVERAGE(OFFSET($H$3,0,0,'Données projet'!$E$11+1,1))</f>
        <v>394.14657090341535</v>
      </c>
      <c r="BJ46" s="59">
        <f t="shared" si="38"/>
        <v>424.06445894109982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2.5223459594980846</v>
      </c>
      <c r="BQ46" s="21">
        <f>EXP(-LN(2)/25)*BQ45+(1-EXP(-LN(2)/25))/(LN(2)/25)*Calculateur!BL46*Calculateur!BN46*VLOOKUP('Données projet'!$B$11,Paramètres!$A$1:$I$89,3,0)*0.475*44/12</f>
        <v>14.309792968218567</v>
      </c>
      <c r="BR46" s="21">
        <f>EXP(-LN(2)/2)*BR45+(1-EXP(-LN(2)/2))/(LN(2)/2)*BL46*BO46*VLOOKUP('Données projet'!$B$11,Paramètres!$A$1:$I$89,3,0)*0.475*44/12</f>
        <v>0.26559631458281824</v>
      </c>
      <c r="BS46" s="22">
        <f t="shared" si="9"/>
        <v>17.097735242299471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13.1</v>
      </c>
      <c r="BY46" s="12">
        <f>IF('Données projet'!$A$114&gt;35,BY45+BX46-CG45,IF(A46&lt;'Données projet'!$A$114,$BV$205^A46,IF(A46='Données projet'!$A$114,'Données projet'!$B$114,BY45+BX46-CG45)))</f>
        <v>303.29999999999995</v>
      </c>
      <c r="BZ46" s="13">
        <f>BY46*VLOOKUP('Données projet'!$B$12,Paramètres!$A$1:$I$89,3,0)*VLOOKUP('Données projet'!$B$12,Paramètres!$A$1:$I$89,5,0)</f>
        <v>165.60179999999997</v>
      </c>
      <c r="CA46" s="13">
        <f t="shared" si="39"/>
        <v>42.103475388783878</v>
      </c>
      <c r="CB46" s="20">
        <f t="shared" si="10"/>
        <v>361.7533546354652</v>
      </c>
      <c r="CC46" s="59">
        <f t="shared" si="11"/>
        <v>611.8945361018973</v>
      </c>
      <c r="CD46" s="59">
        <f ca="1">AVERAGE(OFFSET($CC$3,0,0,'Données projet'!$E$12+1,1))-AVERAGE(OFFSET($H$3,0,0,'Données projet'!$E$12+1,1))</f>
        <v>382.09004346384319</v>
      </c>
      <c r="CE46" s="59">
        <f t="shared" si="40"/>
        <v>410.18893995284986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6.5844147577574832</v>
      </c>
      <c r="CL46" s="21">
        <f>EXP(-LN(2)/25)*CL45+(1-EXP(-LN(2)/25))/(LN(2)/25)*Calculateur!CG46*Calculateur!CI46*VLOOKUP('Données projet'!$B$12,Paramètres!$A$1:$I$89,3,0)*0.475*44/12</f>
        <v>23.736960953786664</v>
      </c>
      <c r="CM46" s="21">
        <f>EXP(-LN(2)/2)*CM45+(1-EXP(-LN(2)/2))/(LN(2)/2)*CG46*CJ46*VLOOKUP('Données projet'!$B$12,Paramètres!$A$1:$I$89,3,0)*0.475*44/12</f>
        <v>0.27822912925861143</v>
      </c>
      <c r="CN46" s="22">
        <f t="shared" si="12"/>
        <v>30.599604840802758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9.4</v>
      </c>
      <c r="CT46" s="12">
        <f>IF('Données projet'!$A$140&gt;35,CT45+CS46-DB45,IF(A46&lt;'Données projet'!$A$140,$CQ$205^A46,IF(A46='Données projet'!$A$140,'Données projet'!$B$140,CT45+CS46-DB45)))</f>
        <v>202.20000000000005</v>
      </c>
      <c r="CU46" s="17">
        <f>CT46*VLOOKUP('Données projet'!$B$13,Paramètres!$A$1:$I$89,3,0)*VLOOKUP('Données projet'!$B$13,Paramètres!$A$1:$I$89,5,0)</f>
        <v>176.64192000000008</v>
      </c>
      <c r="CV46" s="13">
        <f t="shared" si="41"/>
        <v>44.574258350008236</v>
      </c>
      <c r="CW46" s="20">
        <f t="shared" si="13"/>
        <v>385.28484395959777</v>
      </c>
      <c r="CX46" s="59">
        <f t="shared" si="14"/>
        <v>635.42602542602981</v>
      </c>
      <c r="CY46" s="59">
        <f ca="1">AVERAGE(OFFSET($CX$3,0,0,'Données projet'!$E$13+1,1))-AVERAGE(OFFSET($H$3,0,0,'Données projet'!$E$13+1,1))</f>
        <v>363.02374534486341</v>
      </c>
      <c r="CZ46" s="59">
        <f t="shared" si="42"/>
        <v>489.00477393029598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5.6497563363615235</v>
      </c>
      <c r="DG46" s="21">
        <f>EXP(-LN(2)/25)*DG45+(1-EXP(-LN(2)/25))/(LN(2)/25)*Calculateur!DB46*Calculateur!DD46*VLOOKUP('Données projet'!$B$13,Paramètres!$A$1:$I$89,3,0)*0.475*44/12</f>
        <v>13.502812281755693</v>
      </c>
      <c r="DH46" s="21">
        <f>EXP(-LN(2)/2)*DH45+(1-EXP(-LN(2)/2))/(LN(2)/2)*DB46*DE46*VLOOKUP('Données projet'!$B$13,Paramètres!$A$1:$I$89,3,0)*0.475*44/12</f>
        <v>0.32388737980778742</v>
      </c>
      <c r="DI46" s="22">
        <f t="shared" si="15"/>
        <v>19.476455997925001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>
        <f>DO46*VLOOKUP('Données projet'!$B$14,Paramètres!$A$1:$I$89,3,0)*VLOOKUP('Données projet'!$B$14,Paramètres!$A$1:$I$89,5,0)</f>
        <v>161.74391999999992</v>
      </c>
      <c r="DQ46" s="13">
        <f t="shared" si="43"/>
        <v>41.235612917424163</v>
      </c>
      <c r="DR46" s="20">
        <f t="shared" si="16"/>
        <v>353.52268649784691</v>
      </c>
      <c r="DS46" s="59">
        <f t="shared" si="17"/>
        <v>603.66386796427901</v>
      </c>
      <c r="DT46" s="59">
        <f ca="1">AVERAGE(OFFSET($DS$3,0,0,'Données projet'!$E$14+1,1))-AVERAGE(OFFSET($H$3,0,0,'Données projet'!$E$14+1,1))</f>
        <v>368.03281986807173</v>
      </c>
      <c r="DU46" s="59">
        <f t="shared" si="44"/>
        <v>395.83504504492248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1.8859271861434066</v>
      </c>
      <c r="EB46" s="21">
        <f>EXP(-LN(2)/25)*EB45+(1-EXP(-LN(2)/25))/(LN(2)/25)*Calculateur!DW46*Calculateur!DY46*VLOOKUP('Données projet'!$B$14,Paramètres!$A$1:$I$89,3,0)*0.475*44/12</f>
        <v>10.699256969578144</v>
      </c>
      <c r="EC46" s="21">
        <f>EXP(-LN(2)/2)*EC45+(1-EXP(-LN(2)/2))/(LN(2)/2)*DW46*DZ46*VLOOKUP('Données projet'!$B$14,Paramètres!$A$1:$I$89,3,0)*0.475*44/12</f>
        <v>0.24476523108612683</v>
      </c>
      <c r="ED46" s="22">
        <f t="shared" si="18"/>
        <v>12.829949386807678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7.333333333333333</v>
      </c>
      <c r="EJ46" s="12">
        <f>IF('Données projet'!$A$192&gt;35,EJ45+EI46-ER45,IF(A46&lt;'Données projet'!$A$192,$EG$205^A46,IF(A46='Données projet'!$A$192,'Données projet'!$B$192,EJ45+EI46-ER45)))</f>
        <v>205.99999999999997</v>
      </c>
      <c r="EK46" s="17">
        <f>EJ46*VLOOKUP('Données projet'!$B$15,Paramètres!$A$1:$I$89,3,0)*VLOOKUP('Données projet'!$B$15,Paramètres!$A$1:$I$89,5,0)</f>
        <v>123.18799999999999</v>
      </c>
      <c r="EL46" s="13">
        <f t="shared" si="45"/>
        <v>32.417409489939047</v>
      </c>
      <c r="EM46" s="20">
        <f t="shared" si="19"/>
        <v>271.01275486164383</v>
      </c>
      <c r="EN46" s="59">
        <f t="shared" si="20"/>
        <v>521.15393632807582</v>
      </c>
      <c r="EO46" s="59">
        <f ca="1">AVERAGE(OFFSET($EN$3,0,0,'Données projet'!$E$15+1,1))-AVERAGE(OFFSET($H$3,0,0,'Données projet'!$E$15+1,1))</f>
        <v>225.2264820414552</v>
      </c>
      <c r="EP46" s="59">
        <f t="shared" si="46"/>
        <v>249.91838548328681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1.7101437580545438</v>
      </c>
      <c r="EW46" s="21">
        <f>EXP(-LN(2)/25)*EW45+(1-EXP(-LN(2)/25))/(LN(2)/25)*Calculateur!ER46*Calculateur!ET46*VLOOKUP('Données projet'!$B$15,Paramètres!$A$1:$I$89,3,0)*0.475*44/12</f>
        <v>6.036164109627097</v>
      </c>
      <c r="EX46" s="21">
        <f>EXP(-LN(2)/2)*EX45+(1-EXP(-LN(2)/2))/(LN(2)/2)*ER46*EU46*VLOOKUP('Données projet'!$B$15,Paramètres!$A$1:$I$89,3,0)*0.475*44/12</f>
        <v>4.4697132366455776E-2</v>
      </c>
      <c r="EY46" s="22">
        <f t="shared" si="21"/>
        <v>7.7910050000480968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22.8</v>
      </c>
      <c r="FE46" s="12">
        <f>IF('Données projet'!$A$218&gt;35,FE45+FD46-FM45,IF(A46&lt;'Données projet'!$A$218,$FB$205^A46,IF(A46='Données projet'!$A$218,'Données projet'!$B$218,FE45+FD46-FM45)))</f>
        <v>455.40000000000009</v>
      </c>
      <c r="FF46" s="17">
        <f>FE46*VLOOKUP('Données projet'!$B$16,Paramètres!$A$1:$I$89,3,0)*VLOOKUP('Données projet'!$B$16,Paramètres!$A$1:$I$89,5,0)</f>
        <v>254.56860000000006</v>
      </c>
      <c r="FG46" s="13">
        <f t="shared" si="47"/>
        <v>61.563204302796244</v>
      </c>
      <c r="FH46" s="20">
        <f t="shared" si="22"/>
        <v>550.59622582737018</v>
      </c>
      <c r="FI46" s="59">
        <f t="shared" si="23"/>
        <v>800.73740729380222</v>
      </c>
      <c r="FJ46" s="59">
        <f ca="1">AVERAGE(OFFSET($FI$3,0,0,'Données projet'!$E$16+1,1))-AVERAGE(OFFSET($H$3,0,0,'Données projet'!$E$16+1,1))</f>
        <v>549.85684198202534</v>
      </c>
      <c r="FK46" s="59">
        <f t="shared" si="48"/>
        <v>539.63748606275431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8.8277442755648821</v>
      </c>
      <c r="FR46" s="21">
        <f>EXP(-LN(2)/25)*FR45+(1-EXP(-LN(2)/25))/(LN(2)/25)*Calculateur!FM46*Calculateur!FO46*VLOOKUP('Données projet'!$B$16,Paramètres!$A$1:$I$89,3,0)*0.475*44/12</f>
        <v>27.029720877770362</v>
      </c>
      <c r="FS46" s="21">
        <f>EXP(-LN(2)/2)*FS45+(1-EXP(-LN(2)/2))/(LN(2)/2)*FM46*FP46*VLOOKUP('Données projet'!$B$16,Paramètres!$A$1:$I$89,3,0)*0.475*44/12</f>
        <v>0.4029612765600567</v>
      </c>
      <c r="FT46" s="22">
        <f t="shared" si="24"/>
        <v>36.260426429895297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18.899999999999999</v>
      </c>
      <c r="FZ46" s="12">
        <f>IF('Données projet'!$A$244&gt;35,FZ45+FY46-GH45,IF(A46&lt;'Données projet'!$A$244,$FW$205^A46,IF(A46='Données projet'!$A$244,'Données projet'!$B$244,FZ45+FY46-GH45)))</f>
        <v>379.69999999999965</v>
      </c>
      <c r="GA46" s="17">
        <f>FZ46*VLOOKUP('Données projet'!$B$17,Paramètres!$A$1:$I$89,3,0)*VLOOKUP('Données projet'!$B$17,Paramètres!$A$1:$I$89,5,0)</f>
        <v>227.06059999999979</v>
      </c>
      <c r="GB46" s="13">
        <f t="shared" si="49"/>
        <v>55.64663953218794</v>
      </c>
      <c r="GC46" s="20">
        <f t="shared" si="25"/>
        <v>492.38177551856029</v>
      </c>
      <c r="GD46" s="59">
        <f t="shared" si="26"/>
        <v>742.52295698499233</v>
      </c>
      <c r="GE46" s="59">
        <f ca="1">AVERAGE(OFFSET($GD$3,0,0,'Données projet'!$E$17+1,1))-AVERAGE(OFFSET($H$3,0,0,'Données projet'!$E$17+1,1))</f>
        <v>495.6641415122013</v>
      </c>
      <c r="GF46" s="59">
        <f t="shared" si="50"/>
        <v>488.90534169400757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3.0906436618045334</v>
      </c>
      <c r="GM46" s="21">
        <f>EXP(-LN(2)/25)*GM45+(1-EXP(-LN(2)/25))/(LN(2)/25)*Calculateur!GH46*Calculateur!GJ46*VLOOKUP('Données projet'!$B$17,Paramètres!$A$1:$I$89,3,0)*0.475*44/12</f>
        <v>18.135219180517034</v>
      </c>
      <c r="GN46" s="21">
        <f>EXP(-LN(2)/2)*GN45+(1-EXP(-LN(2)/2))/(LN(2)/2)*GH46*GK46*VLOOKUP('Données projet'!$B$17,Paramètres!$A$1:$I$89,3,0)*0.475*44/12</f>
        <v>0.38404000550007084</v>
      </c>
      <c r="GO46" s="21">
        <f t="shared" si="27"/>
        <v>21.60990284782164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18.899999999999999</v>
      </c>
      <c r="GU46" s="12">
        <f>IF('Données projet'!$A$270&gt;35,GU45+GT46-HC45,IF(A46&lt;'Données projet'!$A$270,$GR$205^A46,IF(A46='Données projet'!$A$270,'Données projet'!$B$270,GU45+GT46-HC45)))</f>
        <v>379.69999999999965</v>
      </c>
      <c r="GV46" s="17">
        <f>GU46*VLOOKUP('Données projet'!$B$18,Paramètres!$A$1:$I$89,3,0)*VLOOKUP('Données projet'!$B$18,Paramètres!$A$1:$I$89,5,0)</f>
        <v>227.06059999999979</v>
      </c>
      <c r="GW46" s="13">
        <f t="shared" si="51"/>
        <v>55.64663953218794</v>
      </c>
      <c r="GX46" s="20">
        <f t="shared" si="28"/>
        <v>492.38177551856029</v>
      </c>
      <c r="GY46" s="59">
        <f t="shared" si="29"/>
        <v>742.52295698499233</v>
      </c>
      <c r="GZ46" s="59">
        <f ca="1">AVERAGE(OFFSET($GY$3,0,0,'Données projet'!$E$18+1,1))-AVERAGE(OFFSET($H$3,0,0,'Données projet'!$E$18+1,1))</f>
        <v>-18.333333333333343</v>
      </c>
      <c r="HA46" s="59">
        <f t="shared" si="52"/>
        <v>-18.333333333333343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3.0906436618045334</v>
      </c>
      <c r="HH46" s="21">
        <f>EXP(-LN(2)/25)*HH45+(1-EXP(-LN(2)/25))/(LN(2)/25)*Calculateur!HC46*Calculateur!HE46*VLOOKUP('Données projet'!$B$18,Paramètres!$A$1:$I$89,3,0)*0.475*44/12</f>
        <v>18.135219180517034</v>
      </c>
      <c r="HI46" s="21">
        <f>EXP(-LN(2)/2)*HI45+(1-EXP(-LN(2)/2))/(LN(2)/2)*HC46*HF46*VLOOKUP('Données projet'!$B$18,Paramètres!$A$1:$I$89,3,0)*0.475*44/12</f>
        <v>0.38404000550007084</v>
      </c>
      <c r="HJ46" s="22">
        <f t="shared" si="30"/>
        <v>21.60990284782164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11.499999999999996</v>
      </c>
      <c r="N47" s="13">
        <f>IF('Données projet'!$A$36&gt;35,N46+M47-V46,IF(A47&lt;'Données projet'!$A$36,$K$205^A47,IF(A47='Données projet'!$A$36,'Données projet'!$B$36,N46+M47-V46)))</f>
        <v>254.1999999999999</v>
      </c>
      <c r="O47" s="13">
        <f>N47*VLOOKUP('Données projet'!$B$9,Paramètres!$A$1:$I$89,3,0)*VLOOKUP('Données projet'!$B$9,Paramètres!$A$1:$I$89,5,0)</f>
        <v>118.96559999999995</v>
      </c>
      <c r="P47" s="13">
        <f t="shared" si="33"/>
        <v>31.433621056182272</v>
      </c>
      <c r="Q47" s="20">
        <f t="shared" si="53"/>
        <v>261.945310006184</v>
      </c>
      <c r="R47" s="59">
        <f t="shared" si="0"/>
        <v>512.83577874432149</v>
      </c>
      <c r="S47" s="59">
        <f ca="1">AVERAGE(OFFSET($R$3,0,0,'Données projet'!$E$9+1,1))-AVERAGE(OFFSET($H$3,0,0,'Données projet'!$E$9+1,1))</f>
        <v>376.11581547534814</v>
      </c>
      <c r="T47" s="59">
        <f t="shared" si="34"/>
        <v>300.91675649863294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2.3755686314791387</v>
      </c>
      <c r="AA47" s="21">
        <f>EXP(-LN(2)/25)*AA46+(1-EXP(-LN(2)/25))/(LN(2)/25)*Calculateur!V47*Calculateur!X47*VLOOKUP('Données projet'!$B$9,Paramètres!$A$1:$I$89,3,0)*0.475*44/12</f>
        <v>5.3283784683690714</v>
      </c>
      <c r="AB47" s="21">
        <f>EXP(-LN(2)/2)*AB46+(1-EXP(-LN(2)/2))/(LN(2)/2)*V47*Y47*VLOOKUP('Données projet'!$B$9,Paramètres!$A$1:$I$89,3,0)*0.475*44/12</f>
        <v>7.6813878752312437E-2</v>
      </c>
      <c r="AC47" s="22">
        <f t="shared" si="3"/>
        <v>7.7807609786005223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173.54063999999997</v>
      </c>
      <c r="AK47" s="13">
        <f t="shared" si="35"/>
        <v>43.882055316228445</v>
      </c>
      <c r="AL47" s="20">
        <f t="shared" si="4"/>
        <v>378.6778610090978</v>
      </c>
      <c r="AM47" s="59">
        <f t="shared" si="5"/>
        <v>629.56832974723523</v>
      </c>
      <c r="AN47" s="59">
        <f ca="1">AVERAGE(OFFSET($AM$3,0,0,'Données projet'!$E$10+1,1))-AVERAGE(OFFSET($H$3,0,0,'Données projet'!$E$10+1,1))</f>
        <v>505.38595282220405</v>
      </c>
      <c r="AO47" s="59">
        <f t="shared" si="36"/>
        <v>351.72130415456365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1.8253417472486435</v>
      </c>
      <c r="AV47" s="21">
        <f>EXP(-LN(2)/25)*AV46+(1-EXP(-LN(2)/25))/(LN(2)/25)*Calculateur!AQ47*Calculateur!AS47*VLOOKUP('Données projet'!$B$10,Paramètres!$A$1:$I$89,3,0)*0.475*44/12</f>
        <v>7.6531601339688713</v>
      </c>
      <c r="AW47" s="21">
        <f>EXP(-LN(2)/2)*AW46+(1-EXP(-LN(2)/2))/(LN(2)/2)*AQ47*AT47*VLOOKUP('Données projet'!$B$10,Paramètres!$A$1:$I$89,3,0)*0.475*44/12</f>
        <v>0.16838544354770779</v>
      </c>
      <c r="AX47" s="21">
        <f t="shared" si="6"/>
        <v>9.6468873247652223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182.82887999999994</v>
      </c>
      <c r="BF47" s="13">
        <f t="shared" si="37"/>
        <v>45.950987516613559</v>
      </c>
      <c r="BG47" s="20">
        <f t="shared" si="7"/>
        <v>398.45826925810184</v>
      </c>
      <c r="BH47" s="59">
        <f t="shared" si="8"/>
        <v>649.34873799623927</v>
      </c>
      <c r="BI47" s="59">
        <f ca="1">AVERAGE(OFFSET($BH$3,0,0,'Données projet'!$E$11+1,1))-AVERAGE(OFFSET($H$3,0,0,'Données projet'!$E$11+1,1))</f>
        <v>394.14657090341535</v>
      </c>
      <c r="BJ47" s="59">
        <f t="shared" si="38"/>
        <v>424.06445894109982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2.4728842937114504</v>
      </c>
      <c r="BQ47" s="21">
        <f>EXP(-LN(2)/25)*BQ46+(1-EXP(-LN(2)/25))/(LN(2)/25)*Calculateur!BL47*Calculateur!BN47*VLOOKUP('Données projet'!$B$11,Paramètres!$A$1:$I$89,3,0)*0.475*44/12</f>
        <v>13.918490926983322</v>
      </c>
      <c r="BR47" s="21">
        <f>EXP(-LN(2)/2)*BR46+(1-EXP(-LN(2)/2))/(LN(2)/2)*BL47*BO47*VLOOKUP('Données projet'!$B$11,Paramètres!$A$1:$I$89,3,0)*0.475*44/12</f>
        <v>0.1878049550996663</v>
      </c>
      <c r="BS47" s="22">
        <f t="shared" si="9"/>
        <v>16.579180175794438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13.1</v>
      </c>
      <c r="BY47" s="12">
        <f>IF('Données projet'!$A$114&gt;35,BY46+BX47-CG46,IF(A47&lt;'Données projet'!$A$114,$BV$205^A47,IF(A47='Données projet'!$A$114,'Données projet'!$B$114,BY46+BX47-CG46)))</f>
        <v>316.39999999999998</v>
      </c>
      <c r="BZ47" s="13">
        <f>BY47*VLOOKUP('Données projet'!$B$12,Paramètres!$A$1:$I$89,3,0)*VLOOKUP('Données projet'!$B$12,Paramètres!$A$1:$I$89,5,0)</f>
        <v>172.75439999999998</v>
      </c>
      <c r="CA47" s="13">
        <f t="shared" si="39"/>
        <v>43.706339319278051</v>
      </c>
      <c r="CB47" s="20">
        <f t="shared" si="10"/>
        <v>377.00245431440914</v>
      </c>
      <c r="CC47" s="59">
        <f t="shared" si="11"/>
        <v>627.89292305254662</v>
      </c>
      <c r="CD47" s="59">
        <f ca="1">AVERAGE(OFFSET($CC$3,0,0,'Données projet'!$E$12+1,1))-AVERAGE(OFFSET($H$3,0,0,'Données projet'!$E$12+1,1))</f>
        <v>382.09004346384319</v>
      </c>
      <c r="CE47" s="59">
        <f t="shared" si="40"/>
        <v>410.18893995284986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6.4552984004543044</v>
      </c>
      <c r="CL47" s="21">
        <f>EXP(-LN(2)/25)*CL46+(1-EXP(-LN(2)/25))/(LN(2)/25)*Calculateur!CG47*Calculateur!CI47*VLOOKUP('Données projet'!$B$12,Paramètres!$A$1:$I$89,3,0)*0.475*44/12</f>
        <v>23.087872508232842</v>
      </c>
      <c r="CM47" s="21">
        <f>EXP(-LN(2)/2)*CM46+(1-EXP(-LN(2)/2))/(LN(2)/2)*CG47*CJ47*VLOOKUP('Données projet'!$B$12,Paramètres!$A$1:$I$89,3,0)*0.475*44/12</f>
        <v>0.1967377040223926</v>
      </c>
      <c r="CN47" s="22">
        <f t="shared" si="12"/>
        <v>29.739908612709538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9.4</v>
      </c>
      <c r="CT47" s="12">
        <f>IF('Données projet'!$A$140&gt;35,CT46+CS47-DB46,IF(A47&lt;'Données projet'!$A$140,$CQ$205^A47,IF(A47='Données projet'!$A$140,'Données projet'!$B$140,CT46+CS47-DB46)))</f>
        <v>211.60000000000005</v>
      </c>
      <c r="CU47" s="17">
        <f>CT47*VLOOKUP('Données projet'!$B$13,Paramètres!$A$1:$I$89,3,0)*VLOOKUP('Données projet'!$B$13,Paramètres!$A$1:$I$89,5,0)</f>
        <v>184.85376000000008</v>
      </c>
      <c r="CV47" s="13">
        <f t="shared" si="41"/>
        <v>46.400380376458202</v>
      </c>
      <c r="CW47" s="20">
        <f t="shared" si="13"/>
        <v>402.76762782233146</v>
      </c>
      <c r="CX47" s="59">
        <f t="shared" si="14"/>
        <v>653.65809656046895</v>
      </c>
      <c r="CY47" s="59">
        <f ca="1">AVERAGE(OFFSET($CX$3,0,0,'Données projet'!$E$13+1,1))-AVERAGE(OFFSET($H$3,0,0,'Données projet'!$E$13+1,1))</f>
        <v>363.02374534486341</v>
      </c>
      <c r="CZ47" s="59">
        <f t="shared" si="42"/>
        <v>489.00477393029598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5.5389680606165737</v>
      </c>
      <c r="DG47" s="21">
        <f>EXP(-LN(2)/25)*DG46+(1-EXP(-LN(2)/25))/(LN(2)/25)*Calculateur!DB47*Calculateur!DD47*VLOOKUP('Données projet'!$B$13,Paramètres!$A$1:$I$89,3,0)*0.475*44/12</f>
        <v>13.133577169829048</v>
      </c>
      <c r="DH47" s="21">
        <f>EXP(-LN(2)/2)*DH46+(1-EXP(-LN(2)/2))/(LN(2)/2)*DB47*DE47*VLOOKUP('Données projet'!$B$13,Paramètres!$A$1:$I$89,3,0)*0.475*44/12</f>
        <v>0.22902296260282937</v>
      </c>
      <c r="DI47" s="22">
        <f t="shared" si="15"/>
        <v>18.901568193048451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>
        <f>DO47*VLOOKUP('Données projet'!$B$14,Paramètres!$A$1:$I$89,3,0)*VLOOKUP('Données projet'!$B$14,Paramètres!$A$1:$I$89,5,0)</f>
        <v>168.48935999999992</v>
      </c>
      <c r="DQ47" s="13">
        <f t="shared" si="43"/>
        <v>42.75151491995225</v>
      </c>
      <c r="DR47" s="20">
        <f t="shared" si="16"/>
        <v>367.91119048558335</v>
      </c>
      <c r="DS47" s="59">
        <f t="shared" si="17"/>
        <v>618.80165922372078</v>
      </c>
      <c r="DT47" s="59">
        <f ca="1">AVERAGE(OFFSET($DS$3,0,0,'Données projet'!$E$14+1,1))-AVERAGE(OFFSET($H$3,0,0,'Données projet'!$E$14+1,1))</f>
        <v>368.03281986807173</v>
      </c>
      <c r="DU47" s="59">
        <f t="shared" si="44"/>
        <v>395.83504504492248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1.8489453043251352</v>
      </c>
      <c r="EB47" s="21">
        <f>EXP(-LN(2)/25)*EB46+(1-EXP(-LN(2)/25))/(LN(2)/25)*Calculateur!DW47*Calculateur!DY47*VLOOKUP('Données projet'!$B$14,Paramètres!$A$1:$I$89,3,0)*0.475*44/12</f>
        <v>10.406685225095559</v>
      </c>
      <c r="EC47" s="21">
        <f>EXP(-LN(2)/2)*EC46+(1-EXP(-LN(2)/2))/(LN(2)/2)*DW47*DZ47*VLOOKUP('Données projet'!$B$14,Paramètres!$A$1:$I$89,3,0)*0.475*44/12</f>
        <v>0.17307515469969265</v>
      </c>
      <c r="ED47" s="22">
        <f t="shared" si="18"/>
        <v>12.428705684120386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7.333333333333333</v>
      </c>
      <c r="EJ47" s="12">
        <f>IF('Données projet'!$A$192&gt;35,EJ46+EI47-ER46,IF(A47&lt;'Données projet'!$A$192,$EG$205^A47,IF(A47='Données projet'!$A$192,'Données projet'!$B$192,EJ46+EI47-ER46)))</f>
        <v>213.33333333333331</v>
      </c>
      <c r="EK47" s="17">
        <f>EJ47*VLOOKUP('Données projet'!$B$15,Paramètres!$A$1:$I$89,3,0)*VLOOKUP('Données projet'!$B$15,Paramètres!$A$1:$I$89,5,0)</f>
        <v>127.57333333333332</v>
      </c>
      <c r="EL47" s="13">
        <f t="shared" si="45"/>
        <v>33.435014461818334</v>
      </c>
      <c r="EM47" s="20">
        <f t="shared" si="19"/>
        <v>280.42287240988907</v>
      </c>
      <c r="EN47" s="59">
        <f t="shared" si="20"/>
        <v>531.31334114802644</v>
      </c>
      <c r="EO47" s="59">
        <f ca="1">AVERAGE(OFFSET($EN$3,0,0,'Données projet'!$E$15+1,1))-AVERAGE(OFFSET($H$3,0,0,'Données projet'!$E$15+1,1))</f>
        <v>225.2264820414552</v>
      </c>
      <c r="EP47" s="59">
        <f t="shared" si="46"/>
        <v>249.91838548328681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1.6766088820437905</v>
      </c>
      <c r="EW47" s="21">
        <f>EXP(-LN(2)/25)*EW46+(1-EXP(-LN(2)/25))/(LN(2)/25)*Calculateur!ER47*Calculateur!ET47*VLOOKUP('Données projet'!$B$15,Paramètres!$A$1:$I$89,3,0)*0.475*44/12</f>
        <v>5.8711048846212694</v>
      </c>
      <c r="EX47" s="21">
        <f>EXP(-LN(2)/2)*EX46+(1-EXP(-LN(2)/2))/(LN(2)/2)*ER47*EU47*VLOOKUP('Données projet'!$B$15,Paramètres!$A$1:$I$89,3,0)*0.475*44/12</f>
        <v>3.1605645395913595E-2</v>
      </c>
      <c r="EY47" s="22">
        <f t="shared" si="21"/>
        <v>7.5793194120609737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22.8</v>
      </c>
      <c r="FE47" s="12">
        <f>IF('Données projet'!$A$218&gt;35,FE46+FD47-FM46,IF(A47&lt;'Données projet'!$A$218,$FB$205^A47,IF(A47='Données projet'!$A$218,'Données projet'!$B$218,FE46+FD47-FM46)))</f>
        <v>478.2000000000001</v>
      </c>
      <c r="FF47" s="17">
        <f>FE47*VLOOKUP('Données projet'!$B$16,Paramètres!$A$1:$I$89,3,0)*VLOOKUP('Données projet'!$B$16,Paramètres!$A$1:$I$89,5,0)</f>
        <v>267.31380000000007</v>
      </c>
      <c r="FG47" s="13">
        <f t="shared" si="47"/>
        <v>64.278858533693665</v>
      </c>
      <c r="FH47" s="20">
        <f t="shared" si="22"/>
        <v>577.52388027951656</v>
      </c>
      <c r="FI47" s="59">
        <f t="shared" si="23"/>
        <v>828.41434901765399</v>
      </c>
      <c r="FJ47" s="59">
        <f ca="1">AVERAGE(OFFSET($FI$3,0,0,'Données projet'!$E$16+1,1))-AVERAGE(OFFSET($H$3,0,0,'Données projet'!$E$16+1,1))</f>
        <v>549.85684198202534</v>
      </c>
      <c r="FK47" s="59">
        <f t="shared" si="48"/>
        <v>539.63748606275431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8.6546375947133978</v>
      </c>
      <c r="FR47" s="21">
        <f>EXP(-LN(2)/25)*FR46+(1-EXP(-LN(2)/25))/(LN(2)/25)*Calculateur!FM47*Calculateur!FO47*VLOOKUP('Données projet'!$B$16,Paramètres!$A$1:$I$89,3,0)*0.475*44/12</f>
        <v>26.290591738936488</v>
      </c>
      <c r="FS47" s="21">
        <f>EXP(-LN(2)/2)*FS46+(1-EXP(-LN(2)/2))/(LN(2)/2)*FM47*FP47*VLOOKUP('Données projet'!$B$16,Paramètres!$A$1:$I$89,3,0)*0.475*44/12</f>
        <v>0.28493665121120387</v>
      </c>
      <c r="FT47" s="22">
        <f t="shared" si="24"/>
        <v>35.230165984861088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18.899999999999999</v>
      </c>
      <c r="FZ47" s="12">
        <f>IF('Données projet'!$A$244&gt;35,FZ46+FY47-GH46,IF(A47&lt;'Données projet'!$A$244,$FW$205^A47,IF(A47='Données projet'!$A$244,'Données projet'!$B$244,FZ46+FY47-GH46)))</f>
        <v>398.59999999999962</v>
      </c>
      <c r="GA47" s="17">
        <f>FZ47*VLOOKUP('Données projet'!$B$17,Paramètres!$A$1:$I$89,3,0)*VLOOKUP('Données projet'!$B$17,Paramètres!$A$1:$I$89,5,0)</f>
        <v>238.36279999999977</v>
      </c>
      <c r="GB47" s="13">
        <f t="shared" si="49"/>
        <v>58.087138719197618</v>
      </c>
      <c r="GC47" s="20">
        <f t="shared" si="25"/>
        <v>516.31697660260215</v>
      </c>
      <c r="GD47" s="59">
        <f t="shared" si="26"/>
        <v>767.20744534073958</v>
      </c>
      <c r="GE47" s="59">
        <f ca="1">AVERAGE(OFFSET($GD$3,0,0,'Données projet'!$E$17+1,1))-AVERAGE(OFFSET($H$3,0,0,'Données projet'!$E$17+1,1))</f>
        <v>495.6641415122013</v>
      </c>
      <c r="GF47" s="59">
        <f t="shared" si="50"/>
        <v>488.90534169400757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3.0300380247030416</v>
      </c>
      <c r="GM47" s="21">
        <f>EXP(-LN(2)/25)*GM46+(1-EXP(-LN(2)/25))/(LN(2)/25)*Calculateur!GH47*Calculateur!GJ47*VLOOKUP('Données projet'!$B$17,Paramètres!$A$1:$I$89,3,0)*0.475*44/12</f>
        <v>17.639310658336068</v>
      </c>
      <c r="GN47" s="21">
        <f>EXP(-LN(2)/2)*GN46+(1-EXP(-LN(2)/2))/(LN(2)/2)*GH47*GK47*VLOOKUP('Données projet'!$B$17,Paramètres!$A$1:$I$89,3,0)*0.475*44/12</f>
        <v>0.27155729213601909</v>
      </c>
      <c r="GO47" s="21">
        <f t="shared" si="27"/>
        <v>20.940905975175131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18.899999999999999</v>
      </c>
      <c r="GU47" s="12">
        <f>IF('Données projet'!$A$270&gt;35,GU46+GT47-HC46,IF(A47&lt;'Données projet'!$A$270,$GR$205^A47,IF(A47='Données projet'!$A$270,'Données projet'!$B$270,GU46+GT47-HC46)))</f>
        <v>398.59999999999962</v>
      </c>
      <c r="GV47" s="17">
        <f>GU47*VLOOKUP('Données projet'!$B$18,Paramètres!$A$1:$I$89,3,0)*VLOOKUP('Données projet'!$B$18,Paramètres!$A$1:$I$89,5,0)</f>
        <v>238.36279999999977</v>
      </c>
      <c r="GW47" s="13">
        <f t="shared" si="51"/>
        <v>58.087138719197618</v>
      </c>
      <c r="GX47" s="20">
        <f t="shared" si="28"/>
        <v>516.31697660260215</v>
      </c>
      <c r="GY47" s="59">
        <f t="shared" si="29"/>
        <v>767.20744534073958</v>
      </c>
      <c r="GZ47" s="59">
        <f ca="1">AVERAGE(OFFSET($GY$3,0,0,'Données projet'!$E$18+1,1))-AVERAGE(OFFSET($H$3,0,0,'Données projet'!$E$18+1,1))</f>
        <v>-18.333333333333343</v>
      </c>
      <c r="HA47" s="59">
        <f t="shared" si="52"/>
        <v>-18.333333333333343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3.0300380247030416</v>
      </c>
      <c r="HH47" s="21">
        <f>EXP(-LN(2)/25)*HH46+(1-EXP(-LN(2)/25))/(LN(2)/25)*Calculateur!HC47*Calculateur!HE47*VLOOKUP('Données projet'!$B$18,Paramètres!$A$1:$I$89,3,0)*0.475*44/12</f>
        <v>17.639310658336068</v>
      </c>
      <c r="HI47" s="21">
        <f>EXP(-LN(2)/2)*HI46+(1-EXP(-LN(2)/2))/(LN(2)/2)*HC47*HF47*VLOOKUP('Données projet'!$B$18,Paramètres!$A$1:$I$89,3,0)*0.475*44/12</f>
        <v>0.27155729213601909</v>
      </c>
      <c r="HJ47" s="22">
        <f t="shared" si="30"/>
        <v>20.940905975175131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11.499999999999996</v>
      </c>
      <c r="N48" s="13">
        <f>IF('Données projet'!$A$36&gt;35,N47+M48-V47,IF(A48&lt;'Données projet'!$A$36,$K$205^A48,IF(A48='Données projet'!$A$36,'Données projet'!$B$36,N47+M48-V47)))</f>
        <v>265.69999999999987</v>
      </c>
      <c r="O48" s="13">
        <f>N48*VLOOKUP('Données projet'!$B$9,Paramètres!$A$1:$I$89,3,0)*VLOOKUP('Données projet'!$B$9,Paramètres!$A$1:$I$89,5,0)</f>
        <v>124.34759999999994</v>
      </c>
      <c r="P48" s="13">
        <f t="shared" si="33"/>
        <v>32.68689576547478</v>
      </c>
      <c r="Q48" s="20">
        <f t="shared" si="53"/>
        <v>273.50174679153514</v>
      </c>
      <c r="R48" s="59">
        <f t="shared" si="0"/>
        <v>525.1285043423693</v>
      </c>
      <c r="S48" s="59">
        <f ca="1">AVERAGE(OFFSET($R$3,0,0,'Données projet'!$E$9+1,1))-AVERAGE(OFFSET($H$3,0,0,'Données projet'!$E$9+1,1))</f>
        <v>376.11581547534814</v>
      </c>
      <c r="T48" s="59">
        <f t="shared" si="34"/>
        <v>300.91675649863294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2.3289851795696257</v>
      </c>
      <c r="AA48" s="21">
        <f>EXP(-LN(2)/25)*AA47+(1-EXP(-LN(2)/25))/(LN(2)/25)*Calculateur!V48*Calculateur!X48*VLOOKUP('Données projet'!$B$9,Paramètres!$A$1:$I$89,3,0)*0.475*44/12</f>
        <v>5.1826736789442736</v>
      </c>
      <c r="AB48" s="21">
        <f>EXP(-LN(2)/2)*AB47+(1-EXP(-LN(2)/2))/(LN(2)/2)*V48*Y48*VLOOKUP('Données projet'!$B$9,Paramètres!$A$1:$I$89,3,0)*0.475*44/12</f>
        <v>5.4315614555001383E-2</v>
      </c>
      <c r="AC48" s="22">
        <f t="shared" si="3"/>
        <v>7.5659744730689003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183.67439999999993</v>
      </c>
      <c r="AK48" s="13">
        <f t="shared" si="35"/>
        <v>46.138708549418673</v>
      </c>
      <c r="AL48" s="20">
        <f t="shared" si="4"/>
        <v>400.25783072357075</v>
      </c>
      <c r="AM48" s="59">
        <f t="shared" si="5"/>
        <v>651.8845882744049</v>
      </c>
      <c r="AN48" s="59">
        <f ca="1">AVERAGE(OFFSET($AM$3,0,0,'Données projet'!$E$10+1,1))-AVERAGE(OFFSET($H$3,0,0,'Données projet'!$E$10+1,1))</f>
        <v>505.38595282220405</v>
      </c>
      <c r="AO48" s="59">
        <f t="shared" si="36"/>
        <v>351.72130415456365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1.7895479089336295</v>
      </c>
      <c r="AV48" s="21">
        <f>EXP(-LN(2)/25)*AV47+(1-EXP(-LN(2)/25))/(LN(2)/25)*Calculateur!AQ48*Calculateur!AS48*VLOOKUP('Données projet'!$B$10,Paramètres!$A$1:$I$89,3,0)*0.475*44/12</f>
        <v>7.4438840676432925</v>
      </c>
      <c r="AW48" s="21">
        <f>EXP(-LN(2)/2)*AW47+(1-EXP(-LN(2)/2))/(LN(2)/2)*AQ48*AT48*VLOOKUP('Données projet'!$B$10,Paramètres!$A$1:$I$89,3,0)*0.475*44/12</f>
        <v>0.11906648898568878</v>
      </c>
      <c r="AX48" s="21">
        <f t="shared" si="6"/>
        <v>9.3524984655626113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190.14839999999992</v>
      </c>
      <c r="BF48" s="13">
        <f t="shared" si="37"/>
        <v>47.572760493232991</v>
      </c>
      <c r="BG48" s="20">
        <f t="shared" si="7"/>
        <v>414.03102119238065</v>
      </c>
      <c r="BH48" s="59">
        <f t="shared" si="8"/>
        <v>665.65777874321475</v>
      </c>
      <c r="BI48" s="59">
        <f ca="1">AVERAGE(OFFSET($BH$3,0,0,'Données projet'!$E$11+1,1))-AVERAGE(OFFSET($H$3,0,0,'Données projet'!$E$11+1,1))</f>
        <v>394.14657090341535</v>
      </c>
      <c r="BJ48" s="59">
        <f t="shared" si="38"/>
        <v>424.06445894109982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2.4243925410222547</v>
      </c>
      <c r="BQ48" s="21">
        <f>EXP(-LN(2)/25)*BQ47+(1-EXP(-LN(2)/25))/(LN(2)/25)*Calculateur!BL48*Calculateur!BN48*VLOOKUP('Données projet'!$B$11,Paramètres!$A$1:$I$89,3,0)*0.475*44/12</f>
        <v>13.537889060643337</v>
      </c>
      <c r="BR48" s="21">
        <f>EXP(-LN(2)/2)*BR47+(1-EXP(-LN(2)/2))/(LN(2)/2)*BL48*BO48*VLOOKUP('Données projet'!$B$11,Paramètres!$A$1:$I$89,3,0)*0.475*44/12</f>
        <v>0.13279815729140912</v>
      </c>
      <c r="BS48" s="22">
        <f t="shared" si="9"/>
        <v>16.095079758956999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13.1</v>
      </c>
      <c r="BY48" s="12">
        <f>IF('Données projet'!$A$114&gt;35,BY47+BX48-CG47,IF(A48&lt;'Données projet'!$A$114,$BV$205^A48,IF(A48='Données projet'!$A$114,'Données projet'!$B$114,BY47+BX48-CG47)))</f>
        <v>329.5</v>
      </c>
      <c r="BZ48" s="13">
        <f>BY48*VLOOKUP('Données projet'!$B$12,Paramètres!$A$1:$I$89,3,0)*VLOOKUP('Données projet'!$B$12,Paramètres!$A$1:$I$89,5,0)</f>
        <v>179.90699999999998</v>
      </c>
      <c r="CA48" s="13">
        <f t="shared" si="39"/>
        <v>45.301494757695771</v>
      </c>
      <c r="CB48" s="20">
        <f t="shared" si="10"/>
        <v>392.2381283696534</v>
      </c>
      <c r="CC48" s="59">
        <f t="shared" si="11"/>
        <v>643.8648859204875</v>
      </c>
      <c r="CD48" s="59">
        <f ca="1">AVERAGE(OFFSET($CC$3,0,0,'Données projet'!$E$12+1,1))-AVERAGE(OFFSET($H$3,0,0,'Données projet'!$E$12+1,1))</f>
        <v>382.09004346384319</v>
      </c>
      <c r="CE48" s="59">
        <f t="shared" si="40"/>
        <v>410.18893995284986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6.3287139361646396</v>
      </c>
      <c r="CL48" s="21">
        <f>EXP(-LN(2)/25)*CL47+(1-EXP(-LN(2)/25))/(LN(2)/25)*Calculateur!CG48*Calculateur!CI48*VLOOKUP('Données projet'!$B$12,Paramètres!$A$1:$I$89,3,0)*0.475*44/12</f>
        <v>22.456533420356767</v>
      </c>
      <c r="CM48" s="21">
        <f>EXP(-LN(2)/2)*CM47+(1-EXP(-LN(2)/2))/(LN(2)/2)*CG48*CJ48*VLOOKUP('Données projet'!$B$12,Paramètres!$A$1:$I$89,3,0)*0.475*44/12</f>
        <v>0.13911456462930571</v>
      </c>
      <c r="CN48" s="22">
        <f t="shared" si="12"/>
        <v>28.924361921150712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9.4</v>
      </c>
      <c r="CT48" s="12">
        <f>IF('Données projet'!$A$140&gt;35,CT47+CS48-DB47,IF(A48&lt;'Données projet'!$A$140,$CQ$205^A48,IF(A48='Données projet'!$A$140,'Données projet'!$B$140,CT47+CS48-DB47)))</f>
        <v>221.00000000000006</v>
      </c>
      <c r="CU48" s="17">
        <f>CT48*VLOOKUP('Données projet'!$B$13,Paramètres!$A$1:$I$89,3,0)*VLOOKUP('Données projet'!$B$13,Paramètres!$A$1:$I$89,5,0)</f>
        <v>193.06560000000007</v>
      </c>
      <c r="CV48" s="13">
        <f t="shared" si="41"/>
        <v>48.217080828790458</v>
      </c>
      <c r="CW48" s="20">
        <f t="shared" si="13"/>
        <v>420.23400244347687</v>
      </c>
      <c r="CX48" s="59">
        <f t="shared" si="14"/>
        <v>671.86075999431102</v>
      </c>
      <c r="CY48" s="59">
        <f ca="1">AVERAGE(OFFSET($CX$3,0,0,'Données projet'!$E$13+1,1))-AVERAGE(OFFSET($H$3,0,0,'Données projet'!$E$13+1,1))</f>
        <v>363.02374534486341</v>
      </c>
      <c r="CZ48" s="59">
        <f t="shared" si="42"/>
        <v>489.00477393029598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5.4303522753848066</v>
      </c>
      <c r="DG48" s="21">
        <f>EXP(-LN(2)/25)*DG47+(1-EXP(-LN(2)/25))/(LN(2)/25)*Calculateur!DB48*Calculateur!DD48*VLOOKUP('Données projet'!$B$13,Paramètres!$A$1:$I$89,3,0)*0.475*44/12</f>
        <v>12.774438811455266</v>
      </c>
      <c r="DH48" s="21">
        <f>EXP(-LN(2)/2)*DH47+(1-EXP(-LN(2)/2))/(LN(2)/2)*DB48*DE48*VLOOKUP('Données projet'!$B$13,Paramètres!$A$1:$I$89,3,0)*0.475*44/12</f>
        <v>0.16194368990389374</v>
      </c>
      <c r="DI48" s="22">
        <f t="shared" si="15"/>
        <v>18.366734776743964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>
        <f>DO48*VLOOKUP('Données projet'!$B$14,Paramètres!$A$1:$I$89,3,0)*VLOOKUP('Données projet'!$B$14,Paramètres!$A$1:$I$89,5,0)</f>
        <v>175.23479999999992</v>
      </c>
      <c r="DQ48" s="13">
        <f t="shared" si="43"/>
        <v>44.260367185241478</v>
      </c>
      <c r="DR48" s="20">
        <f t="shared" si="16"/>
        <v>382.28741618096211</v>
      </c>
      <c r="DS48" s="59">
        <f t="shared" si="17"/>
        <v>633.91417373179627</v>
      </c>
      <c r="DT48" s="59">
        <f ca="1">AVERAGE(OFFSET($DS$3,0,0,'Données projet'!$E$14+1,1))-AVERAGE(OFFSET($H$3,0,0,'Données projet'!$E$14+1,1))</f>
        <v>368.03281986807173</v>
      </c>
      <c r="DU48" s="59">
        <f t="shared" si="44"/>
        <v>395.83504504492248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1.8126886146525993</v>
      </c>
      <c r="EB48" s="21">
        <f>EXP(-LN(2)/25)*EB47+(1-EXP(-LN(2)/25))/(LN(2)/25)*Calculateur!DW48*Calculateur!DY48*VLOOKUP('Données projet'!$B$14,Paramètres!$A$1:$I$89,3,0)*0.475*44/12</f>
        <v>10.12211387035153</v>
      </c>
      <c r="EC48" s="21">
        <f>EXP(-LN(2)/2)*EC47+(1-EXP(-LN(2)/2))/(LN(2)/2)*DW48*DZ48*VLOOKUP('Données projet'!$B$14,Paramètres!$A$1:$I$89,3,0)*0.475*44/12</f>
        <v>0.12238261554306344</v>
      </c>
      <c r="ED48" s="22">
        <f t="shared" si="18"/>
        <v>12.057185100547192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7.333333333333333</v>
      </c>
      <c r="EJ48" s="12">
        <f>IF('Données projet'!$A$192&gt;35,EJ47+EI48-ER47,IF(A48&lt;'Données projet'!$A$192,$EG$205^A48,IF(A48='Données projet'!$A$192,'Données projet'!$B$192,EJ47+EI48-ER47)))</f>
        <v>220.66666666666666</v>
      </c>
      <c r="EK48" s="17">
        <f>EJ48*VLOOKUP('Données projet'!$B$15,Paramètres!$A$1:$I$89,3,0)*VLOOKUP('Données projet'!$B$15,Paramètres!$A$1:$I$89,5,0)</f>
        <v>131.95866666666666</v>
      </c>
      <c r="EL48" s="13">
        <f t="shared" si="45"/>
        <v>34.448555031300216</v>
      </c>
      <c r="EM48" s="20">
        <f t="shared" si="19"/>
        <v>289.82591112395897</v>
      </c>
      <c r="EN48" s="59">
        <f t="shared" si="20"/>
        <v>541.45266867479313</v>
      </c>
      <c r="EO48" s="59">
        <f ca="1">AVERAGE(OFFSET($EN$3,0,0,'Données projet'!$E$15+1,1))-AVERAGE(OFFSET($H$3,0,0,'Données projet'!$E$15+1,1))</f>
        <v>225.2264820414552</v>
      </c>
      <c r="EP48" s="59">
        <f t="shared" si="46"/>
        <v>249.91838548328681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1.6437316044973536</v>
      </c>
      <c r="EW48" s="21">
        <f>EXP(-LN(2)/25)*EW47+(1-EXP(-LN(2)/25))/(LN(2)/25)*Calculateur!ER48*Calculateur!ET48*VLOOKUP('Données projet'!$B$15,Paramètres!$A$1:$I$89,3,0)*0.475*44/12</f>
        <v>5.7105592128033136</v>
      </c>
      <c r="EX48" s="21">
        <f>EXP(-LN(2)/2)*EX47+(1-EXP(-LN(2)/2))/(LN(2)/2)*ER48*EU48*VLOOKUP('Données projet'!$B$15,Paramètres!$A$1:$I$89,3,0)*0.475*44/12</f>
        <v>2.2348566183227888E-2</v>
      </c>
      <c r="EY48" s="22">
        <f t="shared" si="21"/>
        <v>7.3766393834838944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22.8</v>
      </c>
      <c r="FE48" s="12">
        <f>IF('Données projet'!$A$218&gt;35,FE47+FD48-FM47,IF(A48&lt;'Données projet'!$A$218,$FB$205^A48,IF(A48='Données projet'!$A$218,'Données projet'!$B$218,FE47+FD48-FM47)))</f>
        <v>501.00000000000011</v>
      </c>
      <c r="FF48" s="17">
        <f>FE48*VLOOKUP('Données projet'!$B$16,Paramètres!$A$1:$I$89,3,0)*VLOOKUP('Données projet'!$B$16,Paramètres!$A$1:$I$89,5,0)</f>
        <v>280.05900000000008</v>
      </c>
      <c r="FG48" s="13">
        <f t="shared" si="47"/>
        <v>66.979477124262175</v>
      </c>
      <c r="FH48" s="20">
        <f t="shared" si="22"/>
        <v>604.42534765809012</v>
      </c>
      <c r="FI48" s="59">
        <f t="shared" si="23"/>
        <v>856.05210520892422</v>
      </c>
      <c r="FJ48" s="59">
        <f ca="1">AVERAGE(OFFSET($FI$3,0,0,'Données projet'!$E$16+1,1))-AVERAGE(OFFSET($H$3,0,0,'Données projet'!$E$16+1,1))</f>
        <v>549.85684198202534</v>
      </c>
      <c r="FK48" s="59">
        <f t="shared" si="48"/>
        <v>539.63748606275431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8.4849254302887616</v>
      </c>
      <c r="FR48" s="21">
        <f>EXP(-LN(2)/25)*FR47+(1-EXP(-LN(2)/25))/(LN(2)/25)*Calculateur!FM48*Calculateur!FO48*VLOOKUP('Données projet'!$B$16,Paramètres!$A$1:$I$89,3,0)*0.475*44/12</f>
        <v>25.571674125273137</v>
      </c>
      <c r="FS48" s="21">
        <f>EXP(-LN(2)/2)*FS47+(1-EXP(-LN(2)/2))/(LN(2)/2)*FM48*FP48*VLOOKUP('Données projet'!$B$16,Paramètres!$A$1:$I$89,3,0)*0.475*44/12</f>
        <v>0.20148063828002835</v>
      </c>
      <c r="FT48" s="22">
        <f t="shared" si="24"/>
        <v>34.258080193841934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18.899999999999999</v>
      </c>
      <c r="FZ48" s="12">
        <f>IF('Données projet'!$A$244&gt;35,FZ47+FY48-GH47,IF(A48&lt;'Données projet'!$A$244,$FW$205^A48,IF(A48='Données projet'!$A$244,'Données projet'!$B$244,FZ47+FY48-GH47)))</f>
        <v>417.4999999999996</v>
      </c>
      <c r="GA48" s="17">
        <f>FZ48*VLOOKUP('Données projet'!$B$17,Paramètres!$A$1:$I$89,3,0)*VLOOKUP('Données projet'!$B$17,Paramètres!$A$1:$I$89,5,0)</f>
        <v>249.66499999999976</v>
      </c>
      <c r="GB48" s="13">
        <f t="shared" si="49"/>
        <v>60.514200047035871</v>
      </c>
      <c r="GC48" s="20">
        <f t="shared" si="25"/>
        <v>540.22877341525373</v>
      </c>
      <c r="GD48" s="59">
        <f t="shared" si="26"/>
        <v>791.85553096608783</v>
      </c>
      <c r="GE48" s="59">
        <f ca="1">AVERAGE(OFFSET($GD$3,0,0,'Données projet'!$E$17+1,1))-AVERAGE(OFFSET($H$3,0,0,'Données projet'!$E$17+1,1))</f>
        <v>495.6641415122013</v>
      </c>
      <c r="GF48" s="59">
        <f t="shared" si="50"/>
        <v>488.90534169400757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2.9706208271793213</v>
      </c>
      <c r="GM48" s="21">
        <f>EXP(-LN(2)/25)*GM47+(1-EXP(-LN(2)/25))/(LN(2)/25)*Calculateur!GH48*Calculateur!GJ48*VLOOKUP('Données projet'!$B$17,Paramètres!$A$1:$I$89,3,0)*0.475*44/12</f>
        <v>17.156962780772837</v>
      </c>
      <c r="GN48" s="21">
        <f>EXP(-LN(2)/2)*GN47+(1-EXP(-LN(2)/2))/(LN(2)/2)*GH48*GK48*VLOOKUP('Données projet'!$B$17,Paramètres!$A$1:$I$89,3,0)*0.475*44/12</f>
        <v>0.19202000275003542</v>
      </c>
      <c r="GO48" s="21">
        <f t="shared" si="27"/>
        <v>20.319603610702192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18.899999999999999</v>
      </c>
      <c r="GU48" s="12">
        <f>IF('Données projet'!$A$270&gt;35,GU47+GT48-HC47,IF(A48&lt;'Données projet'!$A$270,$GR$205^A48,IF(A48='Données projet'!$A$270,'Données projet'!$B$270,GU47+GT48-HC47)))</f>
        <v>417.4999999999996</v>
      </c>
      <c r="GV48" s="17">
        <f>GU48*VLOOKUP('Données projet'!$B$18,Paramètres!$A$1:$I$89,3,0)*VLOOKUP('Données projet'!$B$18,Paramètres!$A$1:$I$89,5,0)</f>
        <v>249.66499999999976</v>
      </c>
      <c r="GW48" s="13">
        <f t="shared" si="51"/>
        <v>60.514200047035871</v>
      </c>
      <c r="GX48" s="20">
        <f t="shared" si="28"/>
        <v>540.22877341525373</v>
      </c>
      <c r="GY48" s="59">
        <f t="shared" si="29"/>
        <v>791.85553096608783</v>
      </c>
      <c r="GZ48" s="59">
        <f ca="1">AVERAGE(OFFSET($GY$3,0,0,'Données projet'!$E$18+1,1))-AVERAGE(OFFSET($H$3,0,0,'Données projet'!$E$18+1,1))</f>
        <v>-18.333333333333343</v>
      </c>
      <c r="HA48" s="59">
        <f t="shared" si="52"/>
        <v>-18.333333333333343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2.9706208271793213</v>
      </c>
      <c r="HH48" s="21">
        <f>EXP(-LN(2)/25)*HH47+(1-EXP(-LN(2)/25))/(LN(2)/25)*Calculateur!HC48*Calculateur!HE48*VLOOKUP('Données projet'!$B$18,Paramètres!$A$1:$I$89,3,0)*0.475*44/12</f>
        <v>17.156962780772837</v>
      </c>
      <c r="HI48" s="21">
        <f>EXP(-LN(2)/2)*HI47+(1-EXP(-LN(2)/2))/(LN(2)/2)*HC48*HF48*VLOOKUP('Données projet'!$B$18,Paramètres!$A$1:$I$89,3,0)*0.475*44/12</f>
        <v>0.19202000275003542</v>
      </c>
      <c r="HJ48" s="22">
        <f t="shared" si="30"/>
        <v>20.319603610702192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11.499999999999996</v>
      </c>
      <c r="N49" s="13">
        <f>IF('Données projet'!$A$36&gt;35,N48+M49-V48,IF(A49&lt;'Données projet'!$A$36,$K$205^A49,IF(A49='Données projet'!$A$36,'Données projet'!$B$36,N48+M49-V48)))</f>
        <v>277.19999999999987</v>
      </c>
      <c r="O49" s="13">
        <f>N49*VLOOKUP('Données projet'!$B$9,Paramètres!$A$1:$I$89,3,0)*VLOOKUP('Données projet'!$B$9,Paramètres!$A$1:$I$89,5,0)</f>
        <v>129.72959999999992</v>
      </c>
      <c r="P49" s="13">
        <f t="shared" si="33"/>
        <v>33.933870261867483</v>
      </c>
      <c r="Q49" s="20">
        <f t="shared" si="53"/>
        <v>285.04721070608576</v>
      </c>
      <c r="R49" s="59">
        <f t="shared" si="0"/>
        <v>537.39748410481138</v>
      </c>
      <c r="S49" s="59">
        <f ca="1">AVERAGE(OFFSET($R$3,0,0,'Données projet'!$E$9+1,1))-AVERAGE(OFFSET($H$3,0,0,'Données projet'!$E$9+1,1))</f>
        <v>376.11581547534814</v>
      </c>
      <c r="T49" s="59">
        <f t="shared" si="34"/>
        <v>300.91675649863294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2.2833152007389583</v>
      </c>
      <c r="AA49" s="21">
        <f>EXP(-LN(2)/25)*AA48+(1-EXP(-LN(2)/25))/(LN(2)/25)*Calculateur!V49*Calculateur!X49*VLOOKUP('Données projet'!$B$9,Paramètres!$A$1:$I$89,3,0)*0.475*44/12</f>
        <v>5.040953194648579</v>
      </c>
      <c r="AB49" s="21">
        <f>EXP(-LN(2)/2)*AB48+(1-EXP(-LN(2)/2))/(LN(2)/2)*V49*Y49*VLOOKUP('Données projet'!$B$9,Paramètres!$A$1:$I$89,3,0)*0.475*44/12</f>
        <v>3.8406939376156218E-2</v>
      </c>
      <c r="AC49" s="22">
        <f t="shared" si="3"/>
        <v>7.3626753347636944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193.80815999999993</v>
      </c>
      <c r="AK49" s="13">
        <f t="shared" si="35"/>
        <v>48.380908095574689</v>
      </c>
      <c r="AL49" s="20">
        <f t="shared" si="4"/>
        <v>421.81262693312578</v>
      </c>
      <c r="AM49" s="59">
        <f t="shared" si="5"/>
        <v>674.16290033185146</v>
      </c>
      <c r="AN49" s="59">
        <f ca="1">AVERAGE(OFFSET($AM$3,0,0,'Données projet'!$E$10+1,1))-AVERAGE(OFFSET($H$3,0,0,'Données projet'!$E$10+1,1))</f>
        <v>505.38595282220405</v>
      </c>
      <c r="AO49" s="59">
        <f t="shared" si="36"/>
        <v>351.72130415456365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1.7544559659558872</v>
      </c>
      <c r="AV49" s="21">
        <f>EXP(-LN(2)/25)*AV48+(1-EXP(-LN(2)/25))/(LN(2)/25)*Calculateur!AQ49*Calculateur!AS49*VLOOKUP('Données projet'!$B$10,Paramètres!$A$1:$I$89,3,0)*0.475*44/12</f>
        <v>7.2403306663567371</v>
      </c>
      <c r="AW49" s="21">
        <f>EXP(-LN(2)/2)*AW48+(1-EXP(-LN(2)/2))/(LN(2)/2)*AQ49*AT49*VLOOKUP('Données projet'!$B$10,Paramètres!$A$1:$I$89,3,0)*0.475*44/12</f>
        <v>8.419272177385391E-2</v>
      </c>
      <c r="AX49" s="21">
        <f t="shared" si="6"/>
        <v>9.0789793540864796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197.46791999999991</v>
      </c>
      <c r="BF49" s="13">
        <f t="shared" si="37"/>
        <v>49.187281204902298</v>
      </c>
      <c r="BG49" s="20">
        <f t="shared" si="7"/>
        <v>429.591142098538</v>
      </c>
      <c r="BH49" s="59">
        <f t="shared" si="8"/>
        <v>681.94141549726362</v>
      </c>
      <c r="BI49" s="59">
        <f ca="1">AVERAGE(OFFSET($BH$3,0,0,'Données projet'!$E$11+1,1))-AVERAGE(OFFSET($H$3,0,0,'Données projet'!$E$11+1,1))</f>
        <v>394.14657090341535</v>
      </c>
      <c r="BJ49" s="59">
        <f t="shared" si="38"/>
        <v>424.06445894109982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2.3768516820262455</v>
      </c>
      <c r="BQ49" s="21">
        <f>EXP(-LN(2)/25)*BQ48+(1-EXP(-LN(2)/25))/(LN(2)/25)*Calculateur!BL49*Calculateur!BN49*VLOOKUP('Données projet'!$B$11,Paramètres!$A$1:$I$89,3,0)*0.475*44/12</f>
        <v>13.167694772353402</v>
      </c>
      <c r="BR49" s="21">
        <f>EXP(-LN(2)/2)*BR48+(1-EXP(-LN(2)/2))/(LN(2)/2)*BL49*BO49*VLOOKUP('Données projet'!$B$11,Paramètres!$A$1:$I$89,3,0)*0.475*44/12</f>
        <v>9.3902477549833149E-2</v>
      </c>
      <c r="BS49" s="22">
        <f t="shared" si="9"/>
        <v>15.63844893192948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13.1</v>
      </c>
      <c r="BY49" s="12">
        <f>IF('Données projet'!$A$114&gt;35,BY48+BX49-CG48,IF(A49&lt;'Données projet'!$A$114,$BV$205^A49,IF(A49='Données projet'!$A$114,'Données projet'!$B$114,BY48+BX49-CG48)))</f>
        <v>342.6</v>
      </c>
      <c r="BZ49" s="13">
        <f>BY49*VLOOKUP('Données projet'!$B$12,Paramètres!$A$1:$I$89,3,0)*VLOOKUP('Données projet'!$B$12,Paramètres!$A$1:$I$89,5,0)</f>
        <v>187.05959999999999</v>
      </c>
      <c r="CA49" s="13">
        <f t="shared" si="39"/>
        <v>46.889283237928609</v>
      </c>
      <c r="CB49" s="20">
        <f t="shared" si="10"/>
        <v>407.46097163939231</v>
      </c>
      <c r="CC49" s="59">
        <f t="shared" si="11"/>
        <v>659.81124503811793</v>
      </c>
      <c r="CD49" s="59">
        <f ca="1">AVERAGE(OFFSET($CC$3,0,0,'Données projet'!$E$12+1,1))-AVERAGE(OFFSET($H$3,0,0,'Données projet'!$E$12+1,1))</f>
        <v>382.09004346384319</v>
      </c>
      <c r="CE49" s="59">
        <f t="shared" si="40"/>
        <v>410.18893995284986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6.2046117160107954</v>
      </c>
      <c r="CL49" s="21">
        <f>EXP(-LN(2)/25)*CL48+(1-EXP(-LN(2)/25))/(LN(2)/25)*Calculateur!CG49*Calculateur!CI49*VLOOKUP('Données projet'!$B$12,Paramètres!$A$1:$I$89,3,0)*0.475*44/12</f>
        <v>21.842458333039342</v>
      </c>
      <c r="CM49" s="21">
        <f>EXP(-LN(2)/2)*CM48+(1-EXP(-LN(2)/2))/(LN(2)/2)*CG49*CJ49*VLOOKUP('Données projet'!$B$12,Paramètres!$A$1:$I$89,3,0)*0.475*44/12</f>
        <v>9.8368852011196301E-2</v>
      </c>
      <c r="CN49" s="22">
        <f t="shared" si="12"/>
        <v>28.145438901061333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9.4</v>
      </c>
      <c r="CT49" s="12">
        <f>IF('Données projet'!$A$140&gt;35,CT48+CS49-DB48,IF(A49&lt;'Données projet'!$A$140,$CQ$205^A49,IF(A49='Données projet'!$A$140,'Données projet'!$B$140,CT48+CS49-DB48)))</f>
        <v>230.40000000000006</v>
      </c>
      <c r="CU49" s="17">
        <f>CT49*VLOOKUP('Données projet'!$B$13,Paramètres!$A$1:$I$89,3,0)*VLOOKUP('Données projet'!$B$13,Paramètres!$A$1:$I$89,5,0)</f>
        <v>201.2774400000001</v>
      </c>
      <c r="CV49" s="13">
        <f t="shared" si="41"/>
        <v>50.024806258462817</v>
      </c>
      <c r="CW49" s="20">
        <f t="shared" si="13"/>
        <v>437.68474556682287</v>
      </c>
      <c r="CX49" s="59">
        <f t="shared" si="14"/>
        <v>690.03501896554849</v>
      </c>
      <c r="CY49" s="59">
        <f ca="1">AVERAGE(OFFSET($CX$3,0,0,'Données projet'!$E$13+1,1))-AVERAGE(OFFSET($H$3,0,0,'Données projet'!$E$13+1,1))</f>
        <v>363.02374534486341</v>
      </c>
      <c r="CZ49" s="59">
        <f t="shared" si="42"/>
        <v>489.00477393029598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5.3238663794523475</v>
      </c>
      <c r="DG49" s="21">
        <f>EXP(-LN(2)/25)*DG48+(1-EXP(-LN(2)/25))/(LN(2)/25)*Calculateur!DB49*Calculateur!DD49*VLOOKUP('Données projet'!$B$13,Paramètres!$A$1:$I$89,3,0)*0.475*44/12</f>
        <v>12.42512111037748</v>
      </c>
      <c r="DH49" s="21">
        <f>EXP(-LN(2)/2)*DH48+(1-EXP(-LN(2)/2))/(LN(2)/2)*DB49*DE49*VLOOKUP('Données projet'!$B$13,Paramètres!$A$1:$I$89,3,0)*0.475*44/12</f>
        <v>0.1145114813014147</v>
      </c>
      <c r="DI49" s="22">
        <f t="shared" si="15"/>
        <v>17.863498971131243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>
        <f>DO49*VLOOKUP('Données projet'!$B$14,Paramètres!$A$1:$I$89,3,0)*VLOOKUP('Données projet'!$B$14,Paramètres!$A$1:$I$89,5,0)</f>
        <v>181.98023999999992</v>
      </c>
      <c r="DQ49" s="13">
        <f t="shared" si="43"/>
        <v>45.762472145848697</v>
      </c>
      <c r="DR49" s="20">
        <f t="shared" si="16"/>
        <v>396.65189032068633</v>
      </c>
      <c r="DS49" s="59">
        <f t="shared" si="17"/>
        <v>649.00216371941201</v>
      </c>
      <c r="DT49" s="59">
        <f ca="1">AVERAGE(OFFSET($DS$3,0,0,'Données projet'!$E$14+1,1))-AVERAGE(OFFSET($H$3,0,0,'Données projet'!$E$14+1,1))</f>
        <v>368.03281986807173</v>
      </c>
      <c r="DU49" s="59">
        <f t="shared" si="44"/>
        <v>395.83504504492248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1.7771428965501448</v>
      </c>
      <c r="EB49" s="21">
        <f>EXP(-LN(2)/25)*EB48+(1-EXP(-LN(2)/25))/(LN(2)/25)*Calculateur!DW49*Calculateur!DY49*VLOOKUP('Données projet'!$B$14,Paramètres!$A$1:$I$89,3,0)*0.475*44/12</f>
        <v>9.8453241342679334</v>
      </c>
      <c r="EC49" s="21">
        <f>EXP(-LN(2)/2)*EC48+(1-EXP(-LN(2)/2))/(LN(2)/2)*DW49*DZ49*VLOOKUP('Données projet'!$B$14,Paramètres!$A$1:$I$89,3,0)*0.475*44/12</f>
        <v>8.6537577349846337E-2</v>
      </c>
      <c r="ED49" s="22">
        <f t="shared" si="18"/>
        <v>11.709004608167925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228</v>
      </c>
      <c r="EH49" s="12">
        <f>VLOOKUP(A49,'Données projet'!$A$191:$I$211,9,0)</f>
        <v>7.333333333333333</v>
      </c>
      <c r="EI49" s="12">
        <f t="array" ref="EI49">INDEX(EH:EH,MIN(IF(ISNUMBER(EH49:EH245),ROW(EH49:EH245),"")))</f>
        <v>7.333333333333333</v>
      </c>
      <c r="EJ49" s="12">
        <f>IF('Données projet'!$A$192&gt;35,EJ48+EI49-ER48,IF(A49&lt;'Données projet'!$A$192,$EG$205^A49,IF(A49='Données projet'!$A$192,'Données projet'!$B$192,EJ48+EI49-ER48)))</f>
        <v>228</v>
      </c>
      <c r="EK49" s="17">
        <f>EJ49*VLOOKUP('Données projet'!$B$15,Paramètres!$A$1:$I$89,3,0)*VLOOKUP('Données projet'!$B$15,Paramètres!$A$1:$I$89,5,0)</f>
        <v>136.34400000000002</v>
      </c>
      <c r="EL49" s="13">
        <f t="shared" si="45"/>
        <v>35.458181756405082</v>
      </c>
      <c r="EM49" s="20">
        <f t="shared" si="19"/>
        <v>299.2221332257389</v>
      </c>
      <c r="EN49" s="59">
        <f t="shared" si="20"/>
        <v>551.57240662446452</v>
      </c>
      <c r="EO49" s="59">
        <f ca="1">AVERAGE(OFFSET($EN$3,0,0,'Données projet'!$E$15+1,1))-AVERAGE(OFFSET($H$3,0,0,'Données projet'!$E$15+1,1))</f>
        <v>225.2264820414552</v>
      </c>
      <c r="EP49" s="59">
        <f t="shared" si="46"/>
        <v>249.91838548328681</v>
      </c>
      <c r="EQ49" s="15">
        <f>IF(ISNA(VLOOKUP(A49,'Données projet'!$A$191:$I$211,3,0)),0,VLOOKUP(A49,'Données projet'!$A$191:$I$211,3,0))</f>
        <v>7</v>
      </c>
      <c r="ER49" s="15">
        <f>IF(ISNA(VLOOKUP(A49,'Données projet'!$A$191:$I$211,4,0)),0,VLOOKUP(A49,'Données projet'!$A$191:$I$211,4,0))</f>
        <v>23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1.6114990303104428</v>
      </c>
      <c r="EW49" s="21">
        <f>EXP(-LN(2)/25)*EW48+(1-EXP(-LN(2)/25))/(LN(2)/25)*Calculateur!ER49*Calculateur!ET49*VLOOKUP('Données projet'!$B$15,Paramètres!$A$1:$I$89,3,0)*0.475*44/12</f>
        <v>5.5544036708239499</v>
      </c>
      <c r="EX49" s="21">
        <f>EXP(-LN(2)/2)*EX48+(1-EXP(-LN(2)/2))/(LN(2)/2)*ER49*EU49*VLOOKUP('Données projet'!$B$15,Paramètres!$A$1:$I$89,3,0)*0.475*44/12</f>
        <v>1.5802822697956798E-2</v>
      </c>
      <c r="EY49" s="22">
        <f t="shared" si="21"/>
        <v>7.1817055238323491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22.8</v>
      </c>
      <c r="FE49" s="12">
        <f>IF('Données projet'!$A$218&gt;35,FE48+FD49-FM48,IF(A49&lt;'Données projet'!$A$218,$FB$205^A49,IF(A49='Données projet'!$A$218,'Données projet'!$B$218,FE48+FD49-FM48)))</f>
        <v>523.80000000000007</v>
      </c>
      <c r="FF49" s="17">
        <f>FE49*VLOOKUP('Données projet'!$B$16,Paramètres!$A$1:$I$89,3,0)*VLOOKUP('Données projet'!$B$16,Paramètres!$A$1:$I$89,5,0)</f>
        <v>292.80420000000004</v>
      </c>
      <c r="FG49" s="13">
        <f t="shared" si="47"/>
        <v>69.665822496730271</v>
      </c>
      <c r="FH49" s="20">
        <f t="shared" si="22"/>
        <v>631.30195584847183</v>
      </c>
      <c r="FI49" s="59">
        <f t="shared" si="23"/>
        <v>883.65222924719751</v>
      </c>
      <c r="FJ49" s="59">
        <f ca="1">AVERAGE(OFFSET($FI$3,0,0,'Données projet'!$E$16+1,1))-AVERAGE(OFFSET($H$3,0,0,'Données projet'!$E$16+1,1))</f>
        <v>549.85684198202534</v>
      </c>
      <c r="FK49" s="59">
        <f t="shared" si="48"/>
        <v>539.63748606275431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8.3185412178942943</v>
      </c>
      <c r="FR49" s="21">
        <f>EXP(-LN(2)/25)*FR48+(1-EXP(-LN(2)/25))/(LN(2)/25)*Calculateur!FM49*Calculateur!FO49*VLOOKUP('Données projet'!$B$16,Paramètres!$A$1:$I$89,3,0)*0.475*44/12</f>
        <v>24.872415351561646</v>
      </c>
      <c r="FS49" s="21">
        <f>EXP(-LN(2)/2)*FS48+(1-EXP(-LN(2)/2))/(LN(2)/2)*FM49*FP49*VLOOKUP('Données projet'!$B$16,Paramètres!$A$1:$I$89,3,0)*0.475*44/12</f>
        <v>0.14246832560560194</v>
      </c>
      <c r="FT49" s="22">
        <f t="shared" si="24"/>
        <v>33.33342489506154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18.899999999999999</v>
      </c>
      <c r="FZ49" s="12">
        <f>IF('Données projet'!$A$244&gt;35,FZ48+FY49-GH48,IF(A49&lt;'Données projet'!$A$244,$FW$205^A49,IF(A49='Données projet'!$A$244,'Données projet'!$B$244,FZ48+FY49-GH48)))</f>
        <v>436.39999999999958</v>
      </c>
      <c r="GA49" s="17">
        <f>FZ49*VLOOKUP('Données projet'!$B$17,Paramètres!$A$1:$I$89,3,0)*VLOOKUP('Données projet'!$B$17,Paramètres!$A$1:$I$89,5,0)</f>
        <v>260.96719999999976</v>
      </c>
      <c r="GB49" s="13">
        <f t="shared" si="49"/>
        <v>62.928501336208789</v>
      </c>
      <c r="GC49" s="20">
        <f t="shared" si="25"/>
        <v>564.11834649389664</v>
      </c>
      <c r="GD49" s="59">
        <f t="shared" si="26"/>
        <v>816.46861989262231</v>
      </c>
      <c r="GE49" s="59">
        <f ca="1">AVERAGE(OFFSET($GD$3,0,0,'Données projet'!$E$17+1,1))-AVERAGE(OFFSET($H$3,0,0,'Données projet'!$E$17+1,1))</f>
        <v>495.6641415122013</v>
      </c>
      <c r="GF49" s="59">
        <f t="shared" si="50"/>
        <v>488.90534169400757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2.9123687646581291</v>
      </c>
      <c r="GM49" s="21">
        <f>EXP(-LN(2)/25)*GM48+(1-EXP(-LN(2)/25))/(LN(2)/25)*Calculateur!GH49*Calculateur!GJ49*VLOOKUP('Données projet'!$B$17,Paramètres!$A$1:$I$89,3,0)*0.475*44/12</f>
        <v>16.687804731287144</v>
      </c>
      <c r="GN49" s="21">
        <f>EXP(-LN(2)/2)*GN48+(1-EXP(-LN(2)/2))/(LN(2)/2)*GH49*GK49*VLOOKUP('Données projet'!$B$17,Paramètres!$A$1:$I$89,3,0)*0.475*44/12</f>
        <v>0.13577864606800955</v>
      </c>
      <c r="GO49" s="21">
        <f t="shared" si="27"/>
        <v>19.735952142013282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18.899999999999999</v>
      </c>
      <c r="GU49" s="12">
        <f>IF('Données projet'!$A$270&gt;35,GU48+GT49-HC48,IF(A49&lt;'Données projet'!$A$270,$GR$205^A49,IF(A49='Données projet'!$A$270,'Données projet'!$B$270,GU48+GT49-HC48)))</f>
        <v>436.39999999999958</v>
      </c>
      <c r="GV49" s="17">
        <f>GU49*VLOOKUP('Données projet'!$B$18,Paramètres!$A$1:$I$89,3,0)*VLOOKUP('Données projet'!$B$18,Paramètres!$A$1:$I$89,5,0)</f>
        <v>260.96719999999976</v>
      </c>
      <c r="GW49" s="13">
        <f t="shared" si="51"/>
        <v>62.928501336208789</v>
      </c>
      <c r="GX49" s="20">
        <f t="shared" si="28"/>
        <v>564.11834649389664</v>
      </c>
      <c r="GY49" s="59">
        <f t="shared" si="29"/>
        <v>816.46861989262231</v>
      </c>
      <c r="GZ49" s="59">
        <f ca="1">AVERAGE(OFFSET($GY$3,0,0,'Données projet'!$E$18+1,1))-AVERAGE(OFFSET($H$3,0,0,'Données projet'!$E$18+1,1))</f>
        <v>-18.333333333333343</v>
      </c>
      <c r="HA49" s="59">
        <f t="shared" si="52"/>
        <v>-18.333333333333343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2.9123687646581291</v>
      </c>
      <c r="HH49" s="21">
        <f>EXP(-LN(2)/25)*HH48+(1-EXP(-LN(2)/25))/(LN(2)/25)*Calculateur!HC49*Calculateur!HE49*VLOOKUP('Données projet'!$B$18,Paramètres!$A$1:$I$89,3,0)*0.475*44/12</f>
        <v>16.687804731287144</v>
      </c>
      <c r="HI49" s="21">
        <f>EXP(-LN(2)/2)*HI48+(1-EXP(-LN(2)/2))/(LN(2)/2)*HC49*HF49*VLOOKUP('Données projet'!$B$18,Paramètres!$A$1:$I$89,3,0)*0.475*44/12</f>
        <v>0.13577864606800955</v>
      </c>
      <c r="HJ49" s="22">
        <f t="shared" si="30"/>
        <v>19.735952142013282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11.499999999999996</v>
      </c>
      <c r="N50" s="13">
        <f>IF('Données projet'!$A$36&gt;35,N49+M50-V49,IF(A50&lt;'Données projet'!$A$36,$K$205^A50,IF(A50='Données projet'!$A$36,'Données projet'!$B$36,N49+M50-V49)))</f>
        <v>288.69999999999987</v>
      </c>
      <c r="O50" s="13">
        <f>N50*VLOOKUP('Données projet'!$B$9,Paramètres!$A$1:$I$89,3,0)*VLOOKUP('Données projet'!$B$9,Paramètres!$A$1:$I$89,5,0)</f>
        <v>135.11159999999992</v>
      </c>
      <c r="P50" s="13">
        <f t="shared" si="33"/>
        <v>35.174835808562257</v>
      </c>
      <c r="Q50" s="20">
        <f t="shared" si="53"/>
        <v>296.58220903324576</v>
      </c>
      <c r="R50" s="59">
        <f t="shared" si="0"/>
        <v>549.64344689744121</v>
      </c>
      <c r="S50" s="59">
        <f ca="1">AVERAGE(OFFSET($R$3,0,0,'Données projet'!$E$9+1,1))-AVERAGE(OFFSET($H$3,0,0,'Données projet'!$E$9+1,1))</f>
        <v>376.11581547534814</v>
      </c>
      <c r="T50" s="59">
        <f t="shared" si="34"/>
        <v>300.91675649863294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2.2385407823372234</v>
      </c>
      <c r="AA50" s="21">
        <f>EXP(-LN(2)/25)*AA49+(1-EXP(-LN(2)/25))/(LN(2)/25)*Calculateur!V50*Calculateur!X50*VLOOKUP('Données projet'!$B$9,Paramètres!$A$1:$I$89,3,0)*0.475*44/12</f>
        <v>4.9031080644487064</v>
      </c>
      <c r="AB50" s="21">
        <f>EXP(-LN(2)/2)*AB49+(1-EXP(-LN(2)/2))/(LN(2)/2)*V50*Y50*VLOOKUP('Données projet'!$B$9,Paramètres!$A$1:$I$89,3,0)*0.475*44/12</f>
        <v>2.7157807277500692E-2</v>
      </c>
      <c r="AC50" s="22">
        <f t="shared" si="3"/>
        <v>7.168806654063431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203.94191999999993</v>
      </c>
      <c r="AK50" s="13">
        <f t="shared" si="35"/>
        <v>50.609495896501116</v>
      </c>
      <c r="AL50" s="20">
        <f t="shared" si="4"/>
        <v>443.3437160197393</v>
      </c>
      <c r="AM50" s="59">
        <f t="shared" si="5"/>
        <v>696.4049538839347</v>
      </c>
      <c r="AN50" s="59">
        <f ca="1">AVERAGE(OFFSET($AM$3,0,0,'Données projet'!$E$10+1,1))-AVERAGE(OFFSET($H$3,0,0,'Données projet'!$E$10+1,1))</f>
        <v>505.38595282220405</v>
      </c>
      <c r="AO50" s="59">
        <f t="shared" si="36"/>
        <v>351.72130415456365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1.7200521545759666</v>
      </c>
      <c r="AV50" s="21">
        <f>EXP(-LN(2)/25)*AV49+(1-EXP(-LN(2)/25))/(LN(2)/25)*Calculateur!AQ50*Calculateur!AS50*VLOOKUP('Données projet'!$B$10,Paramètres!$A$1:$I$89,3,0)*0.475*44/12</f>
        <v>7.0423434435327703</v>
      </c>
      <c r="AW50" s="21">
        <f>EXP(-LN(2)/2)*AW49+(1-EXP(-LN(2)/2))/(LN(2)/2)*AQ50*AT50*VLOOKUP('Données projet'!$B$10,Paramètres!$A$1:$I$89,3,0)*0.475*44/12</f>
        <v>5.9533244492844396E-2</v>
      </c>
      <c r="AX50" s="21">
        <f t="shared" si="6"/>
        <v>8.8219288426015812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204.78743999999992</v>
      </c>
      <c r="BF50" s="13">
        <f t="shared" si="37"/>
        <v>50.794849254094281</v>
      </c>
      <c r="BG50" s="20">
        <f t="shared" si="7"/>
        <v>445.1391537842141</v>
      </c>
      <c r="BH50" s="59">
        <f t="shared" si="8"/>
        <v>698.20039164840955</v>
      </c>
      <c r="BI50" s="59">
        <f ca="1">AVERAGE(OFFSET($BH$3,0,0,'Données projet'!$E$11+1,1))-AVERAGE(OFFSET($H$3,0,0,'Données projet'!$E$11+1,1))</f>
        <v>394.14657090341535</v>
      </c>
      <c r="BJ50" s="59">
        <f t="shared" si="38"/>
        <v>424.06445894109982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2.3302430702780872</v>
      </c>
      <c r="BQ50" s="21">
        <f>EXP(-LN(2)/25)*BQ49+(1-EXP(-LN(2)/25))/(LN(2)/25)*Calculateur!BL50*Calculateur!BN50*VLOOKUP('Données projet'!$B$11,Paramètres!$A$1:$I$89,3,0)*0.475*44/12</f>
        <v>12.807623466344426</v>
      </c>
      <c r="BR50" s="21">
        <f>EXP(-LN(2)/2)*BR49+(1-EXP(-LN(2)/2))/(LN(2)/2)*BL50*BO50*VLOOKUP('Données projet'!$B$11,Paramètres!$A$1:$I$89,3,0)*0.475*44/12</f>
        <v>6.639907864570456E-2</v>
      </c>
      <c r="BS50" s="22">
        <f t="shared" si="9"/>
        <v>15.204265615268216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13.1</v>
      </c>
      <c r="BY50" s="12">
        <f>IF('Données projet'!$A$114&gt;35,BY49+BX50-CG49,IF(A50&lt;'Données projet'!$A$114,$BV$205^A50,IF(A50='Données projet'!$A$114,'Données projet'!$B$114,BY49+BX50-CG49)))</f>
        <v>355.70000000000005</v>
      </c>
      <c r="BZ50" s="13">
        <f>BY50*VLOOKUP('Données projet'!$B$12,Paramètres!$A$1:$I$89,3,0)*VLOOKUP('Données projet'!$B$12,Paramètres!$A$1:$I$89,5,0)</f>
        <v>194.21220000000002</v>
      </c>
      <c r="CA50" s="13">
        <f t="shared" si="39"/>
        <v>48.470018696162889</v>
      </c>
      <c r="CB50" s="20">
        <f t="shared" si="10"/>
        <v>422.67153089581711</v>
      </c>
      <c r="CC50" s="59">
        <f t="shared" si="11"/>
        <v>675.7327687600125</v>
      </c>
      <c r="CD50" s="59">
        <f ca="1">AVERAGE(OFFSET($CC$3,0,0,'Données projet'!$E$12+1,1))-AVERAGE(OFFSET($H$3,0,0,'Données projet'!$E$12+1,1))</f>
        <v>382.09004346384319</v>
      </c>
      <c r="CE50" s="59">
        <f t="shared" si="40"/>
        <v>410.18893995284986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6.0829430646992879</v>
      </c>
      <c r="CL50" s="21">
        <f>EXP(-LN(2)/25)*CL49+(1-EXP(-LN(2)/25))/(LN(2)/25)*Calculateur!CG50*Calculateur!CI50*VLOOKUP('Données projet'!$B$12,Paramètres!$A$1:$I$89,3,0)*0.475*44/12</f>
        <v>21.24517516127742</v>
      </c>
      <c r="CM50" s="21">
        <f>EXP(-LN(2)/2)*CM49+(1-EXP(-LN(2)/2))/(LN(2)/2)*CG50*CJ50*VLOOKUP('Données projet'!$B$12,Paramètres!$A$1:$I$89,3,0)*0.475*44/12</f>
        <v>6.9557282314652857E-2</v>
      </c>
      <c r="CN50" s="22">
        <f t="shared" si="12"/>
        <v>27.397675508291361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9.4</v>
      </c>
      <c r="CT50" s="12">
        <f>IF('Données projet'!$A$140&gt;35,CT49+CS50-DB49,IF(A50&lt;'Données projet'!$A$140,$CQ$205^A50,IF(A50='Données projet'!$A$140,'Données projet'!$B$140,CT49+CS50-DB49)))</f>
        <v>239.80000000000007</v>
      </c>
      <c r="CU50" s="17">
        <f>CT50*VLOOKUP('Données projet'!$B$13,Paramètres!$A$1:$I$89,3,0)*VLOOKUP('Données projet'!$B$13,Paramètres!$A$1:$I$89,5,0)</f>
        <v>209.48928000000006</v>
      </c>
      <c r="CV50" s="13">
        <f t="shared" si="41"/>
        <v>51.823964717594407</v>
      </c>
      <c r="CW50" s="20">
        <f t="shared" si="13"/>
        <v>455.12056788314362</v>
      </c>
      <c r="CX50" s="59">
        <f t="shared" si="14"/>
        <v>708.18180574733901</v>
      </c>
      <c r="CY50" s="59">
        <f ca="1">AVERAGE(OFFSET($CX$3,0,0,'Données projet'!$E$13+1,1))-AVERAGE(OFFSET($H$3,0,0,'Données projet'!$E$13+1,1))</f>
        <v>363.02374534486341</v>
      </c>
      <c r="CZ50" s="59">
        <f t="shared" si="42"/>
        <v>489.00477393029598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5.2194686069891407</v>
      </c>
      <c r="DG50" s="21">
        <f>EXP(-LN(2)/25)*DG49+(1-EXP(-LN(2)/25))/(LN(2)/25)*Calculateur!DB50*Calculateur!DD50*VLOOKUP('Données projet'!$B$13,Paramètres!$A$1:$I$89,3,0)*0.475*44/12</f>
        <v>12.085355520205487</v>
      </c>
      <c r="DH50" s="21">
        <f>EXP(-LN(2)/2)*DH49+(1-EXP(-LN(2)/2))/(LN(2)/2)*DB50*DE50*VLOOKUP('Données projet'!$B$13,Paramètres!$A$1:$I$89,3,0)*0.475*44/12</f>
        <v>8.097184495194687E-2</v>
      </c>
      <c r="DI50" s="22">
        <f t="shared" si="15"/>
        <v>17.385795972146575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>
        <f>DO50*VLOOKUP('Données projet'!$B$14,Paramètres!$A$1:$I$89,3,0)*VLOOKUP('Données projet'!$B$14,Paramètres!$A$1:$I$89,5,0)</f>
        <v>188.7256799999999</v>
      </c>
      <c r="DQ50" s="13">
        <f t="shared" si="43"/>
        <v>47.258108543543521</v>
      </c>
      <c r="DR50" s="20">
        <f t="shared" si="16"/>
        <v>411.00509838000477</v>
      </c>
      <c r="DS50" s="59">
        <f t="shared" si="17"/>
        <v>664.0663362442001</v>
      </c>
      <c r="DT50" s="59">
        <f ca="1">AVERAGE(OFFSET($DS$3,0,0,'Données projet'!$E$14+1,1))-AVERAGE(OFFSET($H$3,0,0,'Données projet'!$E$14+1,1))</f>
        <v>368.03281986807173</v>
      </c>
      <c r="DU50" s="59">
        <f t="shared" si="44"/>
        <v>395.83504504492248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1.7422942082989321</v>
      </c>
      <c r="EB50" s="21">
        <f>EXP(-LN(2)/25)*EB49+(1-EXP(-LN(2)/25))/(LN(2)/25)*Calculateur!DW50*Calculateur!DY50*VLOOKUP('Données projet'!$B$14,Paramètres!$A$1:$I$89,3,0)*0.475*44/12</f>
        <v>9.5761032280732827</v>
      </c>
      <c r="EC50" s="21">
        <f>EXP(-LN(2)/2)*EC49+(1-EXP(-LN(2)/2))/(LN(2)/2)*DW50*DZ50*VLOOKUP('Données projet'!$B$14,Paramètres!$A$1:$I$89,3,0)*0.475*44/12</f>
        <v>6.1191307771531728E-2</v>
      </c>
      <c r="ED50" s="22">
        <f t="shared" si="18"/>
        <v>11.379588744143748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5.125</v>
      </c>
      <c r="EJ50" s="12">
        <f>IF('Données projet'!$A$192&gt;35,EJ49+EI50-ER49,IF(A50&lt;'Données projet'!$A$192,$EG$205^A50,IF(A50='Données projet'!$A$192,'Données projet'!$B$192,EJ49+EI50-ER49)))</f>
        <v>210.125</v>
      </c>
      <c r="EK50" s="17">
        <f>EJ50*VLOOKUP('Données projet'!$B$15,Paramètres!$A$1:$I$89,3,0)*VLOOKUP('Données projet'!$B$15,Paramètres!$A$1:$I$89,5,0)</f>
        <v>125.65475000000001</v>
      </c>
      <c r="EL50" s="13">
        <f t="shared" si="45"/>
        <v>32.990321670339604</v>
      </c>
      <c r="EM50" s="20">
        <f t="shared" si="19"/>
        <v>276.3068331591748</v>
      </c>
      <c r="EN50" s="59">
        <f t="shared" si="20"/>
        <v>529.36807102337025</v>
      </c>
      <c r="EO50" s="59">
        <f ca="1">AVERAGE(OFFSET($EN$3,0,0,'Données projet'!$E$15+1,1))-AVERAGE(OFFSET($H$3,0,0,'Données projet'!$E$15+1,1))</f>
        <v>225.2264820414552</v>
      </c>
      <c r="EP50" s="59">
        <f t="shared" si="46"/>
        <v>249.91838548328681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1.5798985172434086</v>
      </c>
      <c r="EW50" s="21">
        <f>EXP(-LN(2)/25)*EW49+(1-EXP(-LN(2)/25))/(LN(2)/25)*Calculateur!ER50*Calculateur!ET50*VLOOKUP('Données projet'!$B$15,Paramètres!$A$1:$I$89,3,0)*0.475*44/12</f>
        <v>5.4025182103518743</v>
      </c>
      <c r="EX50" s="21">
        <f>EXP(-LN(2)/2)*EX49+(1-EXP(-LN(2)/2))/(LN(2)/2)*ER50*EU50*VLOOKUP('Données projet'!$B$15,Paramètres!$A$1:$I$89,3,0)*0.475*44/12</f>
        <v>1.1174283091613944E-2</v>
      </c>
      <c r="EY50" s="22">
        <f t="shared" si="21"/>
        <v>6.9935910106868961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22.8</v>
      </c>
      <c r="FE50" s="12">
        <f>IF('Données projet'!$A$218&gt;35,FE49+FD50-FM49,IF(A50&lt;'Données projet'!$A$218,$FB$205^A50,IF(A50='Données projet'!$A$218,'Données projet'!$B$218,FE49+FD50-FM49)))</f>
        <v>546.6</v>
      </c>
      <c r="FF50" s="17">
        <f>FE50*VLOOKUP('Données projet'!$B$16,Paramètres!$A$1:$I$89,3,0)*VLOOKUP('Données projet'!$B$16,Paramètres!$A$1:$I$89,5,0)</f>
        <v>305.54940000000005</v>
      </c>
      <c r="FG50" s="13">
        <f t="shared" si="47"/>
        <v>72.338586946416783</v>
      </c>
      <c r="FH50" s="20">
        <f t="shared" si="22"/>
        <v>658.15491059834255</v>
      </c>
      <c r="FI50" s="59">
        <f t="shared" si="23"/>
        <v>911.21614846253794</v>
      </c>
      <c r="FJ50" s="59">
        <f ca="1">AVERAGE(OFFSET($FI$3,0,0,'Données projet'!$E$16+1,1))-AVERAGE(OFFSET($H$3,0,0,'Données projet'!$E$16+1,1))</f>
        <v>549.85684198202534</v>
      </c>
      <c r="FK50" s="59">
        <f t="shared" si="48"/>
        <v>539.63748606275431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8.1554196984205323</v>
      </c>
      <c r="FR50" s="21">
        <f>EXP(-LN(2)/25)*FR49+(1-EXP(-LN(2)/25))/(LN(2)/25)*Calculateur!FM50*Calculateur!FO50*VLOOKUP('Données projet'!$B$16,Paramètres!$A$1:$I$89,3,0)*0.475*44/12</f>
        <v>24.192277845789715</v>
      </c>
      <c r="FS50" s="21">
        <f>EXP(-LN(2)/2)*FS49+(1-EXP(-LN(2)/2))/(LN(2)/2)*FM50*FP50*VLOOKUP('Données projet'!$B$16,Paramètres!$A$1:$I$89,3,0)*0.475*44/12</f>
        <v>0.10074031914001418</v>
      </c>
      <c r="FT50" s="22">
        <f t="shared" si="24"/>
        <v>32.448437863350264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18.899999999999999</v>
      </c>
      <c r="FZ50" s="12">
        <f>IF('Données projet'!$A$244&gt;35,FZ49+FY50-GH49,IF(A50&lt;'Données projet'!$A$244,$FW$205^A50,IF(A50='Données projet'!$A$244,'Données projet'!$B$244,FZ49+FY50-GH49)))</f>
        <v>455.29999999999956</v>
      </c>
      <c r="GA50" s="17">
        <f>FZ50*VLOOKUP('Données projet'!$B$17,Paramètres!$A$1:$I$89,3,0)*VLOOKUP('Données projet'!$B$17,Paramètres!$A$1:$I$89,5,0)</f>
        <v>272.26939999999979</v>
      </c>
      <c r="GB50" s="13">
        <f t="shared" si="49"/>
        <v>65.330658375654735</v>
      </c>
      <c r="GC50" s="20">
        <f t="shared" si="25"/>
        <v>587.98676833759816</v>
      </c>
      <c r="GD50" s="59">
        <f t="shared" si="26"/>
        <v>841.04800620179356</v>
      </c>
      <c r="GE50" s="59">
        <f ca="1">AVERAGE(OFFSET($GD$3,0,0,'Données projet'!$E$17+1,1))-AVERAGE(OFFSET($H$3,0,0,'Données projet'!$E$17+1,1))</f>
        <v>495.6641415122013</v>
      </c>
      <c r="GF50" s="59">
        <f t="shared" si="50"/>
        <v>488.90534169400757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2.8552589895527278</v>
      </c>
      <c r="GM50" s="21">
        <f>EXP(-LN(2)/25)*GM49+(1-EXP(-LN(2)/25))/(LN(2)/25)*Calculateur!GH50*Calculateur!GJ50*VLOOKUP('Données projet'!$B$17,Paramètres!$A$1:$I$89,3,0)*0.475*44/12</f>
        <v>16.231475833336589</v>
      </c>
      <c r="GN50" s="21">
        <f>EXP(-LN(2)/2)*GN49+(1-EXP(-LN(2)/2))/(LN(2)/2)*GH50*GK50*VLOOKUP('Données projet'!$B$17,Paramètres!$A$1:$I$89,3,0)*0.475*44/12</f>
        <v>9.6010001375017709E-2</v>
      </c>
      <c r="GO50" s="21">
        <f t="shared" si="27"/>
        <v>19.182744824264333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18.899999999999999</v>
      </c>
      <c r="GU50" s="12">
        <f>IF('Données projet'!$A$270&gt;35,GU49+GT50-HC49,IF(A50&lt;'Données projet'!$A$270,$GR$205^A50,IF(A50='Données projet'!$A$270,'Données projet'!$B$270,GU49+GT50-HC49)))</f>
        <v>455.29999999999956</v>
      </c>
      <c r="GV50" s="17">
        <f>GU50*VLOOKUP('Données projet'!$B$18,Paramètres!$A$1:$I$89,3,0)*VLOOKUP('Données projet'!$B$18,Paramètres!$A$1:$I$89,5,0)</f>
        <v>272.26939999999979</v>
      </c>
      <c r="GW50" s="13">
        <f t="shared" si="51"/>
        <v>65.330658375654735</v>
      </c>
      <c r="GX50" s="20">
        <f t="shared" si="28"/>
        <v>587.98676833759816</v>
      </c>
      <c r="GY50" s="59">
        <f t="shared" si="29"/>
        <v>841.04800620179356</v>
      </c>
      <c r="GZ50" s="59">
        <f ca="1">AVERAGE(OFFSET($GY$3,0,0,'Données projet'!$E$18+1,1))-AVERAGE(OFFSET($H$3,0,0,'Données projet'!$E$18+1,1))</f>
        <v>-18.333333333333343</v>
      </c>
      <c r="HA50" s="59">
        <f t="shared" si="52"/>
        <v>-18.333333333333343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2.8552589895527278</v>
      </c>
      <c r="HH50" s="21">
        <f>EXP(-LN(2)/25)*HH49+(1-EXP(-LN(2)/25))/(LN(2)/25)*Calculateur!HC50*Calculateur!HE50*VLOOKUP('Données projet'!$B$18,Paramètres!$A$1:$I$89,3,0)*0.475*44/12</f>
        <v>16.231475833336589</v>
      </c>
      <c r="HI50" s="21">
        <f>EXP(-LN(2)/2)*HI49+(1-EXP(-LN(2)/2))/(LN(2)/2)*HC50*HF50*VLOOKUP('Données projet'!$B$18,Paramètres!$A$1:$I$89,3,0)*0.475*44/12</f>
        <v>9.6010001375017709E-2</v>
      </c>
      <c r="HJ50" s="22">
        <f t="shared" si="30"/>
        <v>19.182744824264333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11.499999999999996</v>
      </c>
      <c r="N51" s="13">
        <f>IF('Données projet'!$A$36&gt;35,N50+M51-V50,IF(A51&lt;'Données projet'!$A$36,$K$205^A51,IF(A51='Données projet'!$A$36,'Données projet'!$B$36,N50+M51-V50)))</f>
        <v>300.19999999999987</v>
      </c>
      <c r="O51" s="13">
        <f>N51*VLOOKUP('Données projet'!$B$9,Paramètres!$A$1:$I$89,3,0)*VLOOKUP('Données projet'!$B$9,Paramètres!$A$1:$I$89,5,0)</f>
        <v>140.49359999999993</v>
      </c>
      <c r="P51" s="13">
        <f t="shared" si="33"/>
        <v>36.410059151057915</v>
      </c>
      <c r="Q51" s="20">
        <f t="shared" si="53"/>
        <v>308.10720635475906</v>
      </c>
      <c r="R51" s="59">
        <f t="shared" si="0"/>
        <v>561.8670750404267</v>
      </c>
      <c r="S51" s="59">
        <f ca="1">AVERAGE(OFFSET($R$3,0,0,'Données projet'!$E$9+1,1))-AVERAGE(OFFSET($H$3,0,0,'Données projet'!$E$9+1,1))</f>
        <v>376.11581547534814</v>
      </c>
      <c r="T51" s="59">
        <f t="shared" si="34"/>
        <v>300.91675649863294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2.194644362970648</v>
      </c>
      <c r="AA51" s="21">
        <f>EXP(-LN(2)/25)*AA50+(1-EXP(-LN(2)/25))/(LN(2)/25)*Calculateur!V51*Calculateur!X51*VLOOKUP('Données projet'!$B$9,Paramètres!$A$1:$I$89,3,0)*0.475*44/12</f>
        <v>4.7690323165831092</v>
      </c>
      <c r="AB51" s="21">
        <f>EXP(-LN(2)/2)*AB50+(1-EXP(-LN(2)/2))/(LN(2)/2)*V51*Y51*VLOOKUP('Données projet'!$B$9,Paramètres!$A$1:$I$89,3,0)*0.475*44/12</f>
        <v>1.9203469688078109E-2</v>
      </c>
      <c r="AC51" s="22">
        <f t="shared" si="3"/>
        <v>6.9828801492418346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214.07567999999992</v>
      </c>
      <c r="AK51" s="13">
        <f t="shared" si="35"/>
        <v>52.825225496078176</v>
      </c>
      <c r="AL51" s="20">
        <f t="shared" si="4"/>
        <v>464.85241040566939</v>
      </c>
      <c r="AM51" s="59">
        <f t="shared" si="5"/>
        <v>718.61227909133709</v>
      </c>
      <c r="AN51" s="59">
        <f ca="1">AVERAGE(OFFSET($AM$3,0,0,'Données projet'!$E$10+1,1))-AVERAGE(OFFSET($H$3,0,0,'Données projet'!$E$10+1,1))</f>
        <v>505.38595282220405</v>
      </c>
      <c r="AO51" s="59">
        <f t="shared" si="36"/>
        <v>351.72130415456365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1.6863229809529534</v>
      </c>
      <c r="AV51" s="21">
        <f>EXP(-LN(2)/25)*AV50+(1-EXP(-LN(2)/25))/(LN(2)/25)*Calculateur!AQ51*Calculateur!AS51*VLOOKUP('Données projet'!$B$10,Paramètres!$A$1:$I$89,3,0)*0.475*44/12</f>
        <v>6.8497701917286209</v>
      </c>
      <c r="AW51" s="21">
        <f>EXP(-LN(2)/2)*AW50+(1-EXP(-LN(2)/2))/(LN(2)/2)*AQ51*AT51*VLOOKUP('Données projet'!$B$10,Paramètres!$A$1:$I$89,3,0)*0.475*44/12</f>
        <v>4.2096360886926962E-2</v>
      </c>
      <c r="AX51" s="21">
        <f t="shared" si="6"/>
        <v>8.5781895335685014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212.10695999999987</v>
      </c>
      <c r="BF51" s="13">
        <f t="shared" si="37"/>
        <v>52.395741612408194</v>
      </c>
      <c r="BG51" s="20">
        <f t="shared" si="7"/>
        <v>460.67553864161073</v>
      </c>
      <c r="BH51" s="59">
        <f t="shared" si="8"/>
        <v>714.43540732727843</v>
      </c>
      <c r="BI51" s="59">
        <f ca="1">AVERAGE(OFFSET($BH$3,0,0,'Données projet'!$E$11+1,1))-AVERAGE(OFFSET($H$3,0,0,'Données projet'!$E$11+1,1))</f>
        <v>394.14657090341535</v>
      </c>
      <c r="BJ51" s="59">
        <f t="shared" si="38"/>
        <v>424.06445894109982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2.2845484249778645</v>
      </c>
      <c r="BQ51" s="21">
        <f>EXP(-LN(2)/25)*BQ50+(1-EXP(-LN(2)/25))/(LN(2)/25)*Calculateur!BL51*Calculateur!BN51*VLOOKUP('Données projet'!$B$11,Paramètres!$A$1:$I$89,3,0)*0.475*44/12</f>
        <v>12.457398329133591</v>
      </c>
      <c r="BR51" s="21">
        <f>EXP(-LN(2)/2)*BR50+(1-EXP(-LN(2)/2))/(LN(2)/2)*BL51*BO51*VLOOKUP('Données projet'!$B$11,Paramètres!$A$1:$I$89,3,0)*0.475*44/12</f>
        <v>4.6951238774916575E-2</v>
      </c>
      <c r="BS51" s="22">
        <f t="shared" si="9"/>
        <v>14.788897992886373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13.1</v>
      </c>
      <c r="BY51" s="12">
        <f>IF('Données projet'!$A$114&gt;35,BY50+BX51-CG50,IF(A51&lt;'Données projet'!$A$114,$BV$205^A51,IF(A51='Données projet'!$A$114,'Données projet'!$B$114,BY50+BX51-CG50)))</f>
        <v>368.80000000000007</v>
      </c>
      <c r="BZ51" s="13">
        <f>BY51*VLOOKUP('Données projet'!$B$12,Paramètres!$A$1:$I$89,3,0)*VLOOKUP('Données projet'!$B$12,Paramètres!$A$1:$I$89,5,0)</f>
        <v>201.36480000000003</v>
      </c>
      <c r="CA51" s="13">
        <f t="shared" si="39"/>
        <v>50.04399063451806</v>
      </c>
      <c r="CB51" s="20">
        <f t="shared" si="10"/>
        <v>437.87031035511899</v>
      </c>
      <c r="CC51" s="59">
        <f t="shared" si="11"/>
        <v>691.63017904078674</v>
      </c>
      <c r="CD51" s="59">
        <f ca="1">AVERAGE(OFFSET($CC$3,0,0,'Données projet'!$E$12+1,1))-AVERAGE(OFFSET($H$3,0,0,'Données projet'!$E$12+1,1))</f>
        <v>382.09004346384319</v>
      </c>
      <c r="CE51" s="59">
        <f t="shared" si="40"/>
        <v>410.18893995284986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5.9636602614294496</v>
      </c>
      <c r="CL51" s="21">
        <f>EXP(-LN(2)/25)*CL50+(1-EXP(-LN(2)/25))/(LN(2)/25)*Calculateur!CG51*Calculateur!CI51*VLOOKUP('Données projet'!$B$12,Paramètres!$A$1:$I$89,3,0)*0.475*44/12</f>
        <v>20.664224729257082</v>
      </c>
      <c r="CM51" s="21">
        <f>EXP(-LN(2)/2)*CM50+(1-EXP(-LN(2)/2))/(LN(2)/2)*CG51*CJ51*VLOOKUP('Données projet'!$B$12,Paramètres!$A$1:$I$89,3,0)*0.475*44/12</f>
        <v>4.918442600559815E-2</v>
      </c>
      <c r="CN51" s="22">
        <f t="shared" si="12"/>
        <v>26.677069416692131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9.4</v>
      </c>
      <c r="CT51" s="12">
        <f>IF('Données projet'!$A$140&gt;35,CT50+CS51-DB50,IF(A51&lt;'Données projet'!$A$140,$CQ$205^A51,IF(A51='Données projet'!$A$140,'Données projet'!$B$140,CT50+CS51-DB50)))</f>
        <v>249.20000000000007</v>
      </c>
      <c r="CU51" s="17">
        <f>CT51*VLOOKUP('Données projet'!$B$13,Paramètres!$A$1:$I$89,3,0)*VLOOKUP('Données projet'!$B$13,Paramètres!$A$1:$I$89,5,0)</f>
        <v>217.70112000000009</v>
      </c>
      <c r="CV51" s="13">
        <f t="shared" si="41"/>
        <v>53.614930456328594</v>
      </c>
      <c r="CW51" s="20">
        <f t="shared" si="13"/>
        <v>472.54212121143911</v>
      </c>
      <c r="CX51" s="59">
        <f t="shared" si="14"/>
        <v>726.30198989710675</v>
      </c>
      <c r="CY51" s="59">
        <f ca="1">AVERAGE(OFFSET($CX$3,0,0,'Données projet'!$E$13+1,1))-AVERAGE(OFFSET($H$3,0,0,'Données projet'!$E$13+1,1))</f>
        <v>363.02374534486341</v>
      </c>
      <c r="CZ51" s="59">
        <f t="shared" si="42"/>
        <v>489.00477393029598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5.1171180111675829</v>
      </c>
      <c r="DG51" s="21">
        <f>EXP(-LN(2)/25)*DG50+(1-EXP(-LN(2)/25))/(LN(2)/25)*Calculateur!DB51*Calculateur!DD51*VLOOKUP('Données projet'!$B$13,Paramètres!$A$1:$I$89,3,0)*0.475*44/12</f>
        <v>11.754880837964244</v>
      </c>
      <c r="DH51" s="21">
        <f>EXP(-LN(2)/2)*DH50+(1-EXP(-LN(2)/2))/(LN(2)/2)*DB51*DE51*VLOOKUP('Données projet'!$B$13,Paramètres!$A$1:$I$89,3,0)*0.475*44/12</f>
        <v>5.7255740650707349E-2</v>
      </c>
      <c r="DI51" s="22">
        <f t="shared" si="15"/>
        <v>16.929254589782534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>
        <f>DO51*VLOOKUP('Données projet'!$B$14,Paramètres!$A$1:$I$89,3,0)*VLOOKUP('Données projet'!$B$14,Paramètres!$A$1:$I$89,5,0)</f>
        <v>195.47111999999987</v>
      </c>
      <c r="DQ51" s="13">
        <f t="shared" si="43"/>
        <v>48.747534064963503</v>
      </c>
      <c r="DR51" s="20">
        <f t="shared" si="16"/>
        <v>425.34748916314453</v>
      </c>
      <c r="DS51" s="59">
        <f t="shared" si="17"/>
        <v>679.10735784881217</v>
      </c>
      <c r="DT51" s="59">
        <f ca="1">AVERAGE(OFFSET($DS$3,0,0,'Données projet'!$E$14+1,1))-AVERAGE(OFFSET($H$3,0,0,'Données projet'!$E$14+1,1))</f>
        <v>368.03281986807173</v>
      </c>
      <c r="DU51" s="59">
        <f t="shared" si="44"/>
        <v>395.83504504492248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1.7081288815687248</v>
      </c>
      <c r="EB51" s="21">
        <f>EXP(-LN(2)/25)*EB50+(1-EXP(-LN(2)/25))/(LN(2)/25)*Calculateur!DW51*Calculateur!DY51*VLOOKUP('Données projet'!$B$14,Paramètres!$A$1:$I$89,3,0)*0.475*44/12</f>
        <v>9.3142441817162371</v>
      </c>
      <c r="EC51" s="21">
        <f>EXP(-LN(2)/2)*EC50+(1-EXP(-LN(2)/2))/(LN(2)/2)*DW51*DZ51*VLOOKUP('Données projet'!$B$14,Paramètres!$A$1:$I$89,3,0)*0.475*44/12</f>
        <v>4.3268788674923175E-2</v>
      </c>
      <c r="ED51" s="22">
        <f t="shared" si="18"/>
        <v>11.065641851959885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5.125</v>
      </c>
      <c r="EJ51" s="12">
        <f>IF('Données projet'!$A$192&gt;35,EJ50+EI51-ER50,IF(A51&lt;'Données projet'!$A$192,$EG$205^A51,IF(A51='Données projet'!$A$192,'Données projet'!$B$192,EJ50+EI51-ER50)))</f>
        <v>215.25</v>
      </c>
      <c r="EK51" s="17">
        <f>EJ51*VLOOKUP('Données projet'!$B$15,Paramètres!$A$1:$I$89,3,0)*VLOOKUP('Données projet'!$B$15,Paramètres!$A$1:$I$89,5,0)</f>
        <v>128.71950000000001</v>
      </c>
      <c r="EL51" s="13">
        <f t="shared" si="45"/>
        <v>33.700303131200371</v>
      </c>
      <c r="EM51" s="20">
        <f t="shared" si="19"/>
        <v>282.88115712017401</v>
      </c>
      <c r="EN51" s="59">
        <f t="shared" si="20"/>
        <v>536.64102580584176</v>
      </c>
      <c r="EO51" s="59">
        <f ca="1">AVERAGE(OFFSET($EN$3,0,0,'Données projet'!$E$15+1,1))-AVERAGE(OFFSET($H$3,0,0,'Données projet'!$E$15+1,1))</f>
        <v>225.2264820414552</v>
      </c>
      <c r="EP51" s="59">
        <f t="shared" si="46"/>
        <v>249.91838548328681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1.5489176709632091</v>
      </c>
      <c r="EW51" s="21">
        <f>EXP(-LN(2)/25)*EW50+(1-EXP(-LN(2)/25))/(LN(2)/25)*Calculateur!ER51*Calculateur!ET51*VLOOKUP('Données projet'!$B$15,Paramètres!$A$1:$I$89,3,0)*0.475*44/12</f>
        <v>5.2547860657837173</v>
      </c>
      <c r="EX51" s="21">
        <f>EXP(-LN(2)/2)*EX50+(1-EXP(-LN(2)/2))/(LN(2)/2)*ER51*EU51*VLOOKUP('Données projet'!$B$15,Paramètres!$A$1:$I$89,3,0)*0.475*44/12</f>
        <v>7.9014113489783988E-3</v>
      </c>
      <c r="EY51" s="22">
        <f t="shared" si="21"/>
        <v>6.8116051480959046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22.8</v>
      </c>
      <c r="FE51" s="12">
        <f>IF('Données projet'!$A$218&gt;35,FE50+FD51-FM50,IF(A51&lt;'Données projet'!$A$218,$FB$205^A51,IF(A51='Données projet'!$A$218,'Données projet'!$B$218,FE50+FD51-FM50)))</f>
        <v>569.4</v>
      </c>
      <c r="FF51" s="17">
        <f>FE51*VLOOKUP('Données projet'!$B$16,Paramètres!$A$1:$I$89,3,0)*VLOOKUP('Données projet'!$B$16,Paramètres!$A$1:$I$89,5,0)</f>
        <v>318.2946</v>
      </c>
      <c r="FG51" s="13">
        <f t="shared" si="47"/>
        <v>74.998401746556283</v>
      </c>
      <c r="FH51" s="20">
        <f t="shared" si="22"/>
        <v>684.98531137525208</v>
      </c>
      <c r="FI51" s="59">
        <f t="shared" si="23"/>
        <v>938.74518006091978</v>
      </c>
      <c r="FJ51" s="59">
        <f ca="1">AVERAGE(OFFSET($FI$3,0,0,'Données projet'!$E$16+1,1))-AVERAGE(OFFSET($H$3,0,0,'Données projet'!$E$16+1,1))</f>
        <v>549.85684198202534</v>
      </c>
      <c r="FK51" s="59">
        <f t="shared" si="48"/>
        <v>539.63748606275431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7.9954968924493492</v>
      </c>
      <c r="FR51" s="21">
        <f>EXP(-LN(2)/25)*FR50+(1-EXP(-LN(2)/25))/(LN(2)/25)*Calculateur!FM51*Calculateur!FO51*VLOOKUP('Données projet'!$B$16,Paramètres!$A$1:$I$89,3,0)*0.475*44/12</f>
        <v>23.530738735879996</v>
      </c>
      <c r="FS51" s="21">
        <f>EXP(-LN(2)/2)*FS50+(1-EXP(-LN(2)/2))/(LN(2)/2)*FM51*FP51*VLOOKUP('Données projet'!$B$16,Paramètres!$A$1:$I$89,3,0)*0.475*44/12</f>
        <v>7.1234162802800968E-2</v>
      </c>
      <c r="FT51" s="22">
        <f t="shared" si="24"/>
        <v>31.597469791132145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18.899999999999999</v>
      </c>
      <c r="FZ51" s="12">
        <f>IF('Données projet'!$A$244&gt;35,FZ50+FY51-GH50,IF(A51&lt;'Données projet'!$A$244,$FW$205^A51,IF(A51='Données projet'!$A$244,'Données projet'!$B$244,FZ50+FY51-GH50)))</f>
        <v>474.19999999999953</v>
      </c>
      <c r="GA51" s="17">
        <f>FZ51*VLOOKUP('Données projet'!$B$17,Paramètres!$A$1:$I$89,3,0)*VLOOKUP('Données projet'!$B$17,Paramètres!$A$1:$I$89,5,0)</f>
        <v>283.57159999999976</v>
      </c>
      <c r="GB51" s="13">
        <f t="shared" si="49"/>
        <v>67.721232937650598</v>
      </c>
      <c r="GC51" s="20">
        <f t="shared" si="25"/>
        <v>611.83501736640767</v>
      </c>
      <c r="GD51" s="59">
        <f t="shared" si="26"/>
        <v>865.59488605207537</v>
      </c>
      <c r="GE51" s="59">
        <f ca="1">AVERAGE(OFFSET($GD$3,0,0,'Données projet'!$E$17+1,1))-AVERAGE(OFFSET($H$3,0,0,'Données projet'!$E$17+1,1))</f>
        <v>495.6641415122013</v>
      </c>
      <c r="GF51" s="59">
        <f t="shared" si="50"/>
        <v>488.90534169400757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2.79926910230362</v>
      </c>
      <c r="GM51" s="21">
        <f>EXP(-LN(2)/25)*GM50+(1-EXP(-LN(2)/25))/(LN(2)/25)*Calculateur!GH51*Calculateur!GJ51*VLOOKUP('Données projet'!$B$17,Paramètres!$A$1:$I$89,3,0)*0.475*44/12</f>
        <v>15.787625273097783</v>
      </c>
      <c r="GN51" s="21">
        <f>EXP(-LN(2)/2)*GN50+(1-EXP(-LN(2)/2))/(LN(2)/2)*GH51*GK51*VLOOKUP('Données projet'!$B$17,Paramètres!$A$1:$I$89,3,0)*0.475*44/12</f>
        <v>6.7889323034004773E-2</v>
      </c>
      <c r="GO51" s="21">
        <f t="shared" si="27"/>
        <v>18.654783698435409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18.899999999999999</v>
      </c>
      <c r="GU51" s="12">
        <f>IF('Données projet'!$A$270&gt;35,GU50+GT51-HC50,IF(A51&lt;'Données projet'!$A$270,$GR$205^A51,IF(A51='Données projet'!$A$270,'Données projet'!$B$270,GU50+GT51-HC50)))</f>
        <v>474.19999999999953</v>
      </c>
      <c r="GV51" s="17">
        <f>GU51*VLOOKUP('Données projet'!$B$18,Paramètres!$A$1:$I$89,3,0)*VLOOKUP('Données projet'!$B$18,Paramètres!$A$1:$I$89,5,0)</f>
        <v>283.57159999999976</v>
      </c>
      <c r="GW51" s="13">
        <f t="shared" si="51"/>
        <v>67.721232937650598</v>
      </c>
      <c r="GX51" s="20">
        <f t="shared" si="28"/>
        <v>611.83501736640767</v>
      </c>
      <c r="GY51" s="59">
        <f t="shared" si="29"/>
        <v>865.59488605207537</v>
      </c>
      <c r="GZ51" s="59">
        <f ca="1">AVERAGE(OFFSET($GY$3,0,0,'Données projet'!$E$18+1,1))-AVERAGE(OFFSET($H$3,0,0,'Données projet'!$E$18+1,1))</f>
        <v>-18.333333333333343</v>
      </c>
      <c r="HA51" s="59">
        <f t="shared" si="52"/>
        <v>-18.333333333333343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2.79926910230362</v>
      </c>
      <c r="HH51" s="21">
        <f>EXP(-LN(2)/25)*HH50+(1-EXP(-LN(2)/25))/(LN(2)/25)*Calculateur!HC51*Calculateur!HE51*VLOOKUP('Données projet'!$B$18,Paramètres!$A$1:$I$89,3,0)*0.475*44/12</f>
        <v>15.787625273097783</v>
      </c>
      <c r="HI51" s="21">
        <f>EXP(-LN(2)/2)*HI50+(1-EXP(-LN(2)/2))/(LN(2)/2)*HC51*HF51*VLOOKUP('Données projet'!$B$18,Paramètres!$A$1:$I$89,3,0)*0.475*44/12</f>
        <v>6.7889323034004773E-2</v>
      </c>
      <c r="HJ51" s="22">
        <f t="shared" si="30"/>
        <v>18.654783698435409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11.499999999999996</v>
      </c>
      <c r="N52" s="13">
        <f>IF('Données projet'!$A$36&gt;35,N51+M52-V51,IF(A52&lt;'Données projet'!$A$36,$K$205^A52,IF(A52='Données projet'!$A$36,'Données projet'!$B$36,N51+M52-V51)))</f>
        <v>311.69999999999987</v>
      </c>
      <c r="O52" s="13">
        <f>N52*VLOOKUP('Données projet'!$B$9,Paramètres!$A$1:$I$89,3,0)*VLOOKUP('Données projet'!$B$9,Paramètres!$A$1:$I$89,5,0)</f>
        <v>145.87559999999993</v>
      </c>
      <c r="P52" s="13">
        <f t="shared" si="33"/>
        <v>37.639785440563628</v>
      </c>
      <c r="Q52" s="20">
        <f t="shared" si="53"/>
        <v>319.62262964231485</v>
      </c>
      <c r="R52" s="59">
        <f t="shared" si="0"/>
        <v>574.06900946660676</v>
      </c>
      <c r="S52" s="59">
        <f ca="1">AVERAGE(OFFSET($R$3,0,0,'Données projet'!$E$9+1,1))-AVERAGE(OFFSET($H$3,0,0,'Données projet'!$E$9+1,1))</f>
        <v>376.11581547534814</v>
      </c>
      <c r="T52" s="59">
        <f t="shared" si="34"/>
        <v>300.91675649863294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2.1516087256136793</v>
      </c>
      <c r="AA52" s="21">
        <f>EXP(-LN(2)/25)*AA51+(1-EXP(-LN(2)/25))/(LN(2)/25)*Calculateur!V52*Calculateur!X52*VLOOKUP('Données projet'!$B$9,Paramètres!$A$1:$I$89,3,0)*0.475*44/12</f>
        <v>4.638622877093634</v>
      </c>
      <c r="AB52" s="21">
        <f>EXP(-LN(2)/2)*AB51+(1-EXP(-LN(2)/2))/(LN(2)/2)*V52*Y52*VLOOKUP('Données projet'!$B$9,Paramètres!$A$1:$I$89,3,0)*0.475*44/12</f>
        <v>1.3578903638750346E-2</v>
      </c>
      <c r="AC52" s="22">
        <f t="shared" si="3"/>
        <v>6.8038105063460641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224.20943999999992</v>
      </c>
      <c r="AK52" s="13">
        <f t="shared" si="35"/>
        <v>55.028775065392324</v>
      </c>
      <c r="AL52" s="20">
        <f t="shared" si="4"/>
        <v>486.33989123889143</v>
      </c>
      <c r="AM52" s="59">
        <f t="shared" si="5"/>
        <v>740.78627106318345</v>
      </c>
      <c r="AN52" s="59">
        <f ca="1">AVERAGE(OFFSET($AM$3,0,0,'Données projet'!$E$10+1,1))-AVERAGE(OFFSET($H$3,0,0,'Données projet'!$E$10+1,1))</f>
        <v>505.38595282220405</v>
      </c>
      <c r="AO52" s="59">
        <f t="shared" si="36"/>
        <v>351.72130415456365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1.6532552158519229</v>
      </c>
      <c r="AV52" s="21">
        <f>EXP(-LN(2)/25)*AV51+(1-EXP(-LN(2)/25))/(LN(2)/25)*Calculateur!AQ52*Calculateur!AS52*VLOOKUP('Données projet'!$B$10,Paramètres!$A$1:$I$89,3,0)*0.475*44/12</f>
        <v>6.662462865622043</v>
      </c>
      <c r="AW52" s="21">
        <f>EXP(-LN(2)/2)*AW51+(1-EXP(-LN(2)/2))/(LN(2)/2)*AQ52*AT52*VLOOKUP('Données projet'!$B$10,Paramètres!$A$1:$I$89,3,0)*0.475*44/12</f>
        <v>2.9766622246422202E-2</v>
      </c>
      <c r="AX52" s="21">
        <f t="shared" si="6"/>
        <v>8.3454847037203876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219.42647999999991</v>
      </c>
      <c r="BF52" s="13">
        <f t="shared" si="37"/>
        <v>53.990215051449674</v>
      </c>
      <c r="BG52" s="20">
        <f t="shared" si="7"/>
        <v>476.20074388127472</v>
      </c>
      <c r="BH52" s="59">
        <f t="shared" si="8"/>
        <v>730.64712370556663</v>
      </c>
      <c r="BI52" s="59">
        <f ca="1">AVERAGE(OFFSET($BH$3,0,0,'Données projet'!$E$11+1,1))-AVERAGE(OFFSET($H$3,0,0,'Données projet'!$E$11+1,1))</f>
        <v>394.14657090341535</v>
      </c>
      <c r="BJ52" s="59">
        <f t="shared" si="38"/>
        <v>424.06445894109982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2.2397498238009974</v>
      </c>
      <c r="BQ52" s="21">
        <f>EXP(-LN(2)/25)*BQ51+(1-EXP(-LN(2)/25))/(LN(2)/25)*Calculateur!BL52*Calculateur!BN52*VLOOKUP('Données projet'!$B$11,Paramètres!$A$1:$I$89,3,0)*0.475*44/12</f>
        <v>12.116750116717327</v>
      </c>
      <c r="BR52" s="21">
        <f>EXP(-LN(2)/2)*BR51+(1-EXP(-LN(2)/2))/(LN(2)/2)*BL52*BO52*VLOOKUP('Données projet'!$B$11,Paramètres!$A$1:$I$89,3,0)*0.475*44/12</f>
        <v>3.319953932285228E-2</v>
      </c>
      <c r="BS52" s="22">
        <f t="shared" si="9"/>
        <v>14.389699479841177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13.1</v>
      </c>
      <c r="BY52" s="12">
        <f>IF('Données projet'!$A$114&gt;35,BY51+BX52-CG51,IF(A52&lt;'Données projet'!$A$114,$BV$205^A52,IF(A52='Données projet'!$A$114,'Données projet'!$B$114,BY51+BX52-CG51)))</f>
        <v>381.90000000000009</v>
      </c>
      <c r="BZ52" s="13">
        <f>BY52*VLOOKUP('Données projet'!$B$12,Paramètres!$A$1:$I$89,3,0)*VLOOKUP('Données projet'!$B$12,Paramètres!$A$1:$I$89,5,0)</f>
        <v>208.51740000000004</v>
      </c>
      <c r="CA52" s="13">
        <f t="shared" si="39"/>
        <v>51.611466822557574</v>
      </c>
      <c r="CB52" s="20">
        <f t="shared" si="10"/>
        <v>453.05777638262111</v>
      </c>
      <c r="CC52" s="59">
        <f t="shared" si="11"/>
        <v>707.50415620691308</v>
      </c>
      <c r="CD52" s="59">
        <f ca="1">AVERAGE(OFFSET($CC$3,0,0,'Données projet'!$E$12+1,1))-AVERAGE(OFFSET($H$3,0,0,'Données projet'!$E$12+1,1))</f>
        <v>382.09004346384319</v>
      </c>
      <c r="CE52" s="59">
        <f t="shared" si="40"/>
        <v>410.18893995284986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5.8467165211764067</v>
      </c>
      <c r="CL52" s="21">
        <f>EXP(-LN(2)/25)*CL51+(1-EXP(-LN(2)/25))/(LN(2)/25)*Calculateur!CG52*Calculateur!CI52*VLOOKUP('Données projet'!$B$12,Paramètres!$A$1:$I$89,3,0)*0.475*44/12</f>
        <v>20.099160417351197</v>
      </c>
      <c r="CM52" s="21">
        <f>EXP(-LN(2)/2)*CM51+(1-EXP(-LN(2)/2))/(LN(2)/2)*CG52*CJ52*VLOOKUP('Données projet'!$B$12,Paramètres!$A$1:$I$89,3,0)*0.475*44/12</f>
        <v>3.4778641157326429E-2</v>
      </c>
      <c r="CN52" s="22">
        <f t="shared" si="12"/>
        <v>25.980655579684932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9.4</v>
      </c>
      <c r="CT52" s="12">
        <f>IF('Données projet'!$A$140&gt;35,CT51+CS52-DB51,IF(A52&lt;'Données projet'!$A$140,$CQ$205^A52,IF(A52='Données projet'!$A$140,'Données projet'!$B$140,CT51+CS52-DB51)))</f>
        <v>258.60000000000008</v>
      </c>
      <c r="CU52" s="17">
        <f>CT52*VLOOKUP('Données projet'!$B$13,Paramètres!$A$1:$I$89,3,0)*VLOOKUP('Données projet'!$B$13,Paramètres!$A$1:$I$89,5,0)</f>
        <v>225.91296000000011</v>
      </c>
      <c r="CV52" s="13">
        <f t="shared" si="41"/>
        <v>55.398047891514715</v>
      </c>
      <c r="CW52" s="20">
        <f t="shared" si="13"/>
        <v>489.95000541105492</v>
      </c>
      <c r="CX52" s="59">
        <f t="shared" si="14"/>
        <v>744.39638523534688</v>
      </c>
      <c r="CY52" s="59">
        <f ca="1">AVERAGE(OFFSET($CX$3,0,0,'Données projet'!$E$13+1,1))-AVERAGE(OFFSET($H$3,0,0,'Données projet'!$E$13+1,1))</f>
        <v>363.02374534486341</v>
      </c>
      <c r="CZ52" s="59">
        <f t="shared" si="42"/>
        <v>489.00477393029598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5.016774448102387</v>
      </c>
      <c r="DG52" s="21">
        <f>EXP(-LN(2)/25)*DG51+(1-EXP(-LN(2)/25))/(LN(2)/25)*Calculateur!DB52*Calculateur!DD52*VLOOKUP('Données projet'!$B$13,Paramètres!$A$1:$I$89,3,0)*0.475*44/12</f>
        <v>11.433443003287794</v>
      </c>
      <c r="DH52" s="21">
        <f>EXP(-LN(2)/2)*DH51+(1-EXP(-LN(2)/2))/(LN(2)/2)*DB52*DE52*VLOOKUP('Données projet'!$B$13,Paramètres!$A$1:$I$89,3,0)*0.475*44/12</f>
        <v>4.0485922475973435E-2</v>
      </c>
      <c r="DI52" s="22">
        <f t="shared" si="15"/>
        <v>16.490703373866154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>
        <f>DO52*VLOOKUP('Données projet'!$B$14,Paramètres!$A$1:$I$89,3,0)*VLOOKUP('Données projet'!$B$14,Paramètres!$A$1:$I$89,5,0)</f>
        <v>202.21655999999987</v>
      </c>
      <c r="DQ52" s="13">
        <f t="shared" si="43"/>
        <v>50.230987603236251</v>
      </c>
      <c r="DR52" s="20">
        <f t="shared" si="16"/>
        <v>439.67947874230293</v>
      </c>
      <c r="DS52" s="59">
        <f t="shared" si="17"/>
        <v>694.12585856659484</v>
      </c>
      <c r="DT52" s="59">
        <f ca="1">AVERAGE(OFFSET($DS$3,0,0,'Données projet'!$E$14+1,1))-AVERAGE(OFFSET($H$3,0,0,'Données projet'!$E$14+1,1))</f>
        <v>368.03281986807173</v>
      </c>
      <c r="DU52" s="59">
        <f t="shared" si="44"/>
        <v>395.83504504492248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1.674633516056905</v>
      </c>
      <c r="EB52" s="21">
        <f>EXP(-LN(2)/25)*EB51+(1-EXP(-LN(2)/25))/(LN(2)/25)*Calculateur!DW52*Calculateur!DY52*VLOOKUP('Données projet'!$B$14,Paramètres!$A$1:$I$89,3,0)*0.475*44/12</f>
        <v>9.0595456847523934</v>
      </c>
      <c r="EC52" s="21">
        <f>EXP(-LN(2)/2)*EC51+(1-EXP(-LN(2)/2))/(LN(2)/2)*DW52*DZ52*VLOOKUP('Données projet'!$B$14,Paramètres!$A$1:$I$89,3,0)*0.475*44/12</f>
        <v>3.0595653885765871E-2</v>
      </c>
      <c r="ED52" s="22">
        <f t="shared" si="18"/>
        <v>10.764774854695064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5.125</v>
      </c>
      <c r="EJ52" s="12">
        <f>IF('Données projet'!$A$192&gt;35,EJ51+EI52-ER51,IF(A52&lt;'Données projet'!$A$192,$EG$205^A52,IF(A52='Données projet'!$A$192,'Données projet'!$B$192,EJ51+EI52-ER51)))</f>
        <v>220.375</v>
      </c>
      <c r="EK52" s="17">
        <f>EJ52*VLOOKUP('Données projet'!$B$15,Paramètres!$A$1:$I$89,3,0)*VLOOKUP('Données projet'!$B$15,Paramètres!$A$1:$I$89,5,0)</f>
        <v>131.78425000000001</v>
      </c>
      <c r="EL52" s="13">
        <f t="shared" si="45"/>
        <v>34.408319457025534</v>
      </c>
      <c r="EM52" s="20">
        <f t="shared" si="19"/>
        <v>289.45205847098617</v>
      </c>
      <c r="EN52" s="59">
        <f t="shared" si="20"/>
        <v>543.89843829527808</v>
      </c>
      <c r="EO52" s="59">
        <f ca="1">AVERAGE(OFFSET($EN$3,0,0,'Données projet'!$E$15+1,1))-AVERAGE(OFFSET($H$3,0,0,'Données projet'!$E$15+1,1))</f>
        <v>225.2264820414552</v>
      </c>
      <c r="EP52" s="59">
        <f t="shared" si="46"/>
        <v>249.91838548328681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1.5185443401821139</v>
      </c>
      <c r="EW52" s="21">
        <f>EXP(-LN(2)/25)*EW51+(1-EXP(-LN(2)/25))/(LN(2)/25)*Calculateur!ER52*Calculateur!ET52*VLOOKUP('Données projet'!$B$15,Paramètres!$A$1:$I$89,3,0)*0.475*44/12</f>
        <v>5.1110936644776723</v>
      </c>
      <c r="EX52" s="21">
        <f>EXP(-LN(2)/2)*EX51+(1-EXP(-LN(2)/2))/(LN(2)/2)*ER52*EU52*VLOOKUP('Données projet'!$B$15,Paramètres!$A$1:$I$89,3,0)*0.475*44/12</f>
        <v>5.587141545806972E-3</v>
      </c>
      <c r="EY52" s="22">
        <f t="shared" si="21"/>
        <v>6.6352251462055936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22.8</v>
      </c>
      <c r="FE52" s="12">
        <f>IF('Données projet'!$A$218&gt;35,FE51+FD52-FM51,IF(A52&lt;'Données projet'!$A$218,$FB$205^A52,IF(A52='Données projet'!$A$218,'Données projet'!$B$218,FE51+FD52-FM51)))</f>
        <v>592.19999999999993</v>
      </c>
      <c r="FF52" s="17">
        <f>FE52*VLOOKUP('Données projet'!$B$16,Paramètres!$A$1:$I$89,3,0)*VLOOKUP('Données projet'!$B$16,Paramètres!$A$1:$I$89,5,0)</f>
        <v>331.03979999999996</v>
      </c>
      <c r="FG52" s="13">
        <f t="shared" si="47"/>
        <v>77.64584475376725</v>
      </c>
      <c r="FH52" s="20">
        <f t="shared" si="22"/>
        <v>711.79416461281119</v>
      </c>
      <c r="FI52" s="59">
        <f t="shared" si="23"/>
        <v>966.24054443710315</v>
      </c>
      <c r="FJ52" s="59">
        <f ca="1">AVERAGE(OFFSET($FI$3,0,0,'Données projet'!$E$16+1,1))-AVERAGE(OFFSET($H$3,0,0,'Données projet'!$E$16+1,1))</f>
        <v>549.85684198202534</v>
      </c>
      <c r="FK52" s="59">
        <f t="shared" si="48"/>
        <v>539.63748606275431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7.8387100751599803</v>
      </c>
      <c r="FR52" s="21">
        <f>EXP(-LN(2)/25)*FR51+(1-EXP(-LN(2)/25))/(LN(2)/25)*Calculateur!FM52*Calculateur!FO52*VLOOKUP('Données projet'!$B$16,Paramètres!$A$1:$I$89,3,0)*0.475*44/12</f>
        <v>22.887289447719589</v>
      </c>
      <c r="FS52" s="21">
        <f>EXP(-LN(2)/2)*FS51+(1-EXP(-LN(2)/2))/(LN(2)/2)*FM52*FP52*VLOOKUP('Données projet'!$B$16,Paramètres!$A$1:$I$89,3,0)*0.475*44/12</f>
        <v>5.0370159570007088E-2</v>
      </c>
      <c r="FT52" s="22">
        <f t="shared" si="24"/>
        <v>30.776369682449577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18.899999999999999</v>
      </c>
      <c r="FZ52" s="12">
        <f>IF('Données projet'!$A$244&gt;35,FZ51+FY52-GH51,IF(A52&lt;'Données projet'!$A$244,$FW$205^A52,IF(A52='Données projet'!$A$244,'Données projet'!$B$244,FZ51+FY52-GH51)))</f>
        <v>493.09999999999951</v>
      </c>
      <c r="GA52" s="17">
        <f>FZ52*VLOOKUP('Données projet'!$B$17,Paramètres!$A$1:$I$89,3,0)*VLOOKUP('Données projet'!$B$17,Paramètres!$A$1:$I$89,5,0)</f>
        <v>294.87379999999973</v>
      </c>
      <c r="GB52" s="13">
        <f t="shared" si="49"/>
        <v>70.100739478966432</v>
      </c>
      <c r="GC52" s="20">
        <f t="shared" si="25"/>
        <v>635.66398959253263</v>
      </c>
      <c r="GD52" s="59">
        <f t="shared" si="26"/>
        <v>890.1103694168246</v>
      </c>
      <c r="GE52" s="59">
        <f ca="1">AVERAGE(OFFSET($GD$3,0,0,'Données projet'!$E$17+1,1))-AVERAGE(OFFSET($H$3,0,0,'Données projet'!$E$17+1,1))</f>
        <v>495.6641415122013</v>
      </c>
      <c r="GF52" s="59">
        <f t="shared" si="50"/>
        <v>488.90534169400757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2.7443771425930081</v>
      </c>
      <c r="GM52" s="21">
        <f>EXP(-LN(2)/25)*GM51+(1-EXP(-LN(2)/25))/(LN(2)/25)*Calculateur!GH52*Calculateur!GJ52*VLOOKUP('Données projet'!$B$17,Paramètres!$A$1:$I$89,3,0)*0.475*44/12</f>
        <v>15.355911829769793</v>
      </c>
      <c r="GN52" s="21">
        <f>EXP(-LN(2)/2)*GN51+(1-EXP(-LN(2)/2))/(LN(2)/2)*GH52*GK52*VLOOKUP('Données projet'!$B$17,Paramètres!$A$1:$I$89,3,0)*0.475*44/12</f>
        <v>4.8005000687508854E-2</v>
      </c>
      <c r="GO52" s="21">
        <f t="shared" si="27"/>
        <v>18.148293973050311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18.899999999999999</v>
      </c>
      <c r="GU52" s="12">
        <f>IF('Données projet'!$A$270&gt;35,GU51+GT52-HC51,IF(A52&lt;'Données projet'!$A$270,$GR$205^A52,IF(A52='Données projet'!$A$270,'Données projet'!$B$270,GU51+GT52-HC51)))</f>
        <v>493.09999999999951</v>
      </c>
      <c r="GV52" s="17">
        <f>GU52*VLOOKUP('Données projet'!$B$18,Paramètres!$A$1:$I$89,3,0)*VLOOKUP('Données projet'!$B$18,Paramètres!$A$1:$I$89,5,0)</f>
        <v>294.87379999999973</v>
      </c>
      <c r="GW52" s="13">
        <f t="shared" si="51"/>
        <v>70.100739478966432</v>
      </c>
      <c r="GX52" s="20">
        <f t="shared" si="28"/>
        <v>635.66398959253263</v>
      </c>
      <c r="GY52" s="59">
        <f t="shared" si="29"/>
        <v>890.1103694168246</v>
      </c>
      <c r="GZ52" s="59">
        <f ca="1">AVERAGE(OFFSET($GY$3,0,0,'Données projet'!$E$18+1,1))-AVERAGE(OFFSET($H$3,0,0,'Données projet'!$E$18+1,1))</f>
        <v>-18.333333333333343</v>
      </c>
      <c r="HA52" s="59">
        <f t="shared" si="52"/>
        <v>-18.333333333333343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2.7443771425930081</v>
      </c>
      <c r="HH52" s="21">
        <f>EXP(-LN(2)/25)*HH51+(1-EXP(-LN(2)/25))/(LN(2)/25)*Calculateur!HC52*Calculateur!HE52*VLOOKUP('Données projet'!$B$18,Paramètres!$A$1:$I$89,3,0)*0.475*44/12</f>
        <v>15.355911829769793</v>
      </c>
      <c r="HI52" s="21">
        <f>EXP(-LN(2)/2)*HI51+(1-EXP(-LN(2)/2))/(LN(2)/2)*HC52*HF52*VLOOKUP('Données projet'!$B$18,Paramètres!$A$1:$I$89,3,0)*0.475*44/12</f>
        <v>4.8005000687508854E-2</v>
      </c>
      <c r="HJ52" s="22">
        <f t="shared" si="30"/>
        <v>18.148293973050311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323.2</v>
      </c>
      <c r="L53" s="12">
        <f>VLOOKUP(A53,'Données projet'!$A$35:$I$55,9,0)</f>
        <v>11.499999999999996</v>
      </c>
      <c r="M53" s="12">
        <f t="array" ref="M53">INDEX(L:L,MIN(IF(ISNUMBER(L53:L249),ROW(L53:L249),"")))</f>
        <v>11.499999999999996</v>
      </c>
      <c r="N53" s="13">
        <f>IF('Données projet'!$A$36&gt;35,N52+M53-V52,IF(A53&lt;'Données projet'!$A$36,$K$205^A53,IF(A53='Données projet'!$A$36,'Données projet'!$B$36,N52+M53-V52)))</f>
        <v>323.19999999999987</v>
      </c>
      <c r="O53" s="13">
        <f>N53*VLOOKUP('Données projet'!$B$9,Paramètres!$A$1:$I$89,3,0)*VLOOKUP('Données projet'!$B$9,Paramètres!$A$1:$I$89,5,0)</f>
        <v>151.25759999999994</v>
      </c>
      <c r="P53" s="13">
        <f t="shared" si="33"/>
        <v>38.864240713854024</v>
      </c>
      <c r="Q53" s="20">
        <f t="shared" si="53"/>
        <v>331.12887257662896</v>
      </c>
      <c r="R53" s="59">
        <f t="shared" si="0"/>
        <v>586.24985410609906</v>
      </c>
      <c r="S53" s="59">
        <f ca="1">AVERAGE(OFFSET($R$3,0,0,'Données projet'!$E$9+1,1))-AVERAGE(OFFSET($H$3,0,0,'Données projet'!$E$9+1,1))</f>
        <v>376.11581547534814</v>
      </c>
      <c r="T53" s="59">
        <f t="shared" si="34"/>
        <v>300.91675649863294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83.4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2.1094169908561335</v>
      </c>
      <c r="AA53" s="21">
        <f>EXP(-LN(2)/25)*AA52+(1-EXP(-LN(2)/25))/(LN(2)/25)*Calculateur!V53*Calculateur!X53*VLOOKUP('Données projet'!$B$9,Paramètres!$A$1:$I$89,3,0)*0.475*44/12</f>
        <v>4.5117794905849333</v>
      </c>
      <c r="AB53" s="21">
        <f>EXP(-LN(2)/2)*AB52+(1-EXP(-LN(2)/2))/(LN(2)/2)*V53*Y53*VLOOKUP('Données projet'!$B$9,Paramètres!$A$1:$I$89,3,0)*0.475*44/12</f>
        <v>9.6017348440390546E-3</v>
      </c>
      <c r="AC53" s="22">
        <f t="shared" si="3"/>
        <v>6.6307982162851058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234.34319999999988</v>
      </c>
      <c r="AK53" s="13">
        <f t="shared" si="35"/>
        <v>57.220758006491614</v>
      </c>
      <c r="AL53" s="20">
        <f t="shared" si="4"/>
        <v>507.80722686130594</v>
      </c>
      <c r="AM53" s="59">
        <f t="shared" si="5"/>
        <v>762.92820839077604</v>
      </c>
      <c r="AN53" s="59">
        <f ca="1">AVERAGE(OFFSET($AM$3,0,0,'Données projet'!$E$10+1,1))-AVERAGE(OFFSET($H$3,0,0,'Données projet'!$E$10+1,1))</f>
        <v>505.38595282220405</v>
      </c>
      <c r="AO53" s="59">
        <f t="shared" si="36"/>
        <v>351.72130415456365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1.6208358894551784</v>
      </c>
      <c r="AV53" s="21">
        <f>EXP(-LN(2)/25)*AV52+(1-EXP(-LN(2)/25))/(LN(2)/25)*Calculateur!AQ53*Calculateur!AS53*VLOOKUP('Données projet'!$B$10,Paramètres!$A$1:$I$89,3,0)*0.475*44/12</f>
        <v>6.4802774681979134</v>
      </c>
      <c r="AW53" s="21">
        <f>EXP(-LN(2)/2)*AW52+(1-EXP(-LN(2)/2))/(LN(2)/2)*AQ53*AT53*VLOOKUP('Données projet'!$B$10,Paramètres!$A$1:$I$89,3,0)*0.475*44/12</f>
        <v>2.1048180443463484E-2</v>
      </c>
      <c r="AX53" s="21">
        <f t="shared" si="6"/>
        <v>8.1221615380965542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226.74599999999987</v>
      </c>
      <c r="BF53" s="13">
        <f t="shared" si="37"/>
        <v>55.578508240245917</v>
      </c>
      <c r="BG53" s="20">
        <f t="shared" si="7"/>
        <v>491.71518518509475</v>
      </c>
      <c r="BH53" s="59">
        <f t="shared" si="8"/>
        <v>746.8361667145648</v>
      </c>
      <c r="BI53" s="59">
        <f ca="1">AVERAGE(OFFSET($BH$3,0,0,'Données projet'!$E$11+1,1))-AVERAGE(OFFSET($H$3,0,0,'Données projet'!$E$11+1,1))</f>
        <v>394.14657090341535</v>
      </c>
      <c r="BJ53" s="59">
        <f t="shared" si="38"/>
        <v>424.06445894109982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2.1958296958687598</v>
      </c>
      <c r="BQ53" s="21">
        <f>EXP(-LN(2)/25)*BQ52+(1-EXP(-LN(2)/25))/(LN(2)/25)*Calculateur!BL53*Calculateur!BN53*VLOOKUP('Données projet'!$B$11,Paramètres!$A$1:$I$89,3,0)*0.475*44/12</f>
        <v>11.785416947583496</v>
      </c>
      <c r="BR53" s="21">
        <f>EXP(-LN(2)/2)*BR52+(1-EXP(-LN(2)/2))/(LN(2)/2)*BL53*BO53*VLOOKUP('Données projet'!$B$11,Paramètres!$A$1:$I$89,3,0)*0.475*44/12</f>
        <v>2.3475619387458287E-2</v>
      </c>
      <c r="BS53" s="22">
        <f t="shared" si="9"/>
        <v>14.004722262839714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395</v>
      </c>
      <c r="BW53" s="12">
        <f>VLOOKUP(A53,'Données projet'!$A$113:$I$133,9,0)</f>
        <v>13.1</v>
      </c>
      <c r="BX53" s="12">
        <f t="array" ref="BX53">INDEX(BW:BW,MIN(IF(ISNUMBER(BW53:BW249),ROW(BW53:BW249),"")))</f>
        <v>13.1</v>
      </c>
      <c r="BY53" s="12">
        <f>IF('Données projet'!$A$114&gt;35,BY52+BX53-CG52,IF(A53&lt;'Données projet'!$A$114,$BV$205^A53,IF(A53='Données projet'!$A$114,'Données projet'!$B$114,BY52+BX53-CG52)))</f>
        <v>395.00000000000011</v>
      </c>
      <c r="BZ53" s="13">
        <f>BY53*VLOOKUP('Données projet'!$B$12,Paramètres!$A$1:$I$89,3,0)*VLOOKUP('Données projet'!$B$12,Paramètres!$A$1:$I$89,5,0)</f>
        <v>215.67000000000004</v>
      </c>
      <c r="CA53" s="13">
        <f t="shared" si="39"/>
        <v>53.17269561771495</v>
      </c>
      <c r="CB53" s="20">
        <f t="shared" si="10"/>
        <v>468.23436153418692</v>
      </c>
      <c r="CC53" s="59">
        <f t="shared" si="11"/>
        <v>723.35534306365707</v>
      </c>
      <c r="CD53" s="59">
        <f ca="1">AVERAGE(OFFSET($CC$3,0,0,'Données projet'!$E$12+1,1))-AVERAGE(OFFSET($H$3,0,0,'Données projet'!$E$12+1,1))</f>
        <v>382.09004346384319</v>
      </c>
      <c r="CE53" s="59">
        <f t="shared" si="40"/>
        <v>410.18893995284986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75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5.7320659763410875</v>
      </c>
      <c r="CL53" s="21">
        <f>EXP(-LN(2)/25)*CL52+(1-EXP(-LN(2)/25))/(LN(2)/25)*Calculateur!CG53*Calculateur!CI53*VLOOKUP('Données projet'!$B$12,Paramètres!$A$1:$I$89,3,0)*0.475*44/12</f>
        <v>19.54954781876982</v>
      </c>
      <c r="CM53" s="21">
        <f>EXP(-LN(2)/2)*CM52+(1-EXP(-LN(2)/2))/(LN(2)/2)*CG53*CJ53*VLOOKUP('Données projet'!$B$12,Paramètres!$A$1:$I$89,3,0)*0.475*44/12</f>
        <v>2.4592213002799075E-2</v>
      </c>
      <c r="CN53" s="22">
        <f t="shared" si="12"/>
        <v>25.306206008113705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268</v>
      </c>
      <c r="CR53" s="12">
        <f>VLOOKUP(A53,'Données projet'!$A$139:$I$159,9,0)</f>
        <v>9.4</v>
      </c>
      <c r="CS53" s="12">
        <f t="array" ref="CS53">INDEX(CR:CR,MIN(IF(ISNUMBER(CR53:CR249),ROW(CR53:CR249),"")))</f>
        <v>9.4</v>
      </c>
      <c r="CT53" s="12">
        <f>IF('Données projet'!$A$140&gt;35,CT52+CS53-DB52,IF(A53&lt;'Données projet'!$A$140,$CQ$205^A53,IF(A53='Données projet'!$A$140,'Données projet'!$B$140,CT52+CS53-DB52)))</f>
        <v>268.00000000000006</v>
      </c>
      <c r="CU53" s="17">
        <f>CT53*VLOOKUP('Données projet'!$B$13,Paramètres!$A$1:$I$89,3,0)*VLOOKUP('Données projet'!$B$13,Paramètres!$A$1:$I$89,5,0)</f>
        <v>234.12480000000008</v>
      </c>
      <c r="CV53" s="13">
        <f t="shared" si="41"/>
        <v>57.173634982132555</v>
      </c>
      <c r="CW53" s="20">
        <f t="shared" si="13"/>
        <v>507.34477426054764</v>
      </c>
      <c r="CX53" s="59">
        <f t="shared" si="14"/>
        <v>762.46575579001774</v>
      </c>
      <c r="CY53" s="59">
        <f ca="1">AVERAGE(OFFSET($CX$3,0,0,'Données projet'!$E$13+1,1))-AVERAGE(OFFSET($H$3,0,0,'Données projet'!$E$13+1,1))</f>
        <v>363.02374534486341</v>
      </c>
      <c r="CZ53" s="59">
        <f t="shared" si="42"/>
        <v>489.00477393029598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69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4.91839856110537</v>
      </c>
      <c r="DG53" s="21">
        <f>EXP(-LN(2)/25)*DG52+(1-EXP(-LN(2)/25))/(LN(2)/25)*Calculateur!DB53*Calculateur!DD53*VLOOKUP('Données projet'!$B$13,Paramètres!$A$1:$I$89,3,0)*0.475*44/12</f>
        <v>11.120794903104253</v>
      </c>
      <c r="DH53" s="21">
        <f>EXP(-LN(2)/2)*DH52+(1-EXP(-LN(2)/2))/(LN(2)/2)*DB53*DE53*VLOOKUP('Données projet'!$B$13,Paramètres!$A$1:$I$89,3,0)*0.475*44/12</f>
        <v>2.8627870325353674E-2</v>
      </c>
      <c r="DI53" s="22">
        <f t="shared" si="15"/>
        <v>16.06782133453498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>
        <f>DO53*VLOOKUP('Données projet'!$B$14,Paramètres!$A$1:$I$89,3,0)*VLOOKUP('Données projet'!$B$14,Paramètres!$A$1:$I$89,5,0)</f>
        <v>208.96199999999985</v>
      </c>
      <c r="DQ53" s="13">
        <f t="shared" si="43"/>
        <v>51.708691209356381</v>
      </c>
      <c r="DR53" s="20">
        <f t="shared" si="16"/>
        <v>454.00145385629543</v>
      </c>
      <c r="DS53" s="59">
        <f t="shared" si="17"/>
        <v>709.12243538576558</v>
      </c>
      <c r="DT53" s="59">
        <f ca="1">AVERAGE(OFFSET($DS$3,0,0,'Données projet'!$E$14+1,1))-AVERAGE(OFFSET($H$3,0,0,'Données projet'!$E$14+1,1))</f>
        <v>368.03281986807173</v>
      </c>
      <c r="DU53" s="59">
        <f t="shared" si="44"/>
        <v>395.83504504492248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1.6417949742326166</v>
      </c>
      <c r="EB53" s="21">
        <f>EXP(-LN(2)/25)*EB52+(1-EXP(-LN(2)/25))/(LN(2)/25)*Calculateur!DW53*Calculateur!DY53*VLOOKUP('Données projet'!$B$14,Paramètres!$A$1:$I$89,3,0)*0.475*44/12</f>
        <v>8.8118119315820369</v>
      </c>
      <c r="EC53" s="21">
        <f>EXP(-LN(2)/2)*EC52+(1-EXP(-LN(2)/2))/(LN(2)/2)*DW53*DZ53*VLOOKUP('Données projet'!$B$14,Paramètres!$A$1:$I$89,3,0)*0.475*44/12</f>
        <v>2.1634394337461591E-2</v>
      </c>
      <c r="ED53" s="22">
        <f t="shared" si="18"/>
        <v>10.475241300152115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5.125</v>
      </c>
      <c r="EJ53" s="12">
        <f>IF('Données projet'!$A$192&gt;35,EJ52+EI53-ER52,IF(A53&lt;'Données projet'!$A$192,$EG$205^A53,IF(A53='Données projet'!$A$192,'Données projet'!$B$192,EJ52+EI53-ER52)))</f>
        <v>225.5</v>
      </c>
      <c r="EK53" s="17">
        <f>EJ53*VLOOKUP('Données projet'!$B$15,Paramètres!$A$1:$I$89,3,0)*VLOOKUP('Données projet'!$B$15,Paramètres!$A$1:$I$89,5,0)</f>
        <v>134.84900000000002</v>
      </c>
      <c r="EL53" s="13">
        <f t="shared" si="45"/>
        <v>35.114421608496684</v>
      </c>
      <c r="EM53" s="20">
        <f t="shared" si="19"/>
        <v>296.01962596813172</v>
      </c>
      <c r="EN53" s="59">
        <f t="shared" si="20"/>
        <v>551.14060749760188</v>
      </c>
      <c r="EO53" s="59">
        <f ca="1">AVERAGE(OFFSET($EN$3,0,0,'Données projet'!$E$15+1,1))-AVERAGE(OFFSET($H$3,0,0,'Données projet'!$E$15+1,1))</f>
        <v>225.2264820414552</v>
      </c>
      <c r="EP53" s="59">
        <f t="shared" si="46"/>
        <v>249.91838548328681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1.4887666118917335</v>
      </c>
      <c r="EW53" s="21">
        <f>EXP(-LN(2)/25)*EW52+(1-EXP(-LN(2)/25))/(LN(2)/25)*Calculateur!ER53*Calculateur!ET53*VLOOKUP('Données projet'!$B$15,Paramètres!$A$1:$I$89,3,0)*0.475*44/12</f>
        <v>4.9713305394417961</v>
      </c>
      <c r="EX53" s="21">
        <f>EXP(-LN(2)/2)*EX52+(1-EXP(-LN(2)/2))/(LN(2)/2)*ER53*EU53*VLOOKUP('Données projet'!$B$15,Paramètres!$A$1:$I$89,3,0)*0.475*44/12</f>
        <v>3.9507056744891994E-3</v>
      </c>
      <c r="EY53" s="22">
        <f t="shared" si="21"/>
        <v>6.4640478570080191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615</v>
      </c>
      <c r="FC53" s="12">
        <f>VLOOKUP(A53,'Données projet'!$A$217:$I$237,9,0)</f>
        <v>22.8</v>
      </c>
      <c r="FD53" s="12">
        <f t="array" ref="FD53">INDEX(FC:FC,MIN(IF(ISNUMBER(FC53:FC249),ROW(FC53:FC249),"")))</f>
        <v>22.8</v>
      </c>
      <c r="FE53" s="12">
        <f>IF('Données projet'!$A$218&gt;35,FE52+FD53-FM52,IF(A53&lt;'Données projet'!$A$218,$FB$205^A53,IF(A53='Données projet'!$A$218,'Données projet'!$B$218,FE52+FD53-FM52)))</f>
        <v>614.99999999999989</v>
      </c>
      <c r="FF53" s="17">
        <f>FE53*VLOOKUP('Données projet'!$B$16,Paramètres!$A$1:$I$89,3,0)*VLOOKUP('Données projet'!$B$16,Paramètres!$A$1:$I$89,5,0)</f>
        <v>343.78499999999991</v>
      </c>
      <c r="FG53" s="13">
        <f t="shared" si="47"/>
        <v>80.281446809317075</v>
      </c>
      <c r="FH53" s="20">
        <f t="shared" si="22"/>
        <v>738.58239485956028</v>
      </c>
      <c r="FI53" s="59">
        <f t="shared" si="23"/>
        <v>993.70337638903038</v>
      </c>
      <c r="FJ53" s="59">
        <f ca="1">AVERAGE(OFFSET($FI$3,0,0,'Données projet'!$E$16+1,1))-AVERAGE(OFFSET($H$3,0,0,'Données projet'!$E$16+1,1))</f>
        <v>549.85684198202534</v>
      </c>
      <c r="FK53" s="59">
        <f t="shared" si="48"/>
        <v>539.63748606275431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129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7.6849977517271402</v>
      </c>
      <c r="FR53" s="21">
        <f>EXP(-LN(2)/25)*FR52+(1-EXP(-LN(2)/25))/(LN(2)/25)*Calculateur!FM53*Calculateur!FO53*VLOOKUP('Données projet'!$B$16,Paramètres!$A$1:$I$89,3,0)*0.475*44/12</f>
        <v>22.261435314181455</v>
      </c>
      <c r="FS53" s="21">
        <f>EXP(-LN(2)/2)*FS52+(1-EXP(-LN(2)/2))/(LN(2)/2)*FM53*FP53*VLOOKUP('Données projet'!$B$16,Paramètres!$A$1:$I$89,3,0)*0.475*44/12</f>
        <v>3.5617081401400484E-2</v>
      </c>
      <c r="FT53" s="22">
        <f t="shared" si="24"/>
        <v>29.982050147309995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512</v>
      </c>
      <c r="FX53" s="12">
        <f>VLOOKUP(A53,'Données projet'!$A$243:$I$263,9,0)</f>
        <v>18.899999999999999</v>
      </c>
      <c r="FY53" s="12">
        <f t="array" ref="FY53">INDEX(FX:FX,MIN(IF(ISNUMBER(FX53:FX249),ROW(FX53:FX249),"")))</f>
        <v>18.899999999999999</v>
      </c>
      <c r="FZ53" s="12">
        <f>IF('Données projet'!$A$244&gt;35,FZ52+FY53-GH52,IF(A53&lt;'Données projet'!$A$244,$FW$205^A53,IF(A53='Données projet'!$A$244,'Données projet'!$B$244,FZ52+FY53-GH52)))</f>
        <v>511.99999999999949</v>
      </c>
      <c r="GA53" s="17">
        <f>FZ53*VLOOKUP('Données projet'!$B$17,Paramètres!$A$1:$I$89,3,0)*VLOOKUP('Données projet'!$B$17,Paramètres!$A$1:$I$89,5,0)</f>
        <v>306.1759999999997</v>
      </c>
      <c r="GB53" s="13">
        <f t="shared" si="49"/>
        <v>72.469650785730309</v>
      </c>
      <c r="GC53" s="20">
        <f t="shared" si="25"/>
        <v>659.47450845181311</v>
      </c>
      <c r="GD53" s="59">
        <f t="shared" si="26"/>
        <v>914.59548998128321</v>
      </c>
      <c r="GE53" s="59">
        <f ca="1">AVERAGE(OFFSET($GD$3,0,0,'Données projet'!$E$17+1,1))-AVERAGE(OFFSET($H$3,0,0,'Données projet'!$E$17+1,1))</f>
        <v>495.6641415122013</v>
      </c>
      <c r="GF53" s="59">
        <f t="shared" si="50"/>
        <v>488.90534169400757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103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2.690561580731532</v>
      </c>
      <c r="GM53" s="21">
        <f>EXP(-LN(2)/25)*GM52+(1-EXP(-LN(2)/25))/(LN(2)/25)*Calculateur!GH53*Calculateur!GJ53*VLOOKUP('Données projet'!$B$17,Paramètres!$A$1:$I$89,3,0)*0.475*44/12</f>
        <v>14.936003613252431</v>
      </c>
      <c r="GN53" s="21">
        <f>EXP(-LN(2)/2)*GN52+(1-EXP(-LN(2)/2))/(LN(2)/2)*GH53*GK53*VLOOKUP('Données projet'!$B$17,Paramètres!$A$1:$I$89,3,0)*0.475*44/12</f>
        <v>3.3944661517002386E-2</v>
      </c>
      <c r="GO53" s="21">
        <f t="shared" si="27"/>
        <v>17.660509855500965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512</v>
      </c>
      <c r="GS53" s="12">
        <f>VLOOKUP(A53,'Données projet'!$A$269:$I$289,9,0)</f>
        <v>18.899999999999999</v>
      </c>
      <c r="GT53" s="12">
        <f t="array" ref="GT53">INDEX(GS:GS,MIN(IF(ISNUMBER(GS53:GS249),ROW(GS53:GS249),"")))</f>
        <v>18.899999999999999</v>
      </c>
      <c r="GU53" s="12">
        <f>IF('Données projet'!$A$270&gt;35,GU52+GT53-HC52,IF(A53&lt;'Données projet'!$A$270,$GR$205^A53,IF(A53='Données projet'!$A$270,'Données projet'!$B$270,GU52+GT53-HC52)))</f>
        <v>511.99999999999949</v>
      </c>
      <c r="GV53" s="17">
        <f>GU53*VLOOKUP('Données projet'!$B$18,Paramètres!$A$1:$I$89,3,0)*VLOOKUP('Données projet'!$B$18,Paramètres!$A$1:$I$89,5,0)</f>
        <v>306.1759999999997</v>
      </c>
      <c r="GW53" s="13">
        <f t="shared" si="51"/>
        <v>72.469650785730309</v>
      </c>
      <c r="GX53" s="20">
        <f t="shared" si="28"/>
        <v>659.47450845181311</v>
      </c>
      <c r="GY53" s="59">
        <f t="shared" si="29"/>
        <v>914.59548998128321</v>
      </c>
      <c r="GZ53" s="59">
        <f ca="1">AVERAGE(OFFSET($GY$3,0,0,'Données projet'!$E$18+1,1))-AVERAGE(OFFSET($H$3,0,0,'Données projet'!$E$18+1,1))</f>
        <v>-18.333333333333343</v>
      </c>
      <c r="HA53" s="59">
        <f t="shared" si="52"/>
        <v>-18.333333333333343</v>
      </c>
      <c r="HB53" s="15">
        <f>IF(ISNA(VLOOKUP(A53,'Données projet'!$A$269:$I$289,3,0)),0,VLOOKUP(A53,'Données projet'!$A$269:$I$289,3,0))</f>
        <v>4</v>
      </c>
      <c r="HC53" s="15">
        <f>IF(ISNA(VLOOKUP(A53,'Données projet'!$A$269:$I$289,4,0)),0,VLOOKUP(A53,'Données projet'!$A$269:$I$289,4,0))</f>
        <v>103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2.690561580731532</v>
      </c>
      <c r="HH53" s="21">
        <f>EXP(-LN(2)/25)*HH52+(1-EXP(-LN(2)/25))/(LN(2)/25)*Calculateur!HC53*Calculateur!HE53*VLOOKUP('Données projet'!$B$18,Paramètres!$A$1:$I$89,3,0)*0.475*44/12</f>
        <v>14.936003613252431</v>
      </c>
      <c r="HI53" s="21">
        <f>EXP(-LN(2)/2)*HI52+(1-EXP(-LN(2)/2))/(LN(2)/2)*HC53*HF53*VLOOKUP('Données projet'!$B$18,Paramètres!$A$1:$I$89,3,0)*0.475*44/12</f>
        <v>3.3944661517002386E-2</v>
      </c>
      <c r="HJ53" s="22">
        <f t="shared" si="30"/>
        <v>17.660509855500965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13.499999999999996</v>
      </c>
      <c r="N54" s="13">
        <f>IF('Données projet'!$A$36&gt;35,N53+M54-V53,IF(A54&lt;'Données projet'!$A$36,$K$205^A54,IF(A54='Données projet'!$A$36,'Données projet'!$B$36,N53+M54-V53)))</f>
        <v>253.29999999999987</v>
      </c>
      <c r="O54" s="13">
        <f>N54*VLOOKUP('Données projet'!$B$9,Paramètres!$A$1:$I$89,3,0)*VLOOKUP('Données projet'!$B$9,Paramètres!$A$1:$I$89,5,0)</f>
        <v>118.54439999999994</v>
      </c>
      <c r="P54" s="13">
        <f t="shared" si="33"/>
        <v>31.3352637371359</v>
      </c>
      <c r="Q54" s="20">
        <f t="shared" si="53"/>
        <v>261.04041434217822</v>
      </c>
      <c r="R54" s="59">
        <f t="shared" si="0"/>
        <v>516.82429474542505</v>
      </c>
      <c r="S54" s="59">
        <f ca="1">AVERAGE(OFFSET($R$3,0,0,'Données projet'!$E$9+1,1))-AVERAGE(OFFSET($H$3,0,0,'Données projet'!$E$9+1,1))</f>
        <v>376.11581547534814</v>
      </c>
      <c r="T54" s="59">
        <f t="shared" si="34"/>
        <v>300.91675649863294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2.0680526102827663</v>
      </c>
      <c r="AA54" s="21">
        <f>EXP(-LN(2)/25)*AA53+(1-EXP(-LN(2)/25))/(LN(2)/25)*Calculateur!V54*Calculateur!X54*VLOOKUP('Données projet'!$B$9,Paramètres!$A$1:$I$89,3,0)*0.475*44/12</f>
        <v>4.3884046431507171</v>
      </c>
      <c r="AB54" s="21">
        <f>EXP(-LN(2)/2)*AB53+(1-EXP(-LN(2)/2))/(LN(2)/2)*V54*Y54*VLOOKUP('Données projet'!$B$9,Paramètres!$A$1:$I$89,3,0)*0.475*44/12</f>
        <v>6.7894518193751729E-3</v>
      </c>
      <c r="AC54" s="22">
        <f t="shared" si="3"/>
        <v>6.4632467052528586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192.54143999999991</v>
      </c>
      <c r="AK54" s="13">
        <f t="shared" si="35"/>
        <v>48.101393902059698</v>
      </c>
      <c r="AL54" s="20">
        <f t="shared" si="4"/>
        <v>419.11960237942048</v>
      </c>
      <c r="AM54" s="59">
        <f t="shared" si="5"/>
        <v>674.90348278266731</v>
      </c>
      <c r="AN54" s="59">
        <f ca="1">AVERAGE(OFFSET($AM$3,0,0,'Données projet'!$E$10+1,1))-AVERAGE(OFFSET($H$3,0,0,'Données projet'!$E$10+1,1))</f>
        <v>505.38595282220405</v>
      </c>
      <c r="AO54" s="59">
        <f t="shared" si="36"/>
        <v>351.72130415456365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1.5890522862752376</v>
      </c>
      <c r="AV54" s="21">
        <f>EXP(-LN(2)/25)*AV53+(1-EXP(-LN(2)/25))/(LN(2)/25)*Calculateur!AQ54*Calculateur!AS54*VLOOKUP('Données projet'!$B$10,Paramètres!$A$1:$I$89,3,0)*0.475*44/12</f>
        <v>6.3030739400470601</v>
      </c>
      <c r="AW54" s="21">
        <f>EXP(-LN(2)/2)*AW53+(1-EXP(-LN(2)/2))/(LN(2)/2)*AQ54*AT54*VLOOKUP('Données projet'!$B$10,Paramètres!$A$1:$I$89,3,0)*0.475*44/12</f>
        <v>1.4883311123211104E-2</v>
      </c>
      <c r="AX54" s="21">
        <f t="shared" si="6"/>
        <v>7.9070095374455089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197.94527999999988</v>
      </c>
      <c r="BF54" s="13">
        <f t="shared" si="37"/>
        <v>49.29233142017484</v>
      </c>
      <c r="BG54" s="20">
        <f t="shared" si="7"/>
        <v>430.6055065568043</v>
      </c>
      <c r="BH54" s="59">
        <f t="shared" si="8"/>
        <v>686.38938696005107</v>
      </c>
      <c r="BI54" s="59">
        <f ca="1">AVERAGE(OFFSET($BH$3,0,0,'Données projet'!$E$11+1,1))-AVERAGE(OFFSET($H$3,0,0,'Données projet'!$E$11+1,1))</f>
        <v>394.14657090341535</v>
      </c>
      <c r="BJ54" s="59">
        <f t="shared" si="38"/>
        <v>424.06445894109982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2.1527708148566407</v>
      </c>
      <c r="BQ54" s="21">
        <f>EXP(-LN(2)/25)*BQ53+(1-EXP(-LN(2)/25))/(LN(2)/25)*Calculateur!BL54*Calculateur!BN54*VLOOKUP('Données projet'!$B$11,Paramètres!$A$1:$I$89,3,0)*0.475*44/12</f>
        <v>11.463144101383683</v>
      </c>
      <c r="BR54" s="21">
        <f>EXP(-LN(2)/2)*BR53+(1-EXP(-LN(2)/2))/(LN(2)/2)*BL54*BO54*VLOOKUP('Données projet'!$B$11,Paramètres!$A$1:$I$89,3,0)*0.475*44/12</f>
        <v>1.659976966142614E-2</v>
      </c>
      <c r="BS54" s="22">
        <f t="shared" si="9"/>
        <v>13.63251468590175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11.3</v>
      </c>
      <c r="BY54" s="12">
        <f>IF('Données projet'!$A$114&gt;35,BY53+BX54-CG53,IF(A54&lt;'Données projet'!$A$114,$BV$205^A54,IF(A54='Données projet'!$A$114,'Données projet'!$B$114,BY53+BX54-CG53)))</f>
        <v>331.30000000000013</v>
      </c>
      <c r="BZ54" s="13">
        <f>BY54*VLOOKUP('Données projet'!$B$12,Paramètres!$A$1:$I$89,3,0)*VLOOKUP('Données projet'!$B$12,Paramètres!$A$1:$I$89,5,0)</f>
        <v>180.88980000000006</v>
      </c>
      <c r="CA54" s="13">
        <f t="shared" si="39"/>
        <v>45.520093422801835</v>
      </c>
      <c r="CB54" s="20">
        <f t="shared" si="10"/>
        <v>394.33056437804663</v>
      </c>
      <c r="CC54" s="59">
        <f t="shared" si="11"/>
        <v>650.11444478129351</v>
      </c>
      <c r="CD54" s="59">
        <f ca="1">AVERAGE(OFFSET($CC$3,0,0,'Données projet'!$E$12+1,1))-AVERAGE(OFFSET($H$3,0,0,'Données projet'!$E$12+1,1))</f>
        <v>382.09004346384319</v>
      </c>
      <c r="CE54" s="59">
        <f t="shared" si="40"/>
        <v>410.18893995284986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5.6196636587600617</v>
      </c>
      <c r="CL54" s="21">
        <f>EXP(-LN(2)/25)*CL53+(1-EXP(-LN(2)/25))/(LN(2)/25)*Calculateur!CG54*Calculateur!CI54*VLOOKUP('Données projet'!$B$12,Paramètres!$A$1:$I$89,3,0)*0.475*44/12</f>
        <v>19.014964405599521</v>
      </c>
      <c r="CM54" s="21">
        <f>EXP(-LN(2)/2)*CM53+(1-EXP(-LN(2)/2))/(LN(2)/2)*CG54*CJ54*VLOOKUP('Données projet'!$B$12,Paramètres!$A$1:$I$89,3,0)*0.475*44/12</f>
        <v>1.7389320578663214E-2</v>
      </c>
      <c r="CN54" s="22">
        <f t="shared" si="12"/>
        <v>24.652017384938244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</v>
      </c>
      <c r="CT54" s="12">
        <f>IF('Données projet'!$A$140&gt;35,CT53+CS54-DB53,IF(A54&lt;'Données projet'!$A$140,$CQ$205^A54,IF(A54='Données projet'!$A$140,'Données projet'!$B$140,CT53+CS54-DB53)))</f>
        <v>206.20000000000005</v>
      </c>
      <c r="CU54" s="17">
        <f>CT54*VLOOKUP('Données projet'!$B$13,Paramètres!$A$1:$I$89,3,0)*VLOOKUP('Données projet'!$B$13,Paramètres!$A$1:$I$89,5,0)</f>
        <v>180.13632000000007</v>
      </c>
      <c r="CV54" s="13">
        <f t="shared" si="41"/>
        <v>45.352513518602144</v>
      </c>
      <c r="CW54" s="20">
        <f t="shared" si="13"/>
        <v>392.72638504489879</v>
      </c>
      <c r="CX54" s="59">
        <f t="shared" si="14"/>
        <v>648.51026544814567</v>
      </c>
      <c r="CY54" s="59">
        <f ca="1">AVERAGE(OFFSET($CX$3,0,0,'Données projet'!$E$13+1,1))-AVERAGE(OFFSET($H$3,0,0,'Données projet'!$E$13+1,1))</f>
        <v>363.02374534486341</v>
      </c>
      <c r="CZ54" s="59">
        <f t="shared" si="42"/>
        <v>489.00477393029598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4.8219517652489978</v>
      </c>
      <c r="DG54" s="21">
        <f>EXP(-LN(2)/25)*DG53+(1-EXP(-LN(2)/25))/(LN(2)/25)*Calculateur!DB54*Calculateur!DD54*VLOOKUP('Données projet'!$B$13,Paramètres!$A$1:$I$89,3,0)*0.475*44/12</f>
        <v>10.81669618166168</v>
      </c>
      <c r="DH54" s="21">
        <f>EXP(-LN(2)/2)*DH53+(1-EXP(-LN(2)/2))/(LN(2)/2)*DB54*DE54*VLOOKUP('Données projet'!$B$13,Paramètres!$A$1:$I$89,3,0)*0.475*44/12</f>
        <v>2.0242961237986717E-2</v>
      </c>
      <c r="DI54" s="22">
        <f t="shared" si="15"/>
        <v>15.658890908148663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>
        <f>DO54*VLOOKUP('Données projet'!$B$14,Paramètres!$A$1:$I$89,3,0)*VLOOKUP('Données projet'!$B$14,Paramètres!$A$1:$I$89,5,0)</f>
        <v>182.4201599999999</v>
      </c>
      <c r="DQ54" s="13">
        <f t="shared" si="43"/>
        <v>45.860207931046851</v>
      </c>
      <c r="DR54" s="20">
        <f t="shared" si="16"/>
        <v>397.58830747990646</v>
      </c>
      <c r="DS54" s="59">
        <f t="shared" si="17"/>
        <v>653.37218788315329</v>
      </c>
      <c r="DT54" s="59">
        <f ca="1">AVERAGE(OFFSET($DS$3,0,0,'Données projet'!$E$14+1,1))-AVERAGE(OFFSET($H$3,0,0,'Données projet'!$E$14+1,1))</f>
        <v>368.03281986807173</v>
      </c>
      <c r="DU54" s="59">
        <f t="shared" si="44"/>
        <v>395.83504504492248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1.6096003761839697</v>
      </c>
      <c r="EB54" s="21">
        <f>EXP(-LN(2)/25)*EB53+(1-EXP(-LN(2)/25))/(LN(2)/25)*Calculateur!DW54*Calculateur!DY54*VLOOKUP('Données projet'!$B$14,Paramètres!$A$1:$I$89,3,0)*0.475*44/12</f>
        <v>8.5708524709198759</v>
      </c>
      <c r="EC54" s="21">
        <f>EXP(-LN(2)/2)*EC53+(1-EXP(-LN(2)/2))/(LN(2)/2)*DW54*DZ54*VLOOKUP('Données projet'!$B$14,Paramètres!$A$1:$I$89,3,0)*0.475*44/12</f>
        <v>1.5297826942882937E-2</v>
      </c>
      <c r="ED54" s="22">
        <f t="shared" si="18"/>
        <v>10.195750674046728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5.125</v>
      </c>
      <c r="EJ54" s="12">
        <f>IF('Données projet'!$A$192&gt;35,EJ53+EI54-ER53,IF(A54&lt;'Données projet'!$A$192,$EG$205^A54,IF(A54='Données projet'!$A$192,'Données projet'!$B$192,EJ53+EI54-ER53)))</f>
        <v>230.625</v>
      </c>
      <c r="EK54" s="17">
        <f>EJ54*VLOOKUP('Données projet'!$B$15,Paramètres!$A$1:$I$89,3,0)*VLOOKUP('Données projet'!$B$15,Paramètres!$A$1:$I$89,5,0)</f>
        <v>137.91375000000002</v>
      </c>
      <c r="EL54" s="13">
        <f t="shared" si="45"/>
        <v>35.818658097691937</v>
      </c>
      <c r="EM54" s="20">
        <f t="shared" si="19"/>
        <v>302.58394410348018</v>
      </c>
      <c r="EN54" s="59">
        <f t="shared" si="20"/>
        <v>558.36782450672695</v>
      </c>
      <c r="EO54" s="59">
        <f ca="1">AVERAGE(OFFSET($EN$3,0,0,'Données projet'!$E$15+1,1))-AVERAGE(OFFSET($H$3,0,0,'Données projet'!$E$15+1,1))</f>
        <v>225.2264820414552</v>
      </c>
      <c r="EP54" s="59">
        <f t="shared" si="46"/>
        <v>249.91838548328681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1.4595728066905067</v>
      </c>
      <c r="EW54" s="21">
        <f>EXP(-LN(2)/25)*EW53+(1-EXP(-LN(2)/25))/(LN(2)/25)*Calculateur!ER54*Calculateur!ET54*VLOOKUP('Données projet'!$B$15,Paramètres!$A$1:$I$89,3,0)*0.475*44/12</f>
        <v>4.835389244409849</v>
      </c>
      <c r="EX54" s="21">
        <f>EXP(-LN(2)/2)*EX53+(1-EXP(-LN(2)/2))/(LN(2)/2)*ER54*EU54*VLOOKUP('Données projet'!$B$15,Paramètres!$A$1:$I$89,3,0)*0.475*44/12</f>
        <v>2.793570772903486E-3</v>
      </c>
      <c r="EY54" s="22">
        <f t="shared" si="21"/>
        <v>6.2977556218732591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19.3</v>
      </c>
      <c r="FE54" s="12">
        <f>IF('Données projet'!$A$218&gt;35,FE53+FD54-FM53,IF(A54&lt;'Données projet'!$A$218,$FB$205^A54,IF(A54='Données projet'!$A$218,'Données projet'!$B$218,FE53+FD54-FM53)))</f>
        <v>505.29999999999984</v>
      </c>
      <c r="FF54" s="17">
        <f>FE54*VLOOKUP('Données projet'!$B$16,Paramètres!$A$1:$I$89,3,0)*VLOOKUP('Données projet'!$B$16,Paramètres!$A$1:$I$89,5,0)</f>
        <v>282.46269999999993</v>
      </c>
      <c r="FG54" s="13">
        <f t="shared" si="47"/>
        <v>67.487182645718548</v>
      </c>
      <c r="FH54" s="20">
        <f t="shared" si="22"/>
        <v>609.49604560795967</v>
      </c>
      <c r="FI54" s="59">
        <f t="shared" si="23"/>
        <v>865.2799260112065</v>
      </c>
      <c r="FJ54" s="59">
        <f ca="1">AVERAGE(OFFSET($FI$3,0,0,'Données projet'!$E$16+1,1))-AVERAGE(OFFSET($H$3,0,0,'Données projet'!$E$16+1,1))</f>
        <v>549.85684198202534</v>
      </c>
      <c r="FK54" s="59">
        <f t="shared" si="48"/>
        <v>539.63748606275431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7.5342996332015586</v>
      </c>
      <c r="FR54" s="21">
        <f>EXP(-LN(2)/25)*FR53+(1-EXP(-LN(2)/25))/(LN(2)/25)*Calculateur!FM54*Calculateur!FO54*VLOOKUP('Données projet'!$B$16,Paramètres!$A$1:$I$89,3,0)*0.475*44/12</f>
        <v>21.652695194837158</v>
      </c>
      <c r="FS54" s="21">
        <f>EXP(-LN(2)/2)*FS53+(1-EXP(-LN(2)/2))/(LN(2)/2)*FM54*FP54*VLOOKUP('Données projet'!$B$16,Paramètres!$A$1:$I$89,3,0)*0.475*44/12</f>
        <v>2.5185079785003544E-2</v>
      </c>
      <c r="FT54" s="22">
        <f t="shared" si="24"/>
        <v>29.212179907823721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16.100000000000001</v>
      </c>
      <c r="FZ54" s="12">
        <f>IF('Données projet'!$A$244&gt;35,FZ53+FY54-GH53,IF(A54&lt;'Données projet'!$A$244,$FW$205^A54,IF(A54='Données projet'!$A$244,'Données projet'!$B$244,FZ53+FY54-GH53)))</f>
        <v>425.09999999999945</v>
      </c>
      <c r="GA54" s="17">
        <f>FZ54*VLOOKUP('Données projet'!$B$17,Paramètres!$A$1:$I$89,3,0)*VLOOKUP('Données projet'!$B$17,Paramètres!$A$1:$I$89,5,0)</f>
        <v>254.20979999999972</v>
      </c>
      <c r="GB54" s="13">
        <f t="shared" si="49"/>
        <v>61.486528176159879</v>
      </c>
      <c r="GC54" s="20">
        <f t="shared" si="25"/>
        <v>549.83777157347788</v>
      </c>
      <c r="GD54" s="59">
        <f t="shared" si="26"/>
        <v>805.62165197672471</v>
      </c>
      <c r="GE54" s="59">
        <f ca="1">AVERAGE(OFFSET($GD$3,0,0,'Données projet'!$E$17+1,1))-AVERAGE(OFFSET($H$3,0,0,'Données projet'!$E$17+1,1))</f>
        <v>495.6641415122013</v>
      </c>
      <c r="GF54" s="59">
        <f t="shared" si="50"/>
        <v>488.90534169400757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2.6378013092139074</v>
      </c>
      <c r="GM54" s="21">
        <f>EXP(-LN(2)/25)*GM53+(1-EXP(-LN(2)/25))/(LN(2)/25)*Calculateur!GH54*Calculateur!GJ54*VLOOKUP('Données projet'!$B$17,Paramètres!$A$1:$I$89,3,0)*0.475*44/12</f>
        <v>14.52757780899775</v>
      </c>
      <c r="GN54" s="21">
        <f>EXP(-LN(2)/2)*GN53+(1-EXP(-LN(2)/2))/(LN(2)/2)*GH54*GK54*VLOOKUP('Données projet'!$B$17,Paramètres!$A$1:$I$89,3,0)*0.475*44/12</f>
        <v>2.4002500343754427E-2</v>
      </c>
      <c r="GO54" s="21">
        <f t="shared" si="27"/>
        <v>17.189381618555412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16.100000000000001</v>
      </c>
      <c r="GU54" s="12">
        <f>IF('Données projet'!$A$270&gt;35,GU53+GT54-HC53,IF(A54&lt;'Données projet'!$A$270,$GR$205^A54,IF(A54='Données projet'!$A$270,'Données projet'!$B$270,GU53+GT54-HC53)))</f>
        <v>425.09999999999945</v>
      </c>
      <c r="GV54" s="17">
        <f>GU54*VLOOKUP('Données projet'!$B$18,Paramètres!$A$1:$I$89,3,0)*VLOOKUP('Données projet'!$B$18,Paramètres!$A$1:$I$89,5,0)</f>
        <v>254.20979999999972</v>
      </c>
      <c r="GW54" s="13">
        <f t="shared" si="51"/>
        <v>61.486528176159879</v>
      </c>
      <c r="GX54" s="20">
        <f t="shared" si="28"/>
        <v>549.83777157347788</v>
      </c>
      <c r="GY54" s="59">
        <f t="shared" si="29"/>
        <v>805.62165197672471</v>
      </c>
      <c r="GZ54" s="59">
        <f ca="1">AVERAGE(OFFSET($GY$3,0,0,'Données projet'!$E$18+1,1))-AVERAGE(OFFSET($H$3,0,0,'Données projet'!$E$18+1,1))</f>
        <v>-18.333333333333343</v>
      </c>
      <c r="HA54" s="59">
        <f t="shared" si="52"/>
        <v>-18.333333333333343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2.6378013092139074</v>
      </c>
      <c r="HH54" s="21">
        <f>EXP(-LN(2)/25)*HH53+(1-EXP(-LN(2)/25))/(LN(2)/25)*Calculateur!HC54*Calculateur!HE54*VLOOKUP('Données projet'!$B$18,Paramètres!$A$1:$I$89,3,0)*0.475*44/12</f>
        <v>14.52757780899775</v>
      </c>
      <c r="HI54" s="21">
        <f>EXP(-LN(2)/2)*HI53+(1-EXP(-LN(2)/2))/(LN(2)/2)*HC54*HF54*VLOOKUP('Données projet'!$B$18,Paramètres!$A$1:$I$89,3,0)*0.475*44/12</f>
        <v>2.4002500343754427E-2</v>
      </c>
      <c r="HJ54" s="22">
        <f t="shared" si="30"/>
        <v>17.189381618555412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13.499999999999996</v>
      </c>
      <c r="N55" s="13">
        <f>IF('Données projet'!$A$36&gt;35,N54+M55-V54,IF(A55&lt;'Données projet'!$A$36,$K$205^A55,IF(A55='Données projet'!$A$36,'Données projet'!$B$36,N54+M55-V54)))</f>
        <v>266.79999999999984</v>
      </c>
      <c r="O55" s="13">
        <f>N55*VLOOKUP('Données projet'!$B$9,Paramètres!$A$1:$I$89,3,0)*VLOOKUP('Données projet'!$B$9,Paramètres!$A$1:$I$89,5,0)</f>
        <v>124.86239999999994</v>
      </c>
      <c r="P55" s="13">
        <f t="shared" si="33"/>
        <v>32.80643928056157</v>
      </c>
      <c r="Q55" s="20">
        <f t="shared" si="53"/>
        <v>274.60656174697795</v>
      </c>
      <c r="R55" s="59">
        <f t="shared" si="0"/>
        <v>531.0418412105613</v>
      </c>
      <c r="S55" s="59">
        <f ca="1">AVERAGE(OFFSET($R$3,0,0,'Données projet'!$E$9+1,1))-AVERAGE(OFFSET($H$3,0,0,'Données projet'!$E$9+1,1))</f>
        <v>376.11581547534814</v>
      </c>
      <c r="T55" s="59">
        <f t="shared" si="34"/>
        <v>300.91675649863294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2.0274993599826621</v>
      </c>
      <c r="AA55" s="21">
        <f>EXP(-LN(2)/25)*AA54+(1-EXP(-LN(2)/25))/(LN(2)/25)*Calculateur!V55*Calculateur!X55*VLOOKUP('Données projet'!$B$9,Paramètres!$A$1:$I$89,3,0)*0.475*44/12</f>
        <v>4.26840348740759</v>
      </c>
      <c r="AB55" s="21">
        <f>EXP(-LN(2)/2)*AB54+(1-EXP(-LN(2)/2))/(LN(2)/2)*V55*Y55*VLOOKUP('Données projet'!$B$9,Paramètres!$A$1:$I$89,3,0)*0.475*44/12</f>
        <v>4.8008674220195273E-3</v>
      </c>
      <c r="AC55" s="22">
        <f t="shared" si="3"/>
        <v>6.300703714812272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201.40847999999991</v>
      </c>
      <c r="AK55" s="13">
        <f t="shared" si="35"/>
        <v>50.053582459229212</v>
      </c>
      <c r="AL55" s="20">
        <f t="shared" si="4"/>
        <v>437.96309211649071</v>
      </c>
      <c r="AM55" s="59">
        <f t="shared" si="5"/>
        <v>694.39837158007413</v>
      </c>
      <c r="AN55" s="59">
        <f ca="1">AVERAGE(OFFSET($AM$3,0,0,'Données projet'!$E$10+1,1))-AVERAGE(OFFSET($H$3,0,0,'Données projet'!$E$10+1,1))</f>
        <v>505.38595282220405</v>
      </c>
      <c r="AO55" s="59">
        <f t="shared" si="36"/>
        <v>351.72130415456365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1.5578919401675717</v>
      </c>
      <c r="AV55" s="21">
        <f>EXP(-LN(2)/25)*AV54+(1-EXP(-LN(2)/25))/(LN(2)/25)*Calculateur!AQ55*Calculateur!AS55*VLOOKUP('Données projet'!$B$10,Paramètres!$A$1:$I$89,3,0)*0.475*44/12</f>
        <v>6.1307160516922208</v>
      </c>
      <c r="AW55" s="21">
        <f>EXP(-LN(2)/2)*AW54+(1-EXP(-LN(2)/2))/(LN(2)/2)*AQ55*AT55*VLOOKUP('Données projet'!$B$10,Paramètres!$A$1:$I$89,3,0)*0.475*44/12</f>
        <v>1.0524090221731744E-2</v>
      </c>
      <c r="AX55" s="21">
        <f t="shared" si="6"/>
        <v>7.6991320820815243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203.35535999999991</v>
      </c>
      <c r="BF55" s="13">
        <f t="shared" si="37"/>
        <v>50.480858741452501</v>
      </c>
      <c r="BG55" s="20">
        <f t="shared" si="7"/>
        <v>442.09808097469619</v>
      </c>
      <c r="BH55" s="59">
        <f t="shared" si="8"/>
        <v>698.53336043827949</v>
      </c>
      <c r="BI55" s="59">
        <f ca="1">AVERAGE(OFFSET($BH$3,0,0,'Données projet'!$E$11+1,1))-AVERAGE(OFFSET($H$3,0,0,'Données projet'!$E$11+1,1))</f>
        <v>394.14657090341535</v>
      </c>
      <c r="BJ55" s="59">
        <f t="shared" si="38"/>
        <v>424.06445894109982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2.1105562922378449</v>
      </c>
      <c r="BQ55" s="21">
        <f>EXP(-LN(2)/25)*BQ54+(1-EXP(-LN(2)/25))/(LN(2)/25)*Calculateur!BL55*Calculateur!BN55*VLOOKUP('Données projet'!$B$11,Paramètres!$A$1:$I$89,3,0)*0.475*44/12</f>
        <v>11.149683823110797</v>
      </c>
      <c r="BR55" s="21">
        <f>EXP(-LN(2)/2)*BR54+(1-EXP(-LN(2)/2))/(LN(2)/2)*BL55*BO55*VLOOKUP('Données projet'!$B$11,Paramètres!$A$1:$I$89,3,0)*0.475*44/12</f>
        <v>1.1737809693729144E-2</v>
      </c>
      <c r="BS55" s="22">
        <f t="shared" si="9"/>
        <v>13.271977925042371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11.3</v>
      </c>
      <c r="BY55" s="12">
        <f>IF('Données projet'!$A$114&gt;35,BY54+BX55-CG54,IF(A55&lt;'Données projet'!$A$114,$BV$205^A55,IF(A55='Données projet'!$A$114,'Données projet'!$B$114,BY54+BX55-CG54)))</f>
        <v>342.60000000000014</v>
      </c>
      <c r="BZ55" s="13">
        <f>BY55*VLOOKUP('Données projet'!$B$12,Paramètres!$A$1:$I$89,3,0)*VLOOKUP('Données projet'!$B$12,Paramètres!$A$1:$I$89,5,0)</f>
        <v>187.05960000000007</v>
      </c>
      <c r="CA55" s="13">
        <f t="shared" si="39"/>
        <v>46.889283237928652</v>
      </c>
      <c r="CB55" s="20">
        <f t="shared" si="10"/>
        <v>407.46097163939248</v>
      </c>
      <c r="CC55" s="59">
        <f t="shared" si="11"/>
        <v>663.89625110297584</v>
      </c>
      <c r="CD55" s="59">
        <f ca="1">AVERAGE(OFFSET($CC$3,0,0,'Données projet'!$E$12+1,1))-AVERAGE(OFFSET($H$3,0,0,'Données projet'!$E$12+1,1))</f>
        <v>382.09004346384319</v>
      </c>
      <c r="CE55" s="59">
        <f t="shared" si="40"/>
        <v>410.18893995284986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5.5094654820681557</v>
      </c>
      <c r="CL55" s="21">
        <f>EXP(-LN(2)/25)*CL54+(1-EXP(-LN(2)/25))/(LN(2)/25)*Calculateur!CG55*Calculateur!CI55*VLOOKUP('Données projet'!$B$12,Paramètres!$A$1:$I$89,3,0)*0.475*44/12</f>
        <v>18.494999203974885</v>
      </c>
      <c r="CM55" s="21">
        <f>EXP(-LN(2)/2)*CM54+(1-EXP(-LN(2)/2))/(LN(2)/2)*CG55*CJ55*VLOOKUP('Données projet'!$B$12,Paramètres!$A$1:$I$89,3,0)*0.475*44/12</f>
        <v>1.2296106501399538E-2</v>
      </c>
      <c r="CN55" s="22">
        <f t="shared" si="12"/>
        <v>24.016760792544439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</v>
      </c>
      <c r="CT55" s="12">
        <f>IF('Données projet'!$A$140&gt;35,CT54+CS55-DB54,IF(A55&lt;'Données projet'!$A$140,$CQ$205^A55,IF(A55='Données projet'!$A$140,'Données projet'!$B$140,CT54+CS55-DB54)))</f>
        <v>213.40000000000003</v>
      </c>
      <c r="CU55" s="17">
        <f>CT55*VLOOKUP('Données projet'!$B$13,Paramètres!$A$1:$I$89,3,0)*VLOOKUP('Données projet'!$B$13,Paramètres!$A$1:$I$89,5,0)</f>
        <v>186.42624000000006</v>
      </c>
      <c r="CV55" s="13">
        <f t="shared" si="41"/>
        <v>46.748974211060826</v>
      </c>
      <c r="CW55" s="20">
        <f t="shared" si="13"/>
        <v>406.11349808426439</v>
      </c>
      <c r="CX55" s="59">
        <f t="shared" si="14"/>
        <v>662.54877754784775</v>
      </c>
      <c r="CY55" s="59">
        <f ca="1">AVERAGE(OFFSET($CX$3,0,0,'Données projet'!$E$13+1,1))-AVERAGE(OFFSET($H$3,0,0,'Données projet'!$E$13+1,1))</f>
        <v>363.02374534486341</v>
      </c>
      <c r="CZ55" s="59">
        <f t="shared" si="42"/>
        <v>489.00477393029598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4.7273962322326319</v>
      </c>
      <c r="DG55" s="21">
        <f>EXP(-LN(2)/25)*DG54+(1-EXP(-LN(2)/25))/(LN(2)/25)*Calculateur!DB55*Calculateur!DD55*VLOOKUP('Données projet'!$B$13,Paramètres!$A$1:$I$89,3,0)*0.475*44/12</f>
        <v>10.52091305574881</v>
      </c>
      <c r="DH55" s="21">
        <f>EXP(-LN(2)/2)*DH54+(1-EXP(-LN(2)/2))/(LN(2)/2)*DB55*DE55*VLOOKUP('Données projet'!$B$13,Paramètres!$A$1:$I$89,3,0)*0.475*44/12</f>
        <v>1.4313935162676837E-2</v>
      </c>
      <c r="DI55" s="22">
        <f t="shared" si="15"/>
        <v>15.26262322314412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>
        <f>DO55*VLOOKUP('Données projet'!$B$14,Paramètres!$A$1:$I$89,3,0)*VLOOKUP('Données projet'!$B$14,Paramètres!$A$1:$I$89,5,0)</f>
        <v>187.4059199999999</v>
      </c>
      <c r="DQ55" s="13">
        <f t="shared" si="43"/>
        <v>46.965980543441781</v>
      </c>
      <c r="DR55" s="20">
        <f t="shared" si="16"/>
        <v>408.19772677982763</v>
      </c>
      <c r="DS55" s="59">
        <f t="shared" si="17"/>
        <v>664.63300624341105</v>
      </c>
      <c r="DT55" s="59">
        <f ca="1">AVERAGE(OFFSET($DS$3,0,0,'Données projet'!$E$14+1,1))-AVERAGE(OFFSET($H$3,0,0,'Données projet'!$E$14+1,1))</f>
        <v>368.03281986807173</v>
      </c>
      <c r="DU55" s="59">
        <f t="shared" si="44"/>
        <v>395.83504504492248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1.5780370945662909</v>
      </c>
      <c r="EB55" s="21">
        <f>EXP(-LN(2)/25)*EB54+(1-EXP(-LN(2)/25))/(LN(2)/25)*Calculateur!DW55*Calculateur!DY55*VLOOKUP('Données projet'!$B$14,Paramètres!$A$1:$I$89,3,0)*0.475*44/12</f>
        <v>8.33648205938103</v>
      </c>
      <c r="EC55" s="21">
        <f>EXP(-LN(2)/2)*EC54+(1-EXP(-LN(2)/2))/(LN(2)/2)*DW55*DZ55*VLOOKUP('Données projet'!$B$14,Paramètres!$A$1:$I$89,3,0)*0.475*44/12</f>
        <v>1.0817197168730797E-2</v>
      </c>
      <c r="ED55" s="22">
        <f t="shared" si="18"/>
        <v>9.9253363511160515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5.125</v>
      </c>
      <c r="EJ55" s="12">
        <f>IF('Données projet'!$A$192&gt;35,EJ54+EI55-ER54,IF(A55&lt;'Données projet'!$A$192,$EG$205^A55,IF(A55='Données projet'!$A$192,'Données projet'!$B$192,EJ54+EI55-ER54)))</f>
        <v>235.75</v>
      </c>
      <c r="EK55" s="17">
        <f>EJ55*VLOOKUP('Données projet'!$B$15,Paramètres!$A$1:$I$89,3,0)*VLOOKUP('Données projet'!$B$15,Paramètres!$A$1:$I$89,5,0)</f>
        <v>140.97850000000003</v>
      </c>
      <c r="EL55" s="13">
        <f t="shared" si="45"/>
        <v>36.521075157496767</v>
      </c>
      <c r="EM55" s="20">
        <f t="shared" si="19"/>
        <v>309.14509339930686</v>
      </c>
      <c r="EN55" s="59">
        <f t="shared" si="20"/>
        <v>565.58037286289027</v>
      </c>
      <c r="EO55" s="59">
        <f ca="1">AVERAGE(OFFSET($EN$3,0,0,'Données projet'!$E$15+1,1))-AVERAGE(OFFSET($H$3,0,0,'Données projet'!$E$15+1,1))</f>
        <v>225.2264820414552</v>
      </c>
      <c r="EP55" s="59">
        <f t="shared" si="46"/>
        <v>249.91838548328681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1.4309514742028129</v>
      </c>
      <c r="EW55" s="21">
        <f>EXP(-LN(2)/25)*EW54+(1-EXP(-LN(2)/25))/(LN(2)/25)*Calculateur!ER55*Calculateur!ET55*VLOOKUP('Données projet'!$B$15,Paramètres!$A$1:$I$89,3,0)*0.475*44/12</f>
        <v>4.703165271239393</v>
      </c>
      <c r="EX55" s="21">
        <f>EXP(-LN(2)/2)*EX54+(1-EXP(-LN(2)/2))/(LN(2)/2)*ER55*EU55*VLOOKUP('Données projet'!$B$15,Paramètres!$A$1:$I$89,3,0)*0.475*44/12</f>
        <v>1.9753528372445997E-3</v>
      </c>
      <c r="EY55" s="22">
        <f t="shared" si="21"/>
        <v>6.1360920982794509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19.3</v>
      </c>
      <c r="FE55" s="12">
        <f>IF('Données projet'!$A$218&gt;35,FE54+FD55-FM54,IF(A55&lt;'Données projet'!$A$218,$FB$205^A55,IF(A55='Données projet'!$A$218,'Données projet'!$B$218,FE54+FD55-FM54)))</f>
        <v>524.5999999999998</v>
      </c>
      <c r="FF55" s="17">
        <f>FE55*VLOOKUP('Données projet'!$B$16,Paramètres!$A$1:$I$89,3,0)*VLOOKUP('Données projet'!$B$16,Paramètres!$A$1:$I$89,5,0)</f>
        <v>293.25139999999988</v>
      </c>
      <c r="FG55" s="13">
        <f t="shared" si="47"/>
        <v>69.759829754702025</v>
      </c>
      <c r="FH55" s="20">
        <f t="shared" si="22"/>
        <v>632.2445584894391</v>
      </c>
      <c r="FI55" s="59">
        <f t="shared" si="23"/>
        <v>888.67983795302246</v>
      </c>
      <c r="FJ55" s="59">
        <f ca="1">AVERAGE(OFFSET($FI$3,0,0,'Données projet'!$E$16+1,1))-AVERAGE(OFFSET($H$3,0,0,'Données projet'!$E$16+1,1))</f>
        <v>549.85684198202534</v>
      </c>
      <c r="FK55" s="59">
        <f t="shared" si="48"/>
        <v>539.63748606275431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7.3865566128634876</v>
      </c>
      <c r="FR55" s="21">
        <f>EXP(-LN(2)/25)*FR54+(1-EXP(-LN(2)/25))/(LN(2)/25)*Calculateur!FM55*Calculateur!FO55*VLOOKUP('Données projet'!$B$16,Paramètres!$A$1:$I$89,3,0)*0.475*44/12</f>
        <v>21.060601106068582</v>
      </c>
      <c r="FS55" s="21">
        <f>EXP(-LN(2)/2)*FS54+(1-EXP(-LN(2)/2))/(LN(2)/2)*FM55*FP55*VLOOKUP('Données projet'!$B$16,Paramètres!$A$1:$I$89,3,0)*0.475*44/12</f>
        <v>1.7808540700700242E-2</v>
      </c>
      <c r="FT55" s="22">
        <f t="shared" si="24"/>
        <v>28.464966259632767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16.100000000000001</v>
      </c>
      <c r="FZ55" s="12">
        <f>IF('Données projet'!$A$244&gt;35,FZ54+FY55-GH54,IF(A55&lt;'Données projet'!$A$244,$FW$205^A55,IF(A55='Données projet'!$A$244,'Données projet'!$B$244,FZ54+FY55-GH54)))</f>
        <v>441.19999999999948</v>
      </c>
      <c r="GA55" s="17">
        <f>FZ55*VLOOKUP('Données projet'!$B$17,Paramètres!$A$1:$I$89,3,0)*VLOOKUP('Données projet'!$B$17,Paramètres!$A$1:$I$89,5,0)</f>
        <v>263.83759999999972</v>
      </c>
      <c r="GB55" s="13">
        <f t="shared" si="49"/>
        <v>63.539700318692574</v>
      </c>
      <c r="GC55" s="20">
        <f t="shared" si="25"/>
        <v>570.18213138838905</v>
      </c>
      <c r="GD55" s="59">
        <f t="shared" si="26"/>
        <v>826.61741085197241</v>
      </c>
      <c r="GE55" s="59">
        <f ca="1">AVERAGE(OFFSET($GD$3,0,0,'Données projet'!$E$17+1,1))-AVERAGE(OFFSET($H$3,0,0,'Données projet'!$E$17+1,1))</f>
        <v>495.6641415122013</v>
      </c>
      <c r="GF55" s="59">
        <f t="shared" si="50"/>
        <v>488.90534169400757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2.5860756344401556</v>
      </c>
      <c r="GM55" s="21">
        <f>EXP(-LN(2)/25)*GM54+(1-EXP(-LN(2)/25))/(LN(2)/25)*Calculateur!GH55*Calculateur!GJ55*VLOOKUP('Données projet'!$B$17,Paramètres!$A$1:$I$89,3,0)*0.475*44/12</f>
        <v>14.130320429838592</v>
      </c>
      <c r="GN55" s="21">
        <f>EXP(-LN(2)/2)*GN54+(1-EXP(-LN(2)/2))/(LN(2)/2)*GH55*GK55*VLOOKUP('Données projet'!$B$17,Paramètres!$A$1:$I$89,3,0)*0.475*44/12</f>
        <v>1.6972330758501193E-2</v>
      </c>
      <c r="GO55" s="21">
        <f t="shared" si="27"/>
        <v>16.73336839503725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16.100000000000001</v>
      </c>
      <c r="GU55" s="12">
        <f>IF('Données projet'!$A$270&gt;35,GU54+GT55-HC54,IF(A55&lt;'Données projet'!$A$270,$GR$205^A55,IF(A55='Données projet'!$A$270,'Données projet'!$B$270,GU54+GT55-HC54)))</f>
        <v>441.19999999999948</v>
      </c>
      <c r="GV55" s="17">
        <f>GU55*VLOOKUP('Données projet'!$B$18,Paramètres!$A$1:$I$89,3,0)*VLOOKUP('Données projet'!$B$18,Paramètres!$A$1:$I$89,5,0)</f>
        <v>263.83759999999972</v>
      </c>
      <c r="GW55" s="13">
        <f t="shared" si="51"/>
        <v>63.539700318692574</v>
      </c>
      <c r="GX55" s="20">
        <f t="shared" si="28"/>
        <v>570.18213138838905</v>
      </c>
      <c r="GY55" s="59">
        <f t="shared" si="29"/>
        <v>826.61741085197241</v>
      </c>
      <c r="GZ55" s="59">
        <f ca="1">AVERAGE(OFFSET($GY$3,0,0,'Données projet'!$E$18+1,1))-AVERAGE(OFFSET($H$3,0,0,'Données projet'!$E$18+1,1))</f>
        <v>-18.333333333333343</v>
      </c>
      <c r="HA55" s="59">
        <f t="shared" si="52"/>
        <v>-18.333333333333343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2.5860756344401556</v>
      </c>
      <c r="HH55" s="21">
        <f>EXP(-LN(2)/25)*HH54+(1-EXP(-LN(2)/25))/(LN(2)/25)*Calculateur!HC55*Calculateur!HE55*VLOOKUP('Données projet'!$B$18,Paramètres!$A$1:$I$89,3,0)*0.475*44/12</f>
        <v>14.130320429838592</v>
      </c>
      <c r="HI55" s="21">
        <f>EXP(-LN(2)/2)*HI54+(1-EXP(-LN(2)/2))/(LN(2)/2)*HC55*HF55*VLOOKUP('Données projet'!$B$18,Paramètres!$A$1:$I$89,3,0)*0.475*44/12</f>
        <v>1.6972330758501193E-2</v>
      </c>
      <c r="HJ55" s="22">
        <f t="shared" si="30"/>
        <v>16.73336839503725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13.499999999999996</v>
      </c>
      <c r="N56" s="13">
        <f>IF('Données projet'!$A$36&gt;35,N55+M56-V55,IF(A56&lt;'Données projet'!$A$36,$K$205^A56,IF(A56='Données projet'!$A$36,'Données projet'!$B$36,N55+M56-V55)))</f>
        <v>280.29999999999984</v>
      </c>
      <c r="O56" s="13">
        <f>N56*VLOOKUP('Données projet'!$B$9,Paramètres!$A$1:$I$89,3,0)*VLOOKUP('Données projet'!$B$9,Paramètres!$A$1:$I$89,5,0)</f>
        <v>131.18039999999993</v>
      </c>
      <c r="P56" s="13">
        <f t="shared" si="33"/>
        <v>34.268971460239172</v>
      </c>
      <c r="Q56" s="20">
        <f t="shared" si="53"/>
        <v>288.15765529324972</v>
      </c>
      <c r="R56" s="59">
        <f t="shared" si="0"/>
        <v>545.23303349978301</v>
      </c>
      <c r="S56" s="59">
        <f ca="1">AVERAGE(OFFSET($R$3,0,0,'Données projet'!$E$9+1,1))-AVERAGE(OFFSET($H$3,0,0,'Données projet'!$E$9+1,1))</f>
        <v>376.11581547534814</v>
      </c>
      <c r="T56" s="59">
        <f t="shared" si="34"/>
        <v>300.91675649863294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1.9877413341859023</v>
      </c>
      <c r="AA56" s="21">
        <f>EXP(-LN(2)/25)*AA55+(1-EXP(-LN(2)/25))/(LN(2)/25)*Calculateur!V56*Calculateur!X56*VLOOKUP('Données projet'!$B$9,Paramètres!$A$1:$I$89,3,0)*0.475*44/12</f>
        <v>4.1516837695788453</v>
      </c>
      <c r="AB56" s="21">
        <f>EXP(-LN(2)/2)*AB55+(1-EXP(-LN(2)/2))/(LN(2)/2)*V56*Y56*VLOOKUP('Données projet'!$B$9,Paramètres!$A$1:$I$89,3,0)*0.475*44/12</f>
        <v>3.3947259096875865E-3</v>
      </c>
      <c r="AC56" s="22">
        <f t="shared" si="3"/>
        <v>6.1428198296744343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210.27551999999991</v>
      </c>
      <c r="AK56" s="13">
        <f t="shared" si="35"/>
        <v>51.995789155135654</v>
      </c>
      <c r="AL56" s="20">
        <f t="shared" si="4"/>
        <v>456.78919677852781</v>
      </c>
      <c r="AM56" s="59">
        <f t="shared" si="5"/>
        <v>713.86457498506104</v>
      </c>
      <c r="AN56" s="59">
        <f ca="1">AVERAGE(OFFSET($AM$3,0,0,'Données projet'!$E$10+1,1))-AVERAGE(OFFSET($H$3,0,0,'Données projet'!$E$10+1,1))</f>
        <v>505.38595282220405</v>
      </c>
      <c r="AO56" s="59">
        <f t="shared" si="36"/>
        <v>351.72130415456365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1.5273426294411427</v>
      </c>
      <c r="AV56" s="21">
        <f>EXP(-LN(2)/25)*AV55+(1-EXP(-LN(2)/25))/(LN(2)/25)*Calculateur!AQ56*Calculateur!AS56*VLOOKUP('Données projet'!$B$10,Paramètres!$A$1:$I$89,3,0)*0.475*44/12</f>
        <v>5.9630712988583516</v>
      </c>
      <c r="AW56" s="21">
        <f>EXP(-LN(2)/2)*AW55+(1-EXP(-LN(2)/2))/(LN(2)/2)*AQ56*AT56*VLOOKUP('Données projet'!$B$10,Paramètres!$A$1:$I$89,3,0)*0.475*44/12</f>
        <v>7.441655561605553E-3</v>
      </c>
      <c r="AX56" s="21">
        <f t="shared" si="6"/>
        <v>7.4978555838611003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208.7654399999999</v>
      </c>
      <c r="BF56" s="13">
        <f t="shared" si="37"/>
        <v>51.665710768737398</v>
      </c>
      <c r="BG56" s="20">
        <f t="shared" si="7"/>
        <v>453.58425425555083</v>
      </c>
      <c r="BH56" s="59">
        <f t="shared" si="8"/>
        <v>710.65963246208412</v>
      </c>
      <c r="BI56" s="59">
        <f ca="1">AVERAGE(OFFSET($BH$3,0,0,'Données projet'!$E$11+1,1))-AVERAGE(OFFSET($H$3,0,0,'Données projet'!$E$11+1,1))</f>
        <v>394.14657090341535</v>
      </c>
      <c r="BJ56" s="59">
        <f t="shared" si="38"/>
        <v>424.06445894109982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2.0691695706592874</v>
      </c>
      <c r="BQ56" s="21">
        <f>EXP(-LN(2)/25)*BQ55+(1-EXP(-LN(2)/25))/(LN(2)/25)*Calculateur!BL56*Calculateur!BN56*VLOOKUP('Données projet'!$B$11,Paramètres!$A$1:$I$89,3,0)*0.475*44/12</f>
        <v>10.844795132631443</v>
      </c>
      <c r="BR56" s="21">
        <f>EXP(-LN(2)/2)*BR55+(1-EXP(-LN(2)/2))/(LN(2)/2)*BL56*BO56*VLOOKUP('Données projet'!$B$11,Paramètres!$A$1:$I$89,3,0)*0.475*44/12</f>
        <v>8.2998848307130699E-3</v>
      </c>
      <c r="BS56" s="22">
        <f t="shared" si="9"/>
        <v>12.922264588121443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11.3</v>
      </c>
      <c r="BY56" s="12">
        <f>IF('Données projet'!$A$114&gt;35,BY55+BX56-CG55,IF(A56&lt;'Données projet'!$A$114,$BV$205^A56,IF(A56='Données projet'!$A$114,'Données projet'!$B$114,BY55+BX56-CG55)))</f>
        <v>353.90000000000015</v>
      </c>
      <c r="BZ56" s="13">
        <f>BY56*VLOOKUP('Données projet'!$B$12,Paramètres!$A$1:$I$89,3,0)*VLOOKUP('Données projet'!$B$12,Paramètres!$A$1:$I$89,5,0)</f>
        <v>193.22940000000008</v>
      </c>
      <c r="CA56" s="13">
        <f t="shared" si="39"/>
        <v>48.253225491879554</v>
      </c>
      <c r="CB56" s="20">
        <f t="shared" si="10"/>
        <v>420.5822393983571</v>
      </c>
      <c r="CC56" s="59">
        <f t="shared" si="11"/>
        <v>677.65761760489033</v>
      </c>
      <c r="CD56" s="59">
        <f ca="1">AVERAGE(OFFSET($CC$3,0,0,'Données projet'!$E$12+1,1))-AVERAGE(OFFSET($H$3,0,0,'Données projet'!$E$12+1,1))</f>
        <v>382.09004346384319</v>
      </c>
      <c r="CE56" s="59">
        <f t="shared" si="40"/>
        <v>410.18893995284986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5.4014282244069269</v>
      </c>
      <c r="CL56" s="21">
        <f>EXP(-LN(2)/25)*CL55+(1-EXP(-LN(2)/25))/(LN(2)/25)*Calculateur!CG56*Calculateur!CI56*VLOOKUP('Données projet'!$B$12,Paramètres!$A$1:$I$89,3,0)*0.475*44/12</f>
        <v>17.989252478132453</v>
      </c>
      <c r="CM56" s="21">
        <f>EXP(-LN(2)/2)*CM55+(1-EXP(-LN(2)/2))/(LN(2)/2)*CG56*CJ56*VLOOKUP('Données projet'!$B$12,Paramètres!$A$1:$I$89,3,0)*0.475*44/12</f>
        <v>8.6946602893316072E-3</v>
      </c>
      <c r="CN56" s="22">
        <f t="shared" si="12"/>
        <v>23.399375362828714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</v>
      </c>
      <c r="CT56" s="12">
        <f>IF('Données projet'!$A$140&gt;35,CT55+CS56-DB55,IF(A56&lt;'Données projet'!$A$140,$CQ$205^A56,IF(A56='Données projet'!$A$140,'Données projet'!$B$140,CT55+CS56-DB55)))</f>
        <v>220.60000000000002</v>
      </c>
      <c r="CU56" s="17">
        <f>CT56*VLOOKUP('Données projet'!$B$13,Paramètres!$A$1:$I$89,3,0)*VLOOKUP('Données projet'!$B$13,Paramètres!$A$1:$I$89,5,0)</f>
        <v>192.71616000000006</v>
      </c>
      <c r="CV56" s="13">
        <f t="shared" si="41"/>
        <v>48.139960279308241</v>
      </c>
      <c r="CW56" s="20">
        <f t="shared" si="13"/>
        <v>419.49107615312863</v>
      </c>
      <c r="CX56" s="59">
        <f t="shared" si="14"/>
        <v>676.56645435966186</v>
      </c>
      <c r="CY56" s="59">
        <f ca="1">AVERAGE(OFFSET($CX$3,0,0,'Données projet'!$E$13+1,1))-AVERAGE(OFFSET($H$3,0,0,'Données projet'!$E$13+1,1))</f>
        <v>363.02374534486341</v>
      </c>
      <c r="CZ56" s="59">
        <f t="shared" si="42"/>
        <v>489.00477393029598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4.6346948755455371</v>
      </c>
      <c r="DG56" s="21">
        <f>EXP(-LN(2)/25)*DG55+(1-EXP(-LN(2)/25))/(LN(2)/25)*Calculateur!DB56*Calculateur!DD56*VLOOKUP('Données projet'!$B$13,Paramètres!$A$1:$I$89,3,0)*0.475*44/12</f>
        <v>10.233218134968586</v>
      </c>
      <c r="DH56" s="21">
        <f>EXP(-LN(2)/2)*DH55+(1-EXP(-LN(2)/2))/(LN(2)/2)*DB56*DE56*VLOOKUP('Données projet'!$B$13,Paramètres!$A$1:$I$89,3,0)*0.475*44/12</f>
        <v>1.0121480618993359E-2</v>
      </c>
      <c r="DI56" s="22">
        <f t="shared" si="15"/>
        <v>14.878034491133116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>
        <f>DO56*VLOOKUP('Données projet'!$B$14,Paramètres!$A$1:$I$89,3,0)*VLOOKUP('Données projet'!$B$14,Paramètres!$A$1:$I$89,5,0)</f>
        <v>192.39167999999989</v>
      </c>
      <c r="DQ56" s="13">
        <f t="shared" si="43"/>
        <v>48.068333764993156</v>
      </c>
      <c r="DR56" s="20">
        <f t="shared" si="16"/>
        <v>418.80119064069623</v>
      </c>
      <c r="DS56" s="59">
        <f t="shared" si="17"/>
        <v>675.87656884722946</v>
      </c>
      <c r="DT56" s="59">
        <f ca="1">AVERAGE(OFFSET($DS$3,0,0,'Données projet'!$E$14+1,1))-AVERAGE(OFFSET($H$3,0,0,'Données projet'!$E$14+1,1))</f>
        <v>368.03281986807173</v>
      </c>
      <c r="DU56" s="59">
        <f t="shared" si="44"/>
        <v>395.83504504492248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1.547092749649434</v>
      </c>
      <c r="EB56" s="21">
        <f>EXP(-LN(2)/25)*EB55+(1-EXP(-LN(2)/25))/(LN(2)/25)*Calculateur!DW56*Calculateur!DY56*VLOOKUP('Données projet'!$B$14,Paramètres!$A$1:$I$89,3,0)*0.475*44/12</f>
        <v>8.1085205190707175</v>
      </c>
      <c r="EC56" s="21">
        <f>EXP(-LN(2)/2)*EC55+(1-EXP(-LN(2)/2))/(LN(2)/2)*DW56*DZ56*VLOOKUP('Données projet'!$B$14,Paramètres!$A$1:$I$89,3,0)*0.475*44/12</f>
        <v>7.6489134714414694E-3</v>
      </c>
      <c r="ED56" s="22">
        <f t="shared" si="18"/>
        <v>9.6632621821915929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5.125</v>
      </c>
      <c r="EJ56" s="12">
        <f>IF('Données projet'!$A$192&gt;35,EJ55+EI56-ER55,IF(A56&lt;'Données projet'!$A$192,$EG$205^A56,IF(A56='Données projet'!$A$192,'Données projet'!$B$192,EJ55+EI56-ER55)))</f>
        <v>240.875</v>
      </c>
      <c r="EK56" s="17">
        <f>EJ56*VLOOKUP('Données projet'!$B$15,Paramètres!$A$1:$I$89,3,0)*VLOOKUP('Données projet'!$B$15,Paramètres!$A$1:$I$89,5,0)</f>
        <v>144.04325000000003</v>
      </c>
      <c r="EL56" s="13">
        <f t="shared" si="45"/>
        <v>37.221716895868184</v>
      </c>
      <c r="EM56" s="20">
        <f t="shared" si="19"/>
        <v>315.70315067697044</v>
      </c>
      <c r="EN56" s="59">
        <f t="shared" si="20"/>
        <v>572.77852888350367</v>
      </c>
      <c r="EO56" s="59">
        <f ca="1">AVERAGE(OFFSET($EN$3,0,0,'Données projet'!$E$15+1,1))-AVERAGE(OFFSET($H$3,0,0,'Données projet'!$E$15+1,1))</f>
        <v>225.2264820414552</v>
      </c>
      <c r="EP56" s="59">
        <f t="shared" si="46"/>
        <v>249.91838548328681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1.4028913885879137</v>
      </c>
      <c r="EW56" s="21">
        <f>EXP(-LN(2)/25)*EW55+(1-EXP(-LN(2)/25))/(LN(2)/25)*Calculateur!ER56*Calculateur!ET56*VLOOKUP('Données projet'!$B$15,Paramètres!$A$1:$I$89,3,0)*0.475*44/12</f>
        <v>4.574556969568639</v>
      </c>
      <c r="EX56" s="21">
        <f>EXP(-LN(2)/2)*EX55+(1-EXP(-LN(2)/2))/(LN(2)/2)*ER56*EU56*VLOOKUP('Données projet'!$B$15,Paramètres!$A$1:$I$89,3,0)*0.475*44/12</f>
        <v>1.396785386451743E-3</v>
      </c>
      <c r="EY56" s="22">
        <f t="shared" si="21"/>
        <v>5.9788451435430039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19.3</v>
      </c>
      <c r="FE56" s="12">
        <f>IF('Données projet'!$A$218&gt;35,FE55+FD56-FM55,IF(A56&lt;'Données projet'!$A$218,$FB$205^A56,IF(A56='Données projet'!$A$218,'Données projet'!$B$218,FE55+FD56-FM55)))</f>
        <v>543.89999999999975</v>
      </c>
      <c r="FF56" s="17">
        <f>FE56*VLOOKUP('Données projet'!$B$16,Paramètres!$A$1:$I$89,3,0)*VLOOKUP('Données projet'!$B$16,Paramètres!$A$1:$I$89,5,0)</f>
        <v>304.04009999999988</v>
      </c>
      <c r="FG56" s="13">
        <f t="shared" si="47"/>
        <v>72.022763091018376</v>
      </c>
      <c r="FH56" s="20">
        <f t="shared" si="22"/>
        <v>654.97615321685669</v>
      </c>
      <c r="FI56" s="59">
        <f t="shared" si="23"/>
        <v>912.05153142338986</v>
      </c>
      <c r="FJ56" s="59">
        <f ca="1">AVERAGE(OFFSET($FI$3,0,0,'Données projet'!$E$16+1,1))-AVERAGE(OFFSET($H$3,0,0,'Données projet'!$E$16+1,1))</f>
        <v>549.85684198202534</v>
      </c>
      <c r="FK56" s="59">
        <f t="shared" si="48"/>
        <v>539.63748606275431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7.2417107430399019</v>
      </c>
      <c r="FR56" s="21">
        <f>EXP(-LN(2)/25)*FR55+(1-EXP(-LN(2)/25))/(LN(2)/25)*Calculateur!FM56*Calculateur!FO56*VLOOKUP('Données projet'!$B$16,Paramètres!$A$1:$I$89,3,0)*0.475*44/12</f>
        <v>20.484697861294258</v>
      </c>
      <c r="FS56" s="21">
        <f>EXP(-LN(2)/2)*FS55+(1-EXP(-LN(2)/2))/(LN(2)/2)*FM56*FP56*VLOOKUP('Données projet'!$B$16,Paramètres!$A$1:$I$89,3,0)*0.475*44/12</f>
        <v>1.2592539892501772E-2</v>
      </c>
      <c r="FT56" s="22">
        <f t="shared" si="24"/>
        <v>27.739001144226663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16.100000000000001</v>
      </c>
      <c r="FZ56" s="12">
        <f>IF('Données projet'!$A$244&gt;35,FZ55+FY56-GH55,IF(A56&lt;'Données projet'!$A$244,$FW$205^A56,IF(A56='Données projet'!$A$244,'Données projet'!$B$244,FZ55+FY56-GH55)))</f>
        <v>457.2999999999995</v>
      </c>
      <c r="GA56" s="17">
        <f>FZ56*VLOOKUP('Données projet'!$B$17,Paramètres!$A$1:$I$89,3,0)*VLOOKUP('Données projet'!$B$17,Paramètres!$A$1:$I$89,5,0)</f>
        <v>273.4653999999997</v>
      </c>
      <c r="GB56" s="13">
        <f t="shared" si="49"/>
        <v>65.584167867374916</v>
      </c>
      <c r="GC56" s="20">
        <f t="shared" si="25"/>
        <v>590.51133070234414</v>
      </c>
      <c r="GD56" s="59">
        <f t="shared" si="26"/>
        <v>847.58670890887743</v>
      </c>
      <c r="GE56" s="59">
        <f ca="1">AVERAGE(OFFSET($GD$3,0,0,'Données projet'!$E$17+1,1))-AVERAGE(OFFSET($H$3,0,0,'Données projet'!$E$17+1,1))</f>
        <v>495.6641415122013</v>
      </c>
      <c r="GF56" s="59">
        <f t="shared" si="50"/>
        <v>488.90534169400757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2.5353642685991709</v>
      </c>
      <c r="GM56" s="21">
        <f>EXP(-LN(2)/25)*GM55+(1-EXP(-LN(2)/25))/(LN(2)/25)*Calculateur!GH56*Calculateur!GJ56*VLOOKUP('Données projet'!$B$17,Paramètres!$A$1:$I$89,3,0)*0.475*44/12</f>
        <v>13.743926074603401</v>
      </c>
      <c r="GN56" s="21">
        <f>EXP(-LN(2)/2)*GN55+(1-EXP(-LN(2)/2))/(LN(2)/2)*GH56*GK56*VLOOKUP('Données projet'!$B$17,Paramètres!$A$1:$I$89,3,0)*0.475*44/12</f>
        <v>1.2001250171877214E-2</v>
      </c>
      <c r="GO56" s="21">
        <f t="shared" si="27"/>
        <v>16.291291593374449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16.100000000000001</v>
      </c>
      <c r="GU56" s="12">
        <f>IF('Données projet'!$A$270&gt;35,GU55+GT56-HC55,IF(A56&lt;'Données projet'!$A$270,$GR$205^A56,IF(A56='Données projet'!$A$270,'Données projet'!$B$270,GU55+GT56-HC55)))</f>
        <v>457.2999999999995</v>
      </c>
      <c r="GV56" s="17">
        <f>GU56*VLOOKUP('Données projet'!$B$18,Paramètres!$A$1:$I$89,3,0)*VLOOKUP('Données projet'!$B$18,Paramètres!$A$1:$I$89,5,0)</f>
        <v>273.4653999999997</v>
      </c>
      <c r="GW56" s="13">
        <f t="shared" si="51"/>
        <v>65.584167867374916</v>
      </c>
      <c r="GX56" s="20">
        <f t="shared" si="28"/>
        <v>590.51133070234414</v>
      </c>
      <c r="GY56" s="59">
        <f t="shared" si="29"/>
        <v>847.58670890887743</v>
      </c>
      <c r="GZ56" s="59">
        <f ca="1">AVERAGE(OFFSET($GY$3,0,0,'Données projet'!$E$18+1,1))-AVERAGE(OFFSET($H$3,0,0,'Données projet'!$E$18+1,1))</f>
        <v>-18.333333333333343</v>
      </c>
      <c r="HA56" s="59">
        <f t="shared" si="52"/>
        <v>-18.333333333333343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2.5353642685991709</v>
      </c>
      <c r="HH56" s="21">
        <f>EXP(-LN(2)/25)*HH55+(1-EXP(-LN(2)/25))/(LN(2)/25)*Calculateur!HC56*Calculateur!HE56*VLOOKUP('Données projet'!$B$18,Paramètres!$A$1:$I$89,3,0)*0.475*44/12</f>
        <v>13.743926074603401</v>
      </c>
      <c r="HI56" s="21">
        <f>EXP(-LN(2)/2)*HI55+(1-EXP(-LN(2)/2))/(LN(2)/2)*HC56*HF56*VLOOKUP('Données projet'!$B$18,Paramètres!$A$1:$I$89,3,0)*0.475*44/12</f>
        <v>1.2001250171877214E-2</v>
      </c>
      <c r="HJ56" s="22">
        <f t="shared" si="30"/>
        <v>16.291291593374449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13.499999999999996</v>
      </c>
      <c r="N57" s="13">
        <f>IF('Données projet'!$A$36&gt;35,N56+M57-V56,IF(A57&lt;'Données projet'!$A$36,$K$205^A57,IF(A57='Données projet'!$A$36,'Données projet'!$B$36,N56+M57-V56)))</f>
        <v>293.79999999999984</v>
      </c>
      <c r="O57" s="13">
        <f>N57*VLOOKUP('Données projet'!$B$9,Paramètres!$A$1:$I$89,3,0)*VLOOKUP('Données projet'!$B$9,Paramètres!$A$1:$I$89,5,0)</f>
        <v>137.49839999999992</v>
      </c>
      <c r="P57" s="13">
        <f t="shared" si="33"/>
        <v>35.723324086274197</v>
      </c>
      <c r="Q57" s="20">
        <f t="shared" si="53"/>
        <v>301.69450278359409</v>
      </c>
      <c r="R57" s="59">
        <f t="shared" si="0"/>
        <v>559.39887545093347</v>
      </c>
      <c r="S57" s="59">
        <f ca="1">AVERAGE(OFFSET($R$3,0,0,'Données projet'!$E$9+1,1))-AVERAGE(OFFSET($H$3,0,0,'Données projet'!$E$9+1,1))</f>
        <v>376.11581547534814</v>
      </c>
      <c r="T57" s="59">
        <f t="shared" si="34"/>
        <v>300.91675649863294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1.9487629390250159</v>
      </c>
      <c r="AA57" s="21">
        <f>EXP(-LN(2)/25)*AA56+(1-EXP(-LN(2)/25))/(LN(2)/25)*Calculateur!V57*Calculateur!X57*VLOOKUP('Données projet'!$B$9,Paramètres!$A$1:$I$89,3,0)*0.475*44/12</f>
        <v>4.0381557585721515</v>
      </c>
      <c r="AB57" s="21">
        <f>EXP(-LN(2)/2)*AB56+(1-EXP(-LN(2)/2))/(LN(2)/2)*V57*Y57*VLOOKUP('Données projet'!$B$9,Paramètres!$A$1:$I$89,3,0)*0.475*44/12</f>
        <v>2.4004337110097636E-3</v>
      </c>
      <c r="AC57" s="22">
        <f t="shared" si="3"/>
        <v>5.9893191313081768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219.14255999999992</v>
      </c>
      <c r="AK57" s="13">
        <f t="shared" si="35"/>
        <v>53.928483039139707</v>
      </c>
      <c r="AL57" s="20">
        <f t="shared" si="4"/>
        <v>475.59873329316815</v>
      </c>
      <c r="AM57" s="59">
        <f t="shared" si="5"/>
        <v>733.30310596050754</v>
      </c>
      <c r="AN57" s="59">
        <f ca="1">AVERAGE(OFFSET($AM$3,0,0,'Données projet'!$E$10+1,1))-AVERAGE(OFFSET($H$3,0,0,'Données projet'!$E$10+1,1))</f>
        <v>505.38595282220405</v>
      </c>
      <c r="AO57" s="59">
        <f t="shared" si="36"/>
        <v>351.72130415456365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1.4973923720648192</v>
      </c>
      <c r="AV57" s="21">
        <f>EXP(-LN(2)/25)*AV56+(1-EXP(-LN(2)/25))/(LN(2)/25)*Calculateur!AQ57*Calculateur!AS57*VLOOKUP('Données projet'!$B$10,Paramètres!$A$1:$I$89,3,0)*0.475*44/12</f>
        <v>5.8000108006067794</v>
      </c>
      <c r="AW57" s="21">
        <f>EXP(-LN(2)/2)*AW56+(1-EXP(-LN(2)/2))/(LN(2)/2)*AQ57*AT57*VLOOKUP('Données projet'!$B$10,Paramètres!$A$1:$I$89,3,0)*0.475*44/12</f>
        <v>5.2620451108658728E-3</v>
      </c>
      <c r="AX57" s="21">
        <f t="shared" si="6"/>
        <v>7.3026652177824651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214.17551999999992</v>
      </c>
      <c r="BF57" s="13">
        <f t="shared" si="37"/>
        <v>52.846993696165399</v>
      </c>
      <c r="BG57" s="20">
        <f t="shared" si="7"/>
        <v>465.06421135415462</v>
      </c>
      <c r="BH57" s="59">
        <f t="shared" si="8"/>
        <v>722.76858402149401</v>
      </c>
      <c r="BI57" s="59">
        <f ca="1">AVERAGE(OFFSET($BH$3,0,0,'Données projet'!$E$11+1,1))-AVERAGE(OFFSET($H$3,0,0,'Données projet'!$E$11+1,1))</f>
        <v>394.14657090341535</v>
      </c>
      <c r="BJ57" s="59">
        <f t="shared" si="38"/>
        <v>424.06445894109982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2.0285944174474779</v>
      </c>
      <c r="BQ57" s="21">
        <f>EXP(-LN(2)/25)*BQ56+(1-EXP(-LN(2)/25))/(LN(2)/25)*Calculateur!BL57*Calculateur!BN57*VLOOKUP('Données projet'!$B$11,Paramètres!$A$1:$I$89,3,0)*0.475*44/12</f>
        <v>10.548243639426646</v>
      </c>
      <c r="BR57" s="21">
        <f>EXP(-LN(2)/2)*BR56+(1-EXP(-LN(2)/2))/(LN(2)/2)*BL57*BO57*VLOOKUP('Données projet'!$B$11,Paramètres!$A$1:$I$89,3,0)*0.475*44/12</f>
        <v>5.8689048468645718E-3</v>
      </c>
      <c r="BS57" s="22">
        <f t="shared" si="9"/>
        <v>12.582706961720989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11.3</v>
      </c>
      <c r="BY57" s="12">
        <f>IF('Données projet'!$A$114&gt;35,BY56+BX57-CG56,IF(A57&lt;'Données projet'!$A$114,$BV$205^A57,IF(A57='Données projet'!$A$114,'Données projet'!$B$114,BY56+BX57-CG56)))</f>
        <v>365.20000000000016</v>
      </c>
      <c r="BZ57" s="13">
        <f>BY57*VLOOKUP('Données projet'!$B$12,Paramètres!$A$1:$I$89,3,0)*VLOOKUP('Données projet'!$B$12,Paramètres!$A$1:$I$89,5,0)</f>
        <v>199.39920000000009</v>
      </c>
      <c r="CA57" s="13">
        <f t="shared" si="39"/>
        <v>49.612106959430314</v>
      </c>
      <c r="CB57" s="20">
        <f t="shared" si="10"/>
        <v>433.69469295434129</v>
      </c>
      <c r="CC57" s="59">
        <f t="shared" si="11"/>
        <v>691.39906562168062</v>
      </c>
      <c r="CD57" s="59">
        <f ca="1">AVERAGE(OFFSET($CC$3,0,0,'Données projet'!$E$12+1,1))-AVERAGE(OFFSET($H$3,0,0,'Données projet'!$E$12+1,1))</f>
        <v>382.09004346384319</v>
      </c>
      <c r="CE57" s="59">
        <f t="shared" si="40"/>
        <v>410.18893995284986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5.2955095114722148</v>
      </c>
      <c r="CL57" s="21">
        <f>EXP(-LN(2)/25)*CL56+(1-EXP(-LN(2)/25))/(LN(2)/25)*Calculateur!CG57*Calculateur!CI57*VLOOKUP('Données projet'!$B$12,Paramètres!$A$1:$I$89,3,0)*0.475*44/12</f>
        <v>17.49733542310425</v>
      </c>
      <c r="CM57" s="21">
        <f>EXP(-LN(2)/2)*CM56+(1-EXP(-LN(2)/2))/(LN(2)/2)*CG57*CJ57*VLOOKUP('Données projet'!$B$12,Paramètres!$A$1:$I$89,3,0)*0.475*44/12</f>
        <v>6.1480532506997688E-3</v>
      </c>
      <c r="CN57" s="22">
        <f t="shared" si="12"/>
        <v>22.798992987827166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</v>
      </c>
      <c r="CT57" s="12">
        <f>IF('Données projet'!$A$140&gt;35,CT56+CS57-DB56,IF(A57&lt;'Données projet'!$A$140,$CQ$205^A57,IF(A57='Données projet'!$A$140,'Données projet'!$B$140,CT56+CS57-DB56)))</f>
        <v>227.8</v>
      </c>
      <c r="CU57" s="17">
        <f>CT57*VLOOKUP('Données projet'!$B$13,Paramètres!$A$1:$I$89,3,0)*VLOOKUP('Données projet'!$B$13,Paramètres!$A$1:$I$89,5,0)</f>
        <v>199.00608000000003</v>
      </c>
      <c r="CV57" s="13">
        <f t="shared" si="41"/>
        <v>49.525670897515027</v>
      </c>
      <c r="CW57" s="20">
        <f t="shared" si="13"/>
        <v>432.85946614650538</v>
      </c>
      <c r="CX57" s="59">
        <f t="shared" si="14"/>
        <v>690.56383881384477</v>
      </c>
      <c r="CY57" s="59">
        <f ca="1">AVERAGE(OFFSET($CX$3,0,0,'Données projet'!$E$13+1,1))-AVERAGE(OFFSET($H$3,0,0,'Données projet'!$E$13+1,1))</f>
        <v>363.02374534486341</v>
      </c>
      <c r="CZ57" s="59">
        <f t="shared" si="42"/>
        <v>489.00477393029598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4.5438113359208314</v>
      </c>
      <c r="DG57" s="21">
        <f>EXP(-LN(2)/25)*DG56+(1-EXP(-LN(2)/25))/(LN(2)/25)*Calculateur!DB57*Calculateur!DD57*VLOOKUP('Données projet'!$B$13,Paramètres!$A$1:$I$89,3,0)*0.475*44/12</f>
        <v>9.9533902469263165</v>
      </c>
      <c r="DH57" s="21">
        <f>EXP(-LN(2)/2)*DH56+(1-EXP(-LN(2)/2))/(LN(2)/2)*DB57*DE57*VLOOKUP('Données projet'!$B$13,Paramètres!$A$1:$I$89,3,0)*0.475*44/12</f>
        <v>7.1569675813384186E-3</v>
      </c>
      <c r="DI57" s="22">
        <f t="shared" si="15"/>
        <v>14.504358550428485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>
        <f>DO57*VLOOKUP('Données projet'!$B$14,Paramètres!$A$1:$I$89,3,0)*VLOOKUP('Données projet'!$B$14,Paramètres!$A$1:$I$89,5,0)</f>
        <v>197.37743999999989</v>
      </c>
      <c r="DQ57" s="13">
        <f t="shared" si="43"/>
        <v>49.167366395757924</v>
      </c>
      <c r="DR57" s="20">
        <f t="shared" si="16"/>
        <v>429.39887113927813</v>
      </c>
      <c r="DS57" s="59">
        <f t="shared" si="17"/>
        <v>687.10324380661746</v>
      </c>
      <c r="DT57" s="59">
        <f ca="1">AVERAGE(OFFSET($DS$3,0,0,'Données projet'!$E$14+1,1))-AVERAGE(OFFSET($H$3,0,0,'Données projet'!$E$14+1,1))</f>
        <v>368.03281986807173</v>
      </c>
      <c r="DU57" s="59">
        <f t="shared" si="44"/>
        <v>395.83504504492248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1.5167552044622099</v>
      </c>
      <c r="EB57" s="21">
        <f>EXP(-LN(2)/25)*EB56+(1-EXP(-LN(2)/25))/(LN(2)/25)*Calculateur!DW57*Calculateur!DY57*VLOOKUP('Données projet'!$B$14,Paramètres!$A$1:$I$89,3,0)*0.475*44/12</f>
        <v>7.8867925990681673</v>
      </c>
      <c r="EC57" s="21">
        <f>EXP(-LN(2)/2)*EC56+(1-EXP(-LN(2)/2))/(LN(2)/2)*DW57*DZ57*VLOOKUP('Données projet'!$B$14,Paramètres!$A$1:$I$89,3,0)*0.475*44/12</f>
        <v>5.4085985843653995E-3</v>
      </c>
      <c r="ED57" s="22">
        <f t="shared" si="18"/>
        <v>9.4089564021147432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246</v>
      </c>
      <c r="EH57" s="12">
        <f>VLOOKUP(A57,'Données projet'!$A$191:$I$211,9,0)</f>
        <v>5.125</v>
      </c>
      <c r="EI57" s="12">
        <f t="array" ref="EI57">INDEX(EH:EH,MIN(IF(ISNUMBER(EH57:EH253),ROW(EH57:EH253),"")))</f>
        <v>5.125</v>
      </c>
      <c r="EJ57" s="12">
        <f>IF('Données projet'!$A$192&gt;35,EJ56+EI57-ER56,IF(A57&lt;'Données projet'!$A$192,$EG$205^A57,IF(A57='Données projet'!$A$192,'Données projet'!$B$192,EJ56+EI57-ER56)))</f>
        <v>246</v>
      </c>
      <c r="EK57" s="17">
        <f>EJ57*VLOOKUP('Données projet'!$B$15,Paramètres!$A$1:$I$89,3,0)*VLOOKUP('Données projet'!$B$15,Paramètres!$A$1:$I$89,5,0)</f>
        <v>147.10800000000003</v>
      </c>
      <c r="EL57" s="13">
        <f t="shared" si="45"/>
        <v>37.920625436598897</v>
      </c>
      <c r="EM57" s="20">
        <f t="shared" si="19"/>
        <v>322.25818930207646</v>
      </c>
      <c r="EN57" s="59">
        <f t="shared" si="20"/>
        <v>579.96256196941579</v>
      </c>
      <c r="EO57" s="59">
        <f ca="1">AVERAGE(OFFSET($EN$3,0,0,'Données projet'!$E$15+1,1))-AVERAGE(OFFSET($H$3,0,0,'Données projet'!$E$15+1,1))</f>
        <v>225.2264820414552</v>
      </c>
      <c r="EP57" s="59">
        <f t="shared" si="46"/>
        <v>249.91838548328681</v>
      </c>
      <c r="EQ57" s="15">
        <f>IF(ISNA(VLOOKUP(A57,'Données projet'!$A$191:$I$211,3,0)),0,VLOOKUP(A57,'Données projet'!$A$191:$I$211,3,0))</f>
        <v>8</v>
      </c>
      <c r="ER57" s="15">
        <f>IF(ISNA(VLOOKUP(A57,'Données projet'!$A$191:$I$211,4,0)),0,VLOOKUP(A57,'Données projet'!$A$191:$I$211,4,0))</f>
        <v>22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1.3753815441369606</v>
      </c>
      <c r="EW57" s="21">
        <f>EXP(-LN(2)/25)*EW56+(1-EXP(-LN(2)/25))/(LN(2)/25)*Calculateur!ER57*Calculateur!ET57*VLOOKUP('Données projet'!$B$15,Paramètres!$A$1:$I$89,3,0)*0.475*44/12</f>
        <v>4.4494654686702892</v>
      </c>
      <c r="EX57" s="21">
        <f>EXP(-LN(2)/2)*EX56+(1-EXP(-LN(2)/2))/(LN(2)/2)*ER57*EU57*VLOOKUP('Données projet'!$B$15,Paramètres!$A$1:$I$89,3,0)*0.475*44/12</f>
        <v>9.8767641862229985E-4</v>
      </c>
      <c r="EY57" s="22">
        <f t="shared" si="21"/>
        <v>5.8258346892258723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19.3</v>
      </c>
      <c r="FE57" s="12">
        <f>IF('Données projet'!$A$218&gt;35,FE56+FD57-FM56,IF(A57&lt;'Données projet'!$A$218,$FB$205^A57,IF(A57='Données projet'!$A$218,'Données projet'!$B$218,FE56+FD57-FM56)))</f>
        <v>563.1999999999997</v>
      </c>
      <c r="FF57" s="17">
        <f>FE57*VLOOKUP('Données projet'!$B$16,Paramètres!$A$1:$I$89,3,0)*VLOOKUP('Données projet'!$B$16,Paramètres!$A$1:$I$89,5,0)</f>
        <v>314.82879999999983</v>
      </c>
      <c r="FG57" s="13">
        <f t="shared" si="47"/>
        <v>74.276366834686527</v>
      </c>
      <c r="FH57" s="20">
        <f t="shared" si="22"/>
        <v>677.69149890374536</v>
      </c>
      <c r="FI57" s="59">
        <f t="shared" si="23"/>
        <v>935.39587157108463</v>
      </c>
      <c r="FJ57" s="59">
        <f ca="1">AVERAGE(OFFSET($FI$3,0,0,'Données projet'!$E$16+1,1))-AVERAGE(OFFSET($H$3,0,0,'Données projet'!$E$16+1,1))</f>
        <v>549.85684198202534</v>
      </c>
      <c r="FK57" s="59">
        <f t="shared" si="48"/>
        <v>539.63748606275431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7.0997052123762998</v>
      </c>
      <c r="FR57" s="21">
        <f>EXP(-LN(2)/25)*FR56+(1-EXP(-LN(2)/25))/(LN(2)/25)*Calculateur!FM57*Calculateur!FO57*VLOOKUP('Données projet'!$B$16,Paramètres!$A$1:$I$89,3,0)*0.475*44/12</f>
        <v>19.924542721033724</v>
      </c>
      <c r="FS57" s="21">
        <f>EXP(-LN(2)/2)*FS56+(1-EXP(-LN(2)/2))/(LN(2)/2)*FM57*FP57*VLOOKUP('Données projet'!$B$16,Paramètres!$A$1:$I$89,3,0)*0.475*44/12</f>
        <v>8.904270350350121E-3</v>
      </c>
      <c r="FT57" s="22">
        <f t="shared" si="24"/>
        <v>27.033152203760373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16.100000000000001</v>
      </c>
      <c r="FZ57" s="12">
        <f>IF('Données projet'!$A$244&gt;35,FZ56+FY57-GH56,IF(A57&lt;'Données projet'!$A$244,$FW$205^A57,IF(A57='Données projet'!$A$244,'Données projet'!$B$244,FZ56+FY57-GH56)))</f>
        <v>473.39999999999952</v>
      </c>
      <c r="GA57" s="17">
        <f>FZ57*VLOOKUP('Données projet'!$B$17,Paramètres!$A$1:$I$89,3,0)*VLOOKUP('Données projet'!$B$17,Paramètres!$A$1:$I$89,5,0)</f>
        <v>283.09319999999974</v>
      </c>
      <c r="GB57" s="13">
        <f t="shared" si="49"/>
        <v>67.620272397048609</v>
      </c>
      <c r="GC57" s="20">
        <f t="shared" si="25"/>
        <v>610.82596442485919</v>
      </c>
      <c r="GD57" s="59">
        <f t="shared" si="26"/>
        <v>868.53033709219858</v>
      </c>
      <c r="GE57" s="59">
        <f ca="1">AVERAGE(OFFSET($GD$3,0,0,'Données projet'!$E$17+1,1))-AVERAGE(OFFSET($H$3,0,0,'Données projet'!$E$17+1,1))</f>
        <v>495.6641415122013</v>
      </c>
      <c r="GF57" s="59">
        <f t="shared" si="50"/>
        <v>488.90534169400757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2.4856473217114488</v>
      </c>
      <c r="GM57" s="21">
        <f>EXP(-LN(2)/25)*GM56+(1-EXP(-LN(2)/25))/(LN(2)/25)*Calculateur!GH57*Calculateur!GJ57*VLOOKUP('Données projet'!$B$17,Paramètres!$A$1:$I$89,3,0)*0.475*44/12</f>
        <v>13.368097693331711</v>
      </c>
      <c r="GN57" s="21">
        <f>EXP(-LN(2)/2)*GN56+(1-EXP(-LN(2)/2))/(LN(2)/2)*GH57*GK57*VLOOKUP('Données projet'!$B$17,Paramètres!$A$1:$I$89,3,0)*0.475*44/12</f>
        <v>8.4861653792505966E-3</v>
      </c>
      <c r="GO57" s="21">
        <f t="shared" si="27"/>
        <v>15.862231180422411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16.100000000000001</v>
      </c>
      <c r="GU57" s="12">
        <f>IF('Données projet'!$A$270&gt;35,GU56+GT57-HC56,IF(A57&lt;'Données projet'!$A$270,$GR$205^A57,IF(A57='Données projet'!$A$270,'Données projet'!$B$270,GU56+GT57-HC56)))</f>
        <v>473.39999999999952</v>
      </c>
      <c r="GV57" s="17">
        <f>GU57*VLOOKUP('Données projet'!$B$18,Paramètres!$A$1:$I$89,3,0)*VLOOKUP('Données projet'!$B$18,Paramètres!$A$1:$I$89,5,0)</f>
        <v>283.09319999999974</v>
      </c>
      <c r="GW57" s="13">
        <f t="shared" si="51"/>
        <v>67.620272397048609</v>
      </c>
      <c r="GX57" s="20">
        <f t="shared" si="28"/>
        <v>610.82596442485919</v>
      </c>
      <c r="GY57" s="59">
        <f t="shared" si="29"/>
        <v>868.53033709219858</v>
      </c>
      <c r="GZ57" s="59">
        <f ca="1">AVERAGE(OFFSET($GY$3,0,0,'Données projet'!$E$18+1,1))-AVERAGE(OFFSET($H$3,0,0,'Données projet'!$E$18+1,1))</f>
        <v>-18.333333333333343</v>
      </c>
      <c r="HA57" s="59">
        <f t="shared" si="52"/>
        <v>-18.333333333333343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2.4856473217114488</v>
      </c>
      <c r="HH57" s="21">
        <f>EXP(-LN(2)/25)*HH56+(1-EXP(-LN(2)/25))/(LN(2)/25)*Calculateur!HC57*Calculateur!HE57*VLOOKUP('Données projet'!$B$18,Paramètres!$A$1:$I$89,3,0)*0.475*44/12</f>
        <v>13.368097693331711</v>
      </c>
      <c r="HI57" s="21">
        <f>EXP(-LN(2)/2)*HI56+(1-EXP(-LN(2)/2))/(LN(2)/2)*HC57*HF57*VLOOKUP('Données projet'!$B$18,Paramètres!$A$1:$I$89,3,0)*0.475*44/12</f>
        <v>8.4861653792505966E-3</v>
      </c>
      <c r="HJ57" s="22">
        <f t="shared" si="30"/>
        <v>15.862231180422411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13.499999999999996</v>
      </c>
      <c r="N58" s="13">
        <f>IF('Données projet'!$A$36&gt;35,N57+M58-V57,IF(A58&lt;'Données projet'!$A$36,$K$205^A58,IF(A58='Données projet'!$A$36,'Données projet'!$B$36,N57+M58-V57)))</f>
        <v>307.29999999999984</v>
      </c>
      <c r="O58" s="13">
        <f>N58*VLOOKUP('Données projet'!$B$9,Paramètres!$A$1:$I$89,3,0)*VLOOKUP('Données projet'!$B$9,Paramètres!$A$1:$I$89,5,0)</f>
        <v>143.81639999999993</v>
      </c>
      <c r="P58" s="13">
        <f t="shared" si="33"/>
        <v>37.169915935828818</v>
      </c>
      <c r="Q58" s="20">
        <f t="shared" si="53"/>
        <v>315.21783358823507</v>
      </c>
      <c r="R58" s="59">
        <f t="shared" si="0"/>
        <v>573.54028906870644</v>
      </c>
      <c r="S58" s="59">
        <f ca="1">AVERAGE(OFFSET($R$3,0,0,'Données projet'!$E$9+1,1))-AVERAGE(OFFSET($H$3,0,0,'Données projet'!$E$9+1,1))</f>
        <v>376.11581547534814</v>
      </c>
      <c r="T58" s="59">
        <f t="shared" si="34"/>
        <v>300.91675649863294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1.9105488864187608</v>
      </c>
      <c r="AA58" s="21">
        <f>EXP(-LN(2)/25)*AA57+(1-EXP(-LN(2)/25))/(LN(2)/25)*Calculateur!V58*Calculateur!X58*VLOOKUP('Données projet'!$B$9,Paramètres!$A$1:$I$89,3,0)*0.475*44/12</f>
        <v>3.927732176996614</v>
      </c>
      <c r="AB58" s="21">
        <f>EXP(-LN(2)/2)*AB57+(1-EXP(-LN(2)/2))/(LN(2)/2)*V58*Y58*VLOOKUP('Données projet'!$B$9,Paramètres!$A$1:$I$89,3,0)*0.475*44/12</f>
        <v>1.6973629548437932E-3</v>
      </c>
      <c r="AC58" s="22">
        <f t="shared" si="3"/>
        <v>5.8399784263702186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228.00959999999995</v>
      </c>
      <c r="AK58" s="13">
        <f t="shared" si="35"/>
        <v>55.852093054619829</v>
      </c>
      <c r="AL58" s="20">
        <f t="shared" si="4"/>
        <v>494.3924487367961</v>
      </c>
      <c r="AM58" s="59">
        <f t="shared" si="5"/>
        <v>752.71490421726753</v>
      </c>
      <c r="AN58" s="59">
        <f ca="1">AVERAGE(OFFSET($AM$3,0,0,'Données projet'!$E$10+1,1))-AVERAGE(OFFSET($H$3,0,0,'Données projet'!$E$10+1,1))</f>
        <v>505.38595282220405</v>
      </c>
      <c r="AO58" s="59">
        <f t="shared" si="36"/>
        <v>351.72130415456365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1.4680294209677922</v>
      </c>
      <c r="AV58" s="21">
        <f>EXP(-LN(2)/25)*AV57+(1-EXP(-LN(2)/25))/(LN(2)/25)*Calculateur!AQ58*Calculateur!AS58*VLOOKUP('Données projet'!$B$10,Paramètres!$A$1:$I$89,3,0)*0.475*44/12</f>
        <v>5.6414092002548752</v>
      </c>
      <c r="AW58" s="21">
        <f>EXP(-LN(2)/2)*AW57+(1-EXP(-LN(2)/2))/(LN(2)/2)*AQ58*AT58*VLOOKUP('Données projet'!$B$10,Paramètres!$A$1:$I$89,3,0)*0.475*44/12</f>
        <v>3.7208277808027774E-3</v>
      </c>
      <c r="AX58" s="21">
        <f t="shared" si="6"/>
        <v>7.1131594490034695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219.58559999999991</v>
      </c>
      <c r="BF58" s="13">
        <f t="shared" si="37"/>
        <v>54.024808047218549</v>
      </c>
      <c r="BG58" s="20">
        <f t="shared" si="7"/>
        <v>476.53812734890556</v>
      </c>
      <c r="BH58" s="59">
        <f t="shared" si="8"/>
        <v>734.86058282937688</v>
      </c>
      <c r="BI58" s="59">
        <f ca="1">AVERAGE(OFFSET($BH$3,0,0,'Données projet'!$E$11+1,1))-AVERAGE(OFFSET($H$3,0,0,'Données projet'!$E$11+1,1))</f>
        <v>394.14657090341535</v>
      </c>
      <c r="BJ58" s="59">
        <f t="shared" si="38"/>
        <v>424.06445894109982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1.9888149182417523</v>
      </c>
      <c r="BQ58" s="21">
        <f>EXP(-LN(2)/25)*BQ57+(1-EXP(-LN(2)/25))/(LN(2)/25)*Calculateur!BL58*Calculateur!BN58*VLOOKUP('Données projet'!$B$11,Paramètres!$A$1:$I$89,3,0)*0.475*44/12</f>
        <v>10.2598013623985</v>
      </c>
      <c r="BR58" s="21">
        <f>EXP(-LN(2)/2)*BR57+(1-EXP(-LN(2)/2))/(LN(2)/2)*BL58*BO58*VLOOKUP('Données projet'!$B$11,Paramètres!$A$1:$I$89,3,0)*0.475*44/12</f>
        <v>4.149942415356535E-3</v>
      </c>
      <c r="BS58" s="22">
        <f t="shared" si="9"/>
        <v>12.252766223055609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11.3</v>
      </c>
      <c r="BY58" s="12">
        <f>IF('Données projet'!$A$114&gt;35,BY57+BX58-CG57,IF(A58&lt;'Données projet'!$A$114,$BV$205^A58,IF(A58='Données projet'!$A$114,'Données projet'!$B$114,BY57+BX58-CG57)))</f>
        <v>376.50000000000017</v>
      </c>
      <c r="BZ58" s="13">
        <f>BY58*VLOOKUP('Données projet'!$B$12,Paramètres!$A$1:$I$89,3,0)*VLOOKUP('Données projet'!$B$12,Paramètres!$A$1:$I$89,5,0)</f>
        <v>205.56900000000007</v>
      </c>
      <c r="CA58" s="13">
        <f t="shared" si="39"/>
        <v>50.966102200396577</v>
      </c>
      <c r="CB58" s="20">
        <f t="shared" si="10"/>
        <v>446.79863633235749</v>
      </c>
      <c r="CC58" s="59">
        <f t="shared" si="11"/>
        <v>705.12109181282881</v>
      </c>
      <c r="CD58" s="59">
        <f ca="1">AVERAGE(OFFSET($CC$3,0,0,'Données projet'!$E$12+1,1))-AVERAGE(OFFSET($H$3,0,0,'Données projet'!$E$12+1,1))</f>
        <v>382.09004346384319</v>
      </c>
      <c r="CE58" s="59">
        <f t="shared" si="40"/>
        <v>410.18893995284986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5.1916677998941161</v>
      </c>
      <c r="CL58" s="21">
        <f>EXP(-LN(2)/25)*CL57+(1-EXP(-LN(2)/25))/(LN(2)/25)*Calculateur!CG58*Calculateur!CI58*VLOOKUP('Données projet'!$B$12,Paramètres!$A$1:$I$89,3,0)*0.475*44/12</f>
        <v>17.018869865814587</v>
      </c>
      <c r="CM58" s="21">
        <f>EXP(-LN(2)/2)*CM57+(1-EXP(-LN(2)/2))/(LN(2)/2)*CG58*CJ58*VLOOKUP('Données projet'!$B$12,Paramètres!$A$1:$I$89,3,0)*0.475*44/12</f>
        <v>4.3473301446658036E-3</v>
      </c>
      <c r="CN58" s="22">
        <f t="shared" si="12"/>
        <v>22.214884995853367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</v>
      </c>
      <c r="CT58" s="12">
        <f>IF('Données projet'!$A$140&gt;35,CT57+CS58-DB57,IF(A58&lt;'Données projet'!$A$140,$CQ$205^A58,IF(A58='Données projet'!$A$140,'Données projet'!$B$140,CT57+CS58-DB57)))</f>
        <v>235</v>
      </c>
      <c r="CU58" s="17">
        <f>CT58*VLOOKUP('Données projet'!$B$13,Paramètres!$A$1:$I$89,3,0)*VLOOKUP('Données projet'!$B$13,Paramètres!$A$1:$I$89,5,0)</f>
        <v>205.29600000000005</v>
      </c>
      <c r="CV58" s="13">
        <f t="shared" si="41"/>
        <v>50.906291934375396</v>
      </c>
      <c r="CW58" s="20">
        <f t="shared" si="13"/>
        <v>446.21899178570385</v>
      </c>
      <c r="CX58" s="59">
        <f t="shared" si="14"/>
        <v>704.54144726617528</v>
      </c>
      <c r="CY58" s="59">
        <f ca="1">AVERAGE(OFFSET($CX$3,0,0,'Données projet'!$E$13+1,1))-AVERAGE(OFFSET($H$3,0,0,'Données projet'!$E$13+1,1))</f>
        <v>363.02374534486341</v>
      </c>
      <c r="CZ58" s="59">
        <f t="shared" si="42"/>
        <v>489.00477393029598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4.454709967074681</v>
      </c>
      <c r="DG58" s="21">
        <f>EXP(-LN(2)/25)*DG57+(1-EXP(-LN(2)/25))/(LN(2)/25)*Calculateur!DB58*Calculateur!DD58*VLOOKUP('Données projet'!$B$13,Paramètres!$A$1:$I$89,3,0)*0.475*44/12</f>
        <v>9.6812142671980723</v>
      </c>
      <c r="DH58" s="21">
        <f>EXP(-LN(2)/2)*DH57+(1-EXP(-LN(2)/2))/(LN(2)/2)*DB58*DE58*VLOOKUP('Données projet'!$B$13,Paramètres!$A$1:$I$89,3,0)*0.475*44/12</f>
        <v>5.0607403094966794E-3</v>
      </c>
      <c r="DI58" s="22">
        <f t="shared" si="15"/>
        <v>14.140984974582251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>
        <f>DO58*VLOOKUP('Données projet'!$B$14,Paramètres!$A$1:$I$89,3,0)*VLOOKUP('Données projet'!$B$14,Paramètres!$A$1:$I$89,5,0)</f>
        <v>202.36319999999992</v>
      </c>
      <c r="DQ58" s="13">
        <f t="shared" si="43"/>
        <v>50.263171959975132</v>
      </c>
      <c r="DR58" s="20">
        <f t="shared" si="16"/>
        <v>439.9909311636232</v>
      </c>
      <c r="DS58" s="59">
        <f t="shared" si="17"/>
        <v>698.31338664409463</v>
      </c>
      <c r="DT58" s="59">
        <f ca="1">AVERAGE(OFFSET($DS$3,0,0,'Données projet'!$E$14+1,1))-AVERAGE(OFFSET($H$3,0,0,'Données projet'!$E$14+1,1))</f>
        <v>368.03281986807173</v>
      </c>
      <c r="DU58" s="59">
        <f t="shared" si="44"/>
        <v>395.83504504492248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1.4870125600320319</v>
      </c>
      <c r="EB58" s="21">
        <f>EXP(-LN(2)/25)*EB57+(1-EXP(-LN(2)/25))/(LN(2)/25)*Calculateur!DW58*Calculateur!DY58*VLOOKUP('Données projet'!$B$14,Paramètres!$A$1:$I$89,3,0)*0.475*44/12</f>
        <v>7.6711278406982508</v>
      </c>
      <c r="EC58" s="21">
        <f>EXP(-LN(2)/2)*EC57+(1-EXP(-LN(2)/2))/(LN(2)/2)*DW58*DZ58*VLOOKUP('Données projet'!$B$14,Paramètres!$A$1:$I$89,3,0)*0.475*44/12</f>
        <v>3.8244567357207356E-3</v>
      </c>
      <c r="ED58" s="22">
        <f t="shared" si="18"/>
        <v>9.1619648574660033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2.125</v>
      </c>
      <c r="EJ58" s="12">
        <f>IF('Données projet'!$A$192&gt;35,EJ57+EI58-ER57,IF(A58&lt;'Données projet'!$A$192,$EG$205^A58,IF(A58='Données projet'!$A$192,'Données projet'!$B$192,EJ57+EI58-ER57)))</f>
        <v>226.125</v>
      </c>
      <c r="EK58" s="17">
        <f>EJ58*VLOOKUP('Données projet'!$B$15,Paramètres!$A$1:$I$89,3,0)*VLOOKUP('Données projet'!$B$15,Paramètres!$A$1:$I$89,5,0)</f>
        <v>135.22274999999999</v>
      </c>
      <c r="EL58" s="13">
        <f t="shared" si="45"/>
        <v>35.200403047414646</v>
      </c>
      <c r="EM58" s="20">
        <f t="shared" si="19"/>
        <v>296.82032489091381</v>
      </c>
      <c r="EN58" s="59">
        <f t="shared" si="20"/>
        <v>555.14278037138524</v>
      </c>
      <c r="EO58" s="59">
        <f ca="1">AVERAGE(OFFSET($EN$3,0,0,'Données projet'!$E$15+1,1))-AVERAGE(OFFSET($H$3,0,0,'Données projet'!$E$15+1,1))</f>
        <v>225.2264820414552</v>
      </c>
      <c r="EP58" s="59">
        <f t="shared" si="46"/>
        <v>249.91838548328681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1.3484111509563421</v>
      </c>
      <c r="EW58" s="21">
        <f>EXP(-LN(2)/25)*EW57+(1-EXP(-LN(2)/25))/(LN(2)/25)*Calculateur!ER58*Calculateur!ET58*VLOOKUP('Données projet'!$B$15,Paramètres!$A$1:$I$89,3,0)*0.475*44/12</f>
        <v>4.3277946014422808</v>
      </c>
      <c r="EX58" s="21">
        <f>EXP(-LN(2)/2)*EX57+(1-EXP(-LN(2)/2))/(LN(2)/2)*ER58*EU58*VLOOKUP('Données projet'!$B$15,Paramètres!$A$1:$I$89,3,0)*0.475*44/12</f>
        <v>6.983926932258715E-4</v>
      </c>
      <c r="EY58" s="22">
        <f t="shared" si="21"/>
        <v>5.6769041450918492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19.3</v>
      </c>
      <c r="FE58" s="12">
        <f>IF('Données projet'!$A$218&gt;35,FE57+FD58-FM57,IF(A58&lt;'Données projet'!$A$218,$FB$205^A58,IF(A58='Données projet'!$A$218,'Données projet'!$B$218,FE57+FD58-FM57)))</f>
        <v>582.49999999999966</v>
      </c>
      <c r="FF58" s="17">
        <f>FE58*VLOOKUP('Données projet'!$B$16,Paramètres!$A$1:$I$89,3,0)*VLOOKUP('Données projet'!$B$16,Paramètres!$A$1:$I$89,5,0)</f>
        <v>325.61749999999984</v>
      </c>
      <c r="FG58" s="13">
        <f t="shared" si="47"/>
        <v>76.520997341690872</v>
      </c>
      <c r="FH58" s="20">
        <f t="shared" si="22"/>
        <v>700.39121620344451</v>
      </c>
      <c r="FI58" s="59">
        <f t="shared" si="23"/>
        <v>958.71367168391589</v>
      </c>
      <c r="FJ58" s="59">
        <f ca="1">AVERAGE(OFFSET($FI$3,0,0,'Données projet'!$E$16+1,1))-AVERAGE(OFFSET($H$3,0,0,'Données projet'!$E$16+1,1))</f>
        <v>549.85684198202534</v>
      </c>
      <c r="FK58" s="59">
        <f t="shared" si="48"/>
        <v>539.63748606275431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6.9604843235541898</v>
      </c>
      <c r="FR58" s="21">
        <f>EXP(-LN(2)/25)*FR57+(1-EXP(-LN(2)/25))/(LN(2)/25)*Calculateur!FM58*Calculateur!FO58*VLOOKUP('Données projet'!$B$16,Paramètres!$A$1:$I$89,3,0)*0.475*44/12</f>
        <v>19.379705052540892</v>
      </c>
      <c r="FS58" s="21">
        <f>EXP(-LN(2)/2)*FS57+(1-EXP(-LN(2)/2))/(LN(2)/2)*FM58*FP58*VLOOKUP('Données projet'!$B$16,Paramètres!$A$1:$I$89,3,0)*0.475*44/12</f>
        <v>6.296269946250886E-3</v>
      </c>
      <c r="FT58" s="22">
        <f t="shared" si="24"/>
        <v>26.346485646041334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16.100000000000001</v>
      </c>
      <c r="FZ58" s="12">
        <f>IF('Données projet'!$A$244&gt;35,FZ57+FY58-GH57,IF(A58&lt;'Données projet'!$A$244,$FW$205^A58,IF(A58='Données projet'!$A$244,'Données projet'!$B$244,FZ57+FY58-GH57)))</f>
        <v>489.49999999999955</v>
      </c>
      <c r="GA58" s="17">
        <f>FZ58*VLOOKUP('Données projet'!$B$17,Paramètres!$A$1:$I$89,3,0)*VLOOKUP('Données projet'!$B$17,Paramètres!$A$1:$I$89,5,0)</f>
        <v>292.72099999999972</v>
      </c>
      <c r="GB58" s="13">
        <f t="shared" si="49"/>
        <v>69.648330931127731</v>
      </c>
      <c r="GC58" s="20">
        <f t="shared" si="25"/>
        <v>631.12658470504709</v>
      </c>
      <c r="GD58" s="59">
        <f t="shared" si="26"/>
        <v>889.44904018551847</v>
      </c>
      <c r="GE58" s="59">
        <f ca="1">AVERAGE(OFFSET($GD$3,0,0,'Données projet'!$E$17+1,1))-AVERAGE(OFFSET($H$3,0,0,'Données projet'!$E$17+1,1))</f>
        <v>495.6641415122013</v>
      </c>
      <c r="GF58" s="59">
        <f t="shared" si="50"/>
        <v>488.90534169400757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2.4369052938278517</v>
      </c>
      <c r="GM58" s="21">
        <f>EXP(-LN(2)/25)*GM57+(1-EXP(-LN(2)/25))/(LN(2)/25)*Calculateur!GH58*Calculateur!GJ58*VLOOKUP('Données projet'!$B$17,Paramètres!$A$1:$I$89,3,0)*0.475*44/12</f>
        <v>13.00254635890985</v>
      </c>
      <c r="GN58" s="21">
        <f>EXP(-LN(2)/2)*GN57+(1-EXP(-LN(2)/2))/(LN(2)/2)*GH58*GK58*VLOOKUP('Données projet'!$B$17,Paramètres!$A$1:$I$89,3,0)*0.475*44/12</f>
        <v>6.0006250859386068E-3</v>
      </c>
      <c r="GO58" s="21">
        <f t="shared" si="27"/>
        <v>15.445452277823641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16.100000000000001</v>
      </c>
      <c r="GU58" s="12">
        <f>IF('Données projet'!$A$270&gt;35,GU57+GT58-HC57,IF(A58&lt;'Données projet'!$A$270,$GR$205^A58,IF(A58='Données projet'!$A$270,'Données projet'!$B$270,GU57+GT58-HC57)))</f>
        <v>489.49999999999955</v>
      </c>
      <c r="GV58" s="17">
        <f>GU58*VLOOKUP('Données projet'!$B$18,Paramètres!$A$1:$I$89,3,0)*VLOOKUP('Données projet'!$B$18,Paramètres!$A$1:$I$89,5,0)</f>
        <v>292.72099999999972</v>
      </c>
      <c r="GW58" s="13">
        <f t="shared" si="51"/>
        <v>69.648330931127731</v>
      </c>
      <c r="GX58" s="20">
        <f t="shared" si="28"/>
        <v>631.12658470504709</v>
      </c>
      <c r="GY58" s="59">
        <f t="shared" si="29"/>
        <v>889.44904018551847</v>
      </c>
      <c r="GZ58" s="59">
        <f ca="1">AVERAGE(OFFSET($GY$3,0,0,'Données projet'!$E$18+1,1))-AVERAGE(OFFSET($H$3,0,0,'Données projet'!$E$18+1,1))</f>
        <v>-18.333333333333343</v>
      </c>
      <c r="HA58" s="59">
        <f t="shared" si="52"/>
        <v>-18.333333333333343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2.4369052938278517</v>
      </c>
      <c r="HH58" s="21">
        <f>EXP(-LN(2)/25)*HH57+(1-EXP(-LN(2)/25))/(LN(2)/25)*Calculateur!HC58*Calculateur!HE58*VLOOKUP('Données projet'!$B$18,Paramètres!$A$1:$I$89,3,0)*0.475*44/12</f>
        <v>13.00254635890985</v>
      </c>
      <c r="HI58" s="21">
        <f>EXP(-LN(2)/2)*HI57+(1-EXP(-LN(2)/2))/(LN(2)/2)*HC58*HF58*VLOOKUP('Données projet'!$B$18,Paramètres!$A$1:$I$89,3,0)*0.475*44/12</f>
        <v>6.0006250859386068E-3</v>
      </c>
      <c r="HJ58" s="22">
        <f t="shared" si="30"/>
        <v>15.445452277823641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13.499999999999996</v>
      </c>
      <c r="N59" s="13">
        <f>IF('Données projet'!$A$36&gt;35,N58+M59-V58,IF(A59&lt;'Données projet'!$A$36,$K$205^A59,IF(A59='Données projet'!$A$36,'Données projet'!$B$36,N58+M59-V58)))</f>
        <v>320.79999999999984</v>
      </c>
      <c r="O59" s="13">
        <f>N59*VLOOKUP('Données projet'!$B$9,Paramètres!$A$1:$I$89,3,0)*VLOOKUP('Données projet'!$B$9,Paramètres!$A$1:$I$89,5,0)</f>
        <v>150.13439999999994</v>
      </c>
      <c r="P59" s="13">
        <f t="shared" si="33"/>
        <v>38.609126910934812</v>
      </c>
      <c r="Q59" s="20">
        <f t="shared" si="53"/>
        <v>328.72830936987799</v>
      </c>
      <c r="R59" s="59">
        <f t="shared" si="0"/>
        <v>587.65812530849973</v>
      </c>
      <c r="S59" s="59">
        <f ca="1">AVERAGE(OFFSET($R$3,0,0,'Données projet'!$E$9+1,1))-AVERAGE(OFFSET($H$3,0,0,'Données projet'!$E$9+1,1))</f>
        <v>376.11581547534814</v>
      </c>
      <c r="T59" s="59">
        <f t="shared" si="34"/>
        <v>300.91675649863294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1.8730841880758438</v>
      </c>
      <c r="AA59" s="21">
        <f>EXP(-LN(2)/25)*AA58+(1-EXP(-LN(2)/25))/(LN(2)/25)*Calculateur!V59*Calculateur!X59*VLOOKUP('Données projet'!$B$9,Paramètres!$A$1:$I$89,3,0)*0.475*44/12</f>
        <v>3.8203281340661834</v>
      </c>
      <c r="AB59" s="21">
        <f>EXP(-LN(2)/2)*AB58+(1-EXP(-LN(2)/2))/(LN(2)/2)*V59*Y59*VLOOKUP('Données projet'!$B$9,Paramètres!$A$1:$I$89,3,0)*0.475*44/12</f>
        <v>1.2002168555048818E-3</v>
      </c>
      <c r="AC59" s="22">
        <f t="shared" si="3"/>
        <v>5.6946125389975322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236.87663999999995</v>
      </c>
      <c r="AK59" s="13">
        <f t="shared" si="35"/>
        <v>57.767012893614115</v>
      </c>
      <c r="AL59" s="20">
        <f t="shared" si="4"/>
        <v>513.17102878971104</v>
      </c>
      <c r="AM59" s="59">
        <f t="shared" si="5"/>
        <v>772.10084472833273</v>
      </c>
      <c r="AN59" s="59">
        <f ca="1">AVERAGE(OFFSET($AM$3,0,0,'Données projet'!$E$10+1,1))-AVERAGE(OFFSET($H$3,0,0,'Données projet'!$E$10+1,1))</f>
        <v>505.38595282220405</v>
      </c>
      <c r="AO59" s="59">
        <f t="shared" si="36"/>
        <v>351.72130415456365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1.4392422594321463</v>
      </c>
      <c r="AV59" s="21">
        <f>EXP(-LN(2)/25)*AV58+(1-EXP(-LN(2)/25))/(LN(2)/25)*Calculateur!AQ59*Calculateur!AS59*VLOOKUP('Données projet'!$B$10,Paramètres!$A$1:$I$89,3,0)*0.475*44/12</f>
        <v>5.4871445690050891</v>
      </c>
      <c r="AW59" s="21">
        <f>EXP(-LN(2)/2)*AW58+(1-EXP(-LN(2)/2))/(LN(2)/2)*AQ59*AT59*VLOOKUP('Données projet'!$B$10,Paramètres!$A$1:$I$89,3,0)*0.475*44/12</f>
        <v>2.6310225554329368E-3</v>
      </c>
      <c r="AX59" s="21">
        <f t="shared" si="6"/>
        <v>6.9290178509926683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224.99567999999994</v>
      </c>
      <c r="BF59" s="13">
        <f t="shared" si="37"/>
        <v>55.199249109676629</v>
      </c>
      <c r="BG59" s="20">
        <f t="shared" si="7"/>
        <v>488.00616819935334</v>
      </c>
      <c r="BH59" s="59">
        <f t="shared" si="8"/>
        <v>746.93598413797508</v>
      </c>
      <c r="BI59" s="59">
        <f ca="1">AVERAGE(OFFSET($BH$3,0,0,'Données projet'!$E$11+1,1))-AVERAGE(OFFSET($H$3,0,0,'Données projet'!$E$11+1,1))</f>
        <v>394.14657090341535</v>
      </c>
      <c r="BJ59" s="59">
        <f t="shared" si="38"/>
        <v>424.06445894109982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1.9498154707523523</v>
      </c>
      <c r="BQ59" s="21">
        <f>EXP(-LN(2)/25)*BQ58+(1-EXP(-LN(2)/25))/(LN(2)/25)*Calculateur!BL59*Calculateur!BN59*VLOOKUP('Données projet'!$B$11,Paramètres!$A$1:$I$89,3,0)*0.475*44/12</f>
        <v>9.9792465546042077</v>
      </c>
      <c r="BR59" s="21">
        <f>EXP(-LN(2)/2)*BR58+(1-EXP(-LN(2)/2))/(LN(2)/2)*BL59*BO59*VLOOKUP('Données projet'!$B$11,Paramètres!$A$1:$I$89,3,0)*0.475*44/12</f>
        <v>2.9344524234322859E-3</v>
      </c>
      <c r="BS59" s="22">
        <f t="shared" si="9"/>
        <v>11.931996477779991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11.3</v>
      </c>
      <c r="BY59" s="12">
        <f>IF('Données projet'!$A$114&gt;35,BY58+BX59-CG58,IF(A59&lt;'Données projet'!$A$114,$BV$205^A59,IF(A59='Données projet'!$A$114,'Données projet'!$B$114,BY58+BX59-CG58)))</f>
        <v>387.80000000000018</v>
      </c>
      <c r="BZ59" s="13">
        <f>BY59*VLOOKUP('Données projet'!$B$12,Paramètres!$A$1:$I$89,3,0)*VLOOKUP('Données projet'!$B$12,Paramètres!$A$1:$I$89,5,0)</f>
        <v>211.73880000000008</v>
      </c>
      <c r="CA59" s="13">
        <f t="shared" si="39"/>
        <v>52.315374700843918</v>
      </c>
      <c r="CB59" s="20">
        <f t="shared" si="10"/>
        <v>459.89435427063654</v>
      </c>
      <c r="CC59" s="59">
        <f t="shared" si="11"/>
        <v>718.82417020925823</v>
      </c>
      <c r="CD59" s="59">
        <f ca="1">AVERAGE(OFFSET($CC$3,0,0,'Données projet'!$E$12+1,1))-AVERAGE(OFFSET($H$3,0,0,'Données projet'!$E$12+1,1))</f>
        <v>382.09004346384319</v>
      </c>
      <c r="CE59" s="59">
        <f t="shared" si="40"/>
        <v>410.18893995284986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5.0898623609428739</v>
      </c>
      <c r="CL59" s="21">
        <f>EXP(-LN(2)/25)*CL58+(1-EXP(-LN(2)/25))/(LN(2)/25)*Calculateur!CG59*Calculateur!CI59*VLOOKUP('Données projet'!$B$12,Paramètres!$A$1:$I$89,3,0)*0.475*44/12</f>
        <v>16.553487974350418</v>
      </c>
      <c r="CM59" s="21">
        <f>EXP(-LN(2)/2)*CM58+(1-EXP(-LN(2)/2))/(LN(2)/2)*CG59*CJ59*VLOOKUP('Données projet'!$B$12,Paramètres!$A$1:$I$89,3,0)*0.475*44/12</f>
        <v>3.0740266253498844E-3</v>
      </c>
      <c r="CN59" s="22">
        <f t="shared" si="12"/>
        <v>21.64642436191864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</v>
      </c>
      <c r="CT59" s="12">
        <f>IF('Données projet'!$A$140&gt;35,CT58+CS59-DB58,IF(A59&lt;'Données projet'!$A$140,$CQ$205^A59,IF(A59='Données projet'!$A$140,'Données projet'!$B$140,CT58+CS59-DB58)))</f>
        <v>242.2</v>
      </c>
      <c r="CU59" s="17">
        <f>CT59*VLOOKUP('Données projet'!$B$13,Paramètres!$A$1:$I$89,3,0)*VLOOKUP('Données projet'!$B$13,Paramètres!$A$1:$I$89,5,0)</f>
        <v>211.58592000000002</v>
      </c>
      <c r="CV59" s="13">
        <f t="shared" si="41"/>
        <v>52.281997222074629</v>
      </c>
      <c r="CW59" s="20">
        <f t="shared" si="13"/>
        <v>459.56995582844667</v>
      </c>
      <c r="CX59" s="59">
        <f t="shared" si="14"/>
        <v>718.49977176706841</v>
      </c>
      <c r="CY59" s="59">
        <f ca="1">AVERAGE(OFFSET($CX$3,0,0,'Données projet'!$E$13+1,1))-AVERAGE(OFFSET($H$3,0,0,'Données projet'!$E$13+1,1))</f>
        <v>363.02374534486341</v>
      </c>
      <c r="CZ59" s="59">
        <f t="shared" si="42"/>
        <v>489.00477393029598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4.3673558217251349</v>
      </c>
      <c r="DG59" s="21">
        <f>EXP(-LN(2)/25)*DG58+(1-EXP(-LN(2)/25))/(LN(2)/25)*Calculateur!DB59*Calculateur!DD59*VLOOKUP('Données projet'!$B$13,Paramètres!$A$1:$I$89,3,0)*0.475*44/12</f>
        <v>9.416480953948609</v>
      </c>
      <c r="DH59" s="21">
        <f>EXP(-LN(2)/2)*DH58+(1-EXP(-LN(2)/2))/(LN(2)/2)*DB59*DE59*VLOOKUP('Données projet'!$B$13,Paramètres!$A$1:$I$89,3,0)*0.475*44/12</f>
        <v>3.5784837906692093E-3</v>
      </c>
      <c r="DI59" s="22">
        <f t="shared" si="15"/>
        <v>13.787415259464414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>
        <f>DO59*VLOOKUP('Données projet'!$B$14,Paramètres!$A$1:$I$89,3,0)*VLOOKUP('Données projet'!$B$14,Paramètres!$A$1:$I$89,5,0)</f>
        <v>207.34895999999992</v>
      </c>
      <c r="DQ59" s="13">
        <f t="shared" si="43"/>
        <v>51.355839110732845</v>
      </c>
      <c r="DR59" s="20">
        <f t="shared" si="16"/>
        <v>450.57752511785958</v>
      </c>
      <c r="DS59" s="59">
        <f t="shared" si="17"/>
        <v>709.50734105648132</v>
      </c>
      <c r="DT59" s="59">
        <f ca="1">AVERAGE(OFFSET($DS$3,0,0,'Données projet'!$E$14+1,1))-AVERAGE(OFFSET($H$3,0,0,'Données projet'!$E$14+1,1))</f>
        <v>368.03281986807173</v>
      </c>
      <c r="DU59" s="59">
        <f t="shared" si="44"/>
        <v>395.83504504492248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1.4578531507179078</v>
      </c>
      <c r="EB59" s="21">
        <f>EXP(-LN(2)/25)*EB58+(1-EXP(-LN(2)/25))/(LN(2)/25)*Calculateur!DW59*Calculateur!DY59*VLOOKUP('Données projet'!$B$14,Paramètres!$A$1:$I$89,3,0)*0.475*44/12</f>
        <v>7.4613604464872765</v>
      </c>
      <c r="EC59" s="21">
        <f>EXP(-LN(2)/2)*EC58+(1-EXP(-LN(2)/2))/(LN(2)/2)*DW59*DZ59*VLOOKUP('Données projet'!$B$14,Paramètres!$A$1:$I$89,3,0)*0.475*44/12</f>
        <v>2.7042992921827002E-3</v>
      </c>
      <c r="ED59" s="22">
        <f t="shared" si="18"/>
        <v>8.9219178964973676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2.125</v>
      </c>
      <c r="EJ59" s="12">
        <f>IF('Données projet'!$A$192&gt;35,EJ58+EI59-ER58,IF(A59&lt;'Données projet'!$A$192,$EG$205^A59,IF(A59='Données projet'!$A$192,'Données projet'!$B$192,EJ58+EI59-ER58)))</f>
        <v>228.25</v>
      </c>
      <c r="EK59" s="17">
        <f>EJ59*VLOOKUP('Données projet'!$B$15,Paramètres!$A$1:$I$89,3,0)*VLOOKUP('Données projet'!$B$15,Paramètres!$A$1:$I$89,5,0)</f>
        <v>136.49350000000001</v>
      </c>
      <c r="EL59" s="13">
        <f t="shared" si="45"/>
        <v>35.492533566506438</v>
      </c>
      <c r="EM59" s="20">
        <f t="shared" si="19"/>
        <v>299.54234179499872</v>
      </c>
      <c r="EN59" s="59">
        <f t="shared" si="20"/>
        <v>558.47215773362041</v>
      </c>
      <c r="EO59" s="59">
        <f ca="1">AVERAGE(OFFSET($EN$3,0,0,'Données projet'!$E$15+1,1))-AVERAGE(OFFSET($H$3,0,0,'Données projet'!$E$15+1,1))</f>
        <v>225.2264820414552</v>
      </c>
      <c r="EP59" s="59">
        <f t="shared" si="46"/>
        <v>249.91838548328681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1.3219696307356801</v>
      </c>
      <c r="EW59" s="21">
        <f>EXP(-LN(2)/25)*EW58+(1-EXP(-LN(2)/25))/(LN(2)/25)*Calculateur!ER59*Calculateur!ET59*VLOOKUP('Données projet'!$B$15,Paramètres!$A$1:$I$89,3,0)*0.475*44/12</f>
        <v>4.2094508304770146</v>
      </c>
      <c r="EX59" s="21">
        <f>EXP(-LN(2)/2)*EX58+(1-EXP(-LN(2)/2))/(LN(2)/2)*ER59*EU59*VLOOKUP('Données projet'!$B$15,Paramètres!$A$1:$I$89,3,0)*0.475*44/12</f>
        <v>4.9383820931114993E-4</v>
      </c>
      <c r="EY59" s="22">
        <f t="shared" si="21"/>
        <v>5.5319142994220059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19.3</v>
      </c>
      <c r="FE59" s="12">
        <f>IF('Données projet'!$A$218&gt;35,FE58+FD59-FM58,IF(A59&lt;'Données projet'!$A$218,$FB$205^A59,IF(A59='Données projet'!$A$218,'Données projet'!$B$218,FE58+FD59-FM58)))</f>
        <v>601.79999999999961</v>
      </c>
      <c r="FF59" s="17">
        <f>FE59*VLOOKUP('Données projet'!$B$16,Paramètres!$A$1:$I$89,3,0)*VLOOKUP('Données projet'!$B$16,Paramètres!$A$1:$I$89,5,0)</f>
        <v>336.40619999999979</v>
      </c>
      <c r="FG59" s="13">
        <f t="shared" si="47"/>
        <v>78.756986013586328</v>
      </c>
      <c r="FH59" s="20">
        <f t="shared" si="22"/>
        <v>723.07588230699582</v>
      </c>
      <c r="FI59" s="59">
        <f t="shared" si="23"/>
        <v>982.00569824561762</v>
      </c>
      <c r="FJ59" s="59">
        <f ca="1">AVERAGE(OFFSET($FI$3,0,0,'Données projet'!$E$16+1,1))-AVERAGE(OFFSET($H$3,0,0,'Données projet'!$E$16+1,1))</f>
        <v>549.85684198202534</v>
      </c>
      <c r="FK59" s="59">
        <f t="shared" si="48"/>
        <v>539.63748606275431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6.8239934714455233</v>
      </c>
      <c r="FR59" s="21">
        <f>EXP(-LN(2)/25)*FR58+(1-EXP(-LN(2)/25))/(LN(2)/25)*Calculateur!FM59*Calculateur!FO59*VLOOKUP('Données projet'!$B$16,Paramètres!$A$1:$I$89,3,0)*0.475*44/12</f>
        <v>18.849765998744765</v>
      </c>
      <c r="FS59" s="21">
        <f>EXP(-LN(2)/2)*FS58+(1-EXP(-LN(2)/2))/(LN(2)/2)*FM59*FP59*VLOOKUP('Données projet'!$B$16,Paramètres!$A$1:$I$89,3,0)*0.475*44/12</f>
        <v>4.4521351751750605E-3</v>
      </c>
      <c r="FT59" s="22">
        <f t="shared" si="24"/>
        <v>25.678211605365462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16.100000000000001</v>
      </c>
      <c r="FZ59" s="12">
        <f>IF('Données projet'!$A$244&gt;35,FZ58+FY59-GH58,IF(A59&lt;'Données projet'!$A$244,$FW$205^A59,IF(A59='Données projet'!$A$244,'Données projet'!$B$244,FZ58+FY59-GH58)))</f>
        <v>505.59999999999957</v>
      </c>
      <c r="GA59" s="17">
        <f>FZ59*VLOOKUP('Données projet'!$B$17,Paramètres!$A$1:$I$89,3,0)*VLOOKUP('Données projet'!$B$17,Paramètres!$A$1:$I$89,5,0)</f>
        <v>302.34879999999976</v>
      </c>
      <c r="GB59" s="13">
        <f t="shared" si="49"/>
        <v>71.668638455174801</v>
      </c>
      <c r="GC59" s="20">
        <f t="shared" si="25"/>
        <v>651.41370530942902</v>
      </c>
      <c r="GD59" s="59">
        <f t="shared" si="26"/>
        <v>910.34352124805082</v>
      </c>
      <c r="GE59" s="59">
        <f ca="1">AVERAGE(OFFSET($GD$3,0,0,'Données projet'!$E$17+1,1))-AVERAGE(OFFSET($H$3,0,0,'Données projet'!$E$17+1,1))</f>
        <v>495.6641415122013</v>
      </c>
      <c r="GF59" s="59">
        <f t="shared" si="50"/>
        <v>488.90534169400757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2.3891190673813503</v>
      </c>
      <c r="GM59" s="21">
        <f>EXP(-LN(2)/25)*GM58+(1-EXP(-LN(2)/25))/(LN(2)/25)*Calculateur!GH59*Calculateur!GJ59*VLOOKUP('Données projet'!$B$17,Paramètres!$A$1:$I$89,3,0)*0.475*44/12</f>
        <v>12.646991044951266</v>
      </c>
      <c r="GN59" s="21">
        <f>EXP(-LN(2)/2)*GN58+(1-EXP(-LN(2)/2))/(LN(2)/2)*GH59*GK59*VLOOKUP('Données projet'!$B$17,Paramètres!$A$1:$I$89,3,0)*0.475*44/12</f>
        <v>4.2430826896252983E-3</v>
      </c>
      <c r="GO59" s="21">
        <f t="shared" si="27"/>
        <v>15.04035319502224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16.100000000000001</v>
      </c>
      <c r="GU59" s="12">
        <f>IF('Données projet'!$A$270&gt;35,GU58+GT59-HC58,IF(A59&lt;'Données projet'!$A$270,$GR$205^A59,IF(A59='Données projet'!$A$270,'Données projet'!$B$270,GU58+GT59-HC58)))</f>
        <v>505.59999999999957</v>
      </c>
      <c r="GV59" s="17">
        <f>GU59*VLOOKUP('Données projet'!$B$18,Paramètres!$A$1:$I$89,3,0)*VLOOKUP('Données projet'!$B$18,Paramètres!$A$1:$I$89,5,0)</f>
        <v>302.34879999999976</v>
      </c>
      <c r="GW59" s="13">
        <f t="shared" si="51"/>
        <v>71.668638455174801</v>
      </c>
      <c r="GX59" s="20">
        <f t="shared" si="28"/>
        <v>651.41370530942902</v>
      </c>
      <c r="GY59" s="59">
        <f t="shared" si="29"/>
        <v>910.34352124805082</v>
      </c>
      <c r="GZ59" s="59">
        <f ca="1">AVERAGE(OFFSET($GY$3,0,0,'Données projet'!$E$18+1,1))-AVERAGE(OFFSET($H$3,0,0,'Données projet'!$E$18+1,1))</f>
        <v>-18.333333333333343</v>
      </c>
      <c r="HA59" s="59">
        <f t="shared" si="52"/>
        <v>-18.333333333333343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2.3891190673813503</v>
      </c>
      <c r="HH59" s="21">
        <f>EXP(-LN(2)/25)*HH58+(1-EXP(-LN(2)/25))/(LN(2)/25)*Calculateur!HC59*Calculateur!HE59*VLOOKUP('Données projet'!$B$18,Paramètres!$A$1:$I$89,3,0)*0.475*44/12</f>
        <v>12.646991044951266</v>
      </c>
      <c r="HI59" s="21">
        <f>EXP(-LN(2)/2)*HI58+(1-EXP(-LN(2)/2))/(LN(2)/2)*HC59*HF59*VLOOKUP('Données projet'!$B$18,Paramètres!$A$1:$I$89,3,0)*0.475*44/12</f>
        <v>4.2430826896252983E-3</v>
      </c>
      <c r="HJ59" s="22">
        <f t="shared" si="30"/>
        <v>15.04035319502224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13.499999999999996</v>
      </c>
      <c r="N60" s="13">
        <f>IF('Données projet'!$A$36&gt;35,N59+M60-V59,IF(A60&lt;'Données projet'!$A$36,$K$205^A60,IF(A60='Données projet'!$A$36,'Données projet'!$B$36,N59+M60-V59)))</f>
        <v>334.29999999999984</v>
      </c>
      <c r="O60" s="13">
        <f>N60*VLOOKUP('Données projet'!$B$9,Paramètres!$A$1:$I$89,3,0)*VLOOKUP('Données projet'!$B$9,Paramètres!$A$1:$I$89,5,0)</f>
        <v>156.45239999999993</v>
      </c>
      <c r="P60" s="13">
        <f t="shared" si="33"/>
        <v>40.041303130551007</v>
      </c>
      <c r="Q60" s="20">
        <f t="shared" si="53"/>
        <v>342.2265329523762</v>
      </c>
      <c r="R60" s="59">
        <f t="shared" si="0"/>
        <v>601.75317300305392</v>
      </c>
      <c r="S60" s="59">
        <f ca="1">AVERAGE(OFFSET($R$3,0,0,'Données projet'!$E$9+1,1))-AVERAGE(OFFSET($H$3,0,0,'Données projet'!$E$9+1,1))</f>
        <v>376.11581547534814</v>
      </c>
      <c r="T60" s="59">
        <f t="shared" si="34"/>
        <v>300.91675649863294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1.8363541496162219</v>
      </c>
      <c r="AA60" s="21">
        <f>EXP(-LN(2)/25)*AA59+(1-EXP(-LN(2)/25))/(LN(2)/25)*Calculateur!V60*Calculateur!X60*VLOOKUP('Données projet'!$B$9,Paramètres!$A$1:$I$89,3,0)*0.475*44/12</f>
        <v>3.7158610603378186</v>
      </c>
      <c r="AB60" s="21">
        <f>EXP(-LN(2)/2)*AB59+(1-EXP(-LN(2)/2))/(LN(2)/2)*V60*Y60*VLOOKUP('Données projet'!$B$9,Paramètres!$A$1:$I$89,3,0)*0.475*44/12</f>
        <v>8.4868147742189661E-4</v>
      </c>
      <c r="AC60" s="22">
        <f t="shared" si="3"/>
        <v>5.5530638914314618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245.74367999999996</v>
      </c>
      <c r="AK60" s="13">
        <f t="shared" si="35"/>
        <v>59.673605104126452</v>
      </c>
      <c r="AL60" s="20">
        <f t="shared" si="4"/>
        <v>531.93510488968684</v>
      </c>
      <c r="AM60" s="59">
        <f t="shared" si="5"/>
        <v>791.4617449403645</v>
      </c>
      <c r="AN60" s="59">
        <f ca="1">AVERAGE(OFFSET($AM$3,0,0,'Données projet'!$E$10+1,1))-AVERAGE(OFFSET($H$3,0,0,'Données projet'!$E$10+1,1))</f>
        <v>505.38595282220405</v>
      </c>
      <c r="AO60" s="59">
        <f t="shared" si="36"/>
        <v>351.72130415456365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1.4110195965757797</v>
      </c>
      <c r="AV60" s="21">
        <f>EXP(-LN(2)/25)*AV59+(1-EXP(-LN(2)/25))/(LN(2)/25)*Calculateur!AQ60*Calculateur!AS60*VLOOKUP('Données projet'!$B$10,Paramètres!$A$1:$I$89,3,0)*0.475*44/12</f>
        <v>5.3370983122092532</v>
      </c>
      <c r="AW60" s="21">
        <f>EXP(-LN(2)/2)*AW59+(1-EXP(-LN(2)/2))/(LN(2)/2)*AQ60*AT60*VLOOKUP('Données projet'!$B$10,Paramètres!$A$1:$I$89,3,0)*0.475*44/12</f>
        <v>1.8604138904013889E-3</v>
      </c>
      <c r="AX60" s="21">
        <f t="shared" si="6"/>
        <v>6.7499783226754344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230.40575999999996</v>
      </c>
      <c r="BF60" s="13">
        <f t="shared" si="37"/>
        <v>56.370407327556237</v>
      </c>
      <c r="BG60" s="20">
        <f t="shared" si="7"/>
        <v>499.46849142882706</v>
      </c>
      <c r="BH60" s="59">
        <f t="shared" si="8"/>
        <v>758.99513147950483</v>
      </c>
      <c r="BI60" s="59">
        <f ca="1">AVERAGE(OFFSET($BH$3,0,0,'Données projet'!$E$11+1,1))-AVERAGE(OFFSET($H$3,0,0,'Données projet'!$E$11+1,1))</f>
        <v>394.14657090341535</v>
      </c>
      <c r="BJ60" s="59">
        <f t="shared" si="38"/>
        <v>424.06445894109982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1.9115807786409051</v>
      </c>
      <c r="BQ60" s="21">
        <f>EXP(-LN(2)/25)*BQ59+(1-EXP(-LN(2)/25))/(LN(2)/25)*Calculateur!BL60*Calculateur!BN60*VLOOKUP('Données projet'!$B$11,Paramètres!$A$1:$I$89,3,0)*0.475*44/12</f>
        <v>9.7063635327827864</v>
      </c>
      <c r="BR60" s="21">
        <f>EXP(-LN(2)/2)*BR59+(1-EXP(-LN(2)/2))/(LN(2)/2)*BL60*BO60*VLOOKUP('Données projet'!$B$11,Paramètres!$A$1:$I$89,3,0)*0.475*44/12</f>
        <v>2.0749712076782675E-3</v>
      </c>
      <c r="BS60" s="22">
        <f t="shared" si="9"/>
        <v>11.62001928263137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11.3</v>
      </c>
      <c r="BY60" s="12">
        <f>IF('Données projet'!$A$114&gt;35,BY59+BX60-CG59,IF(A60&lt;'Données projet'!$A$114,$BV$205^A60,IF(A60='Données projet'!$A$114,'Données projet'!$B$114,BY59+BX60-CG59)))</f>
        <v>399.10000000000019</v>
      </c>
      <c r="BZ60" s="13">
        <f>BY60*VLOOKUP('Données projet'!$B$12,Paramètres!$A$1:$I$89,3,0)*VLOOKUP('Données projet'!$B$12,Paramètres!$A$1:$I$89,5,0)</f>
        <v>217.90860000000009</v>
      </c>
      <c r="CA60" s="13">
        <f t="shared" si="39"/>
        <v>53.660077877545731</v>
      </c>
      <c r="CB60" s="20">
        <f t="shared" si="10"/>
        <v>472.98211397005889</v>
      </c>
      <c r="CC60" s="59">
        <f t="shared" si="11"/>
        <v>732.50875402073666</v>
      </c>
      <c r="CD60" s="59">
        <f ca="1">AVERAGE(OFFSET($CC$3,0,0,'Données projet'!$E$12+1,1))-AVERAGE(OFFSET($H$3,0,0,'Données projet'!$E$12+1,1))</f>
        <v>382.09004346384319</v>
      </c>
      <c r="CE60" s="59">
        <f t="shared" si="40"/>
        <v>410.18893995284986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4.9900532645542794</v>
      </c>
      <c r="CL60" s="21">
        <f>EXP(-LN(2)/25)*CL59+(1-EXP(-LN(2)/25))/(LN(2)/25)*Calculateur!CG60*Calculateur!CI60*VLOOKUP('Données projet'!$B$12,Paramètres!$A$1:$I$89,3,0)*0.475*44/12</f>
        <v>16.100831975181706</v>
      </c>
      <c r="CM60" s="21">
        <f>EXP(-LN(2)/2)*CM59+(1-EXP(-LN(2)/2))/(LN(2)/2)*CG60*CJ60*VLOOKUP('Données projet'!$B$12,Paramètres!$A$1:$I$89,3,0)*0.475*44/12</f>
        <v>2.1736650723329018E-3</v>
      </c>
      <c r="CN60" s="22">
        <f t="shared" si="12"/>
        <v>21.09305890480832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</v>
      </c>
      <c r="CT60" s="12">
        <f>IF('Données projet'!$A$140&gt;35,CT59+CS60-DB59,IF(A60&lt;'Données projet'!$A$140,$CQ$205^A60,IF(A60='Données projet'!$A$140,'Données projet'!$B$140,CT59+CS60-DB59)))</f>
        <v>249.39999999999998</v>
      </c>
      <c r="CU60" s="17">
        <f>CT60*VLOOKUP('Données projet'!$B$13,Paramètres!$A$1:$I$89,3,0)*VLOOKUP('Données projet'!$B$13,Paramètres!$A$1:$I$89,5,0)</f>
        <v>217.87583999999998</v>
      </c>
      <c r="CV60" s="13">
        <f t="shared" si="41"/>
        <v>53.652949670124926</v>
      </c>
      <c r="CW60" s="20">
        <f t="shared" si="13"/>
        <v>472.9126420088009</v>
      </c>
      <c r="CX60" s="59">
        <f t="shared" si="14"/>
        <v>732.43928205947861</v>
      </c>
      <c r="CY60" s="59">
        <f ca="1">AVERAGE(OFFSET($CX$3,0,0,'Données projet'!$E$13+1,1))-AVERAGE(OFFSET($H$3,0,0,'Données projet'!$E$13+1,1))</f>
        <v>363.02374534486341</v>
      </c>
      <c r="CZ60" s="59">
        <f t="shared" si="42"/>
        <v>489.00477393029598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4.2817146378851252</v>
      </c>
      <c r="DG60" s="21">
        <f>EXP(-LN(2)/25)*DG59+(1-EXP(-LN(2)/25))/(LN(2)/25)*Calculateur!DB60*Calculateur!DD60*VLOOKUP('Données projet'!$B$13,Paramètres!$A$1:$I$89,3,0)*0.475*44/12</f>
        <v>9.1589867870716724</v>
      </c>
      <c r="DH60" s="21">
        <f>EXP(-LN(2)/2)*DH59+(1-EXP(-LN(2)/2))/(LN(2)/2)*DB60*DE60*VLOOKUP('Données projet'!$B$13,Paramètres!$A$1:$I$89,3,0)*0.475*44/12</f>
        <v>2.5303701547483397E-3</v>
      </c>
      <c r="DI60" s="22">
        <f t="shared" si="15"/>
        <v>13.443231795111545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>
        <f>DO60*VLOOKUP('Données projet'!$B$14,Paramètres!$A$1:$I$89,3,0)*VLOOKUP('Données projet'!$B$14,Paramètres!$A$1:$I$89,5,0)</f>
        <v>212.33471999999992</v>
      </c>
      <c r="DQ60" s="13">
        <f t="shared" si="43"/>
        <v>52.445451994617102</v>
      </c>
      <c r="DR60" s="20">
        <f t="shared" si="16"/>
        <v>461.15879955729133</v>
      </c>
      <c r="DS60" s="59">
        <f t="shared" si="17"/>
        <v>720.6854396079691</v>
      </c>
      <c r="DT60" s="59">
        <f ca="1">AVERAGE(OFFSET($DS$3,0,0,'Données projet'!$E$14+1,1))-AVERAGE(OFFSET($H$3,0,0,'Données projet'!$E$14+1,1))</f>
        <v>368.03281986807173</v>
      </c>
      <c r="DU60" s="59">
        <f t="shared" si="44"/>
        <v>395.83504504492248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1.4292655396349501</v>
      </c>
      <c r="EB60" s="21">
        <f>EXP(-LN(2)/25)*EB59+(1-EXP(-LN(2)/25))/(LN(2)/25)*Calculateur!DW60*Calculateur!DY60*VLOOKUP('Données projet'!$B$14,Paramètres!$A$1:$I$89,3,0)*0.475*44/12</f>
        <v>7.257329152702189</v>
      </c>
      <c r="EC60" s="21">
        <f>EXP(-LN(2)/2)*EC59+(1-EXP(-LN(2)/2))/(LN(2)/2)*DW60*DZ60*VLOOKUP('Données projet'!$B$14,Paramètres!$A$1:$I$89,3,0)*0.475*44/12</f>
        <v>1.912228367860368E-3</v>
      </c>
      <c r="ED60" s="22">
        <f t="shared" si="18"/>
        <v>8.6885069207049987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2.125</v>
      </c>
      <c r="EJ60" s="12">
        <f>IF('Données projet'!$A$192&gt;35,EJ59+EI60-ER59,IF(A60&lt;'Données projet'!$A$192,$EG$205^A60,IF(A60='Données projet'!$A$192,'Données projet'!$B$192,EJ59+EI60-ER59)))</f>
        <v>230.375</v>
      </c>
      <c r="EK60" s="17">
        <f>EJ60*VLOOKUP('Données projet'!$B$15,Paramètres!$A$1:$I$89,3,0)*VLOOKUP('Données projet'!$B$15,Paramètres!$A$1:$I$89,5,0)</f>
        <v>137.76425000000003</v>
      </c>
      <c r="EL60" s="13">
        <f t="shared" si="45"/>
        <v>35.784347676183451</v>
      </c>
      <c r="EM60" s="20">
        <f t="shared" si="19"/>
        <v>302.26380761935292</v>
      </c>
      <c r="EN60" s="59">
        <f t="shared" si="20"/>
        <v>561.79044767003063</v>
      </c>
      <c r="EO60" s="59">
        <f ca="1">AVERAGE(OFFSET($EN$3,0,0,'Données projet'!$E$15+1,1))-AVERAGE(OFFSET($H$3,0,0,'Données projet'!$E$15+1,1))</f>
        <v>225.2264820414552</v>
      </c>
      <c r="EP60" s="59">
        <f t="shared" si="46"/>
        <v>249.91838548328681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1.2960466125988104</v>
      </c>
      <c r="EW60" s="21">
        <f>EXP(-LN(2)/25)*EW59+(1-EXP(-LN(2)/25))/(LN(2)/25)*Calculateur!ER60*Calculateur!ET60*VLOOKUP('Données projet'!$B$15,Paramètres!$A$1:$I$89,3,0)*0.475*44/12</f>
        <v>4.094343176152222</v>
      </c>
      <c r="EX60" s="21">
        <f>EXP(-LN(2)/2)*EX59+(1-EXP(-LN(2)/2))/(LN(2)/2)*ER60*EU60*VLOOKUP('Données projet'!$B$15,Paramètres!$A$1:$I$89,3,0)*0.475*44/12</f>
        <v>3.4919634661293575E-4</v>
      </c>
      <c r="EY60" s="22">
        <f t="shared" si="21"/>
        <v>5.390738985097645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19.3</v>
      </c>
      <c r="FE60" s="12">
        <f>IF('Données projet'!$A$218&gt;35,FE59+FD60-FM59,IF(A60&lt;'Données projet'!$A$218,$FB$205^A60,IF(A60='Données projet'!$A$218,'Données projet'!$B$218,FE59+FD60-FM59)))</f>
        <v>621.09999999999957</v>
      </c>
      <c r="FF60" s="17">
        <f>FE60*VLOOKUP('Données projet'!$B$16,Paramètres!$A$1:$I$89,3,0)*VLOOKUP('Données projet'!$B$16,Paramètres!$A$1:$I$89,5,0)</f>
        <v>347.19489999999979</v>
      </c>
      <c r="FG60" s="13">
        <f t="shared" si="47"/>
        <v>80.984641788647266</v>
      </c>
      <c r="FH60" s="20">
        <f t="shared" si="22"/>
        <v>745.74603528189357</v>
      </c>
      <c r="FI60" s="59">
        <f t="shared" si="23"/>
        <v>1005.2726753325712</v>
      </c>
      <c r="FJ60" s="59">
        <f ca="1">AVERAGE(OFFSET($FI$3,0,0,'Données projet'!$E$16+1,1))-AVERAGE(OFFSET($H$3,0,0,'Données projet'!$E$16+1,1))</f>
        <v>549.85684198202534</v>
      </c>
      <c r="FK60" s="59">
        <f t="shared" si="48"/>
        <v>539.63748606275431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6.6901791216955084</v>
      </c>
      <c r="FR60" s="21">
        <f>EXP(-LN(2)/25)*FR59+(1-EXP(-LN(2)/25))/(LN(2)/25)*Calculateur!FM60*Calculateur!FO60*VLOOKUP('Données projet'!$B$16,Paramètres!$A$1:$I$89,3,0)*0.475*44/12</f>
        <v>18.334318156242976</v>
      </c>
      <c r="FS60" s="21">
        <f>EXP(-LN(2)/2)*FS59+(1-EXP(-LN(2)/2))/(LN(2)/2)*FM60*FP60*VLOOKUP('Données projet'!$B$16,Paramètres!$A$1:$I$89,3,0)*0.475*44/12</f>
        <v>3.148134973125443E-3</v>
      </c>
      <c r="FT60" s="22">
        <f t="shared" si="24"/>
        <v>25.027645412911607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16.100000000000001</v>
      </c>
      <c r="FZ60" s="12">
        <f>IF('Données projet'!$A$244&gt;35,FZ59+FY60-GH59,IF(A60&lt;'Données projet'!$A$244,$FW$205^A60,IF(A60='Données projet'!$A$244,'Données projet'!$B$244,FZ59+FY60-GH59)))</f>
        <v>521.69999999999959</v>
      </c>
      <c r="GA60" s="17">
        <f>FZ60*VLOOKUP('Données projet'!$B$17,Paramètres!$A$1:$I$89,3,0)*VLOOKUP('Données projet'!$B$17,Paramètres!$A$1:$I$89,5,0)</f>
        <v>311.97659999999979</v>
      </c>
      <c r="GB60" s="13">
        <f t="shared" si="49"/>
        <v>73.681470101320386</v>
      </c>
      <c r="GC60" s="20">
        <f t="shared" si="25"/>
        <v>671.68780542646584</v>
      </c>
      <c r="GD60" s="59">
        <f t="shared" si="26"/>
        <v>931.2144454771435</v>
      </c>
      <c r="GE60" s="59">
        <f ca="1">AVERAGE(OFFSET($GD$3,0,0,'Données projet'!$E$17+1,1))-AVERAGE(OFFSET($H$3,0,0,'Données projet'!$E$17+1,1))</f>
        <v>495.6641415122013</v>
      </c>
      <c r="GF60" s="59">
        <f t="shared" si="50"/>
        <v>488.90534169400757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2.3422698996887448</v>
      </c>
      <c r="GM60" s="21">
        <f>EXP(-LN(2)/25)*GM59+(1-EXP(-LN(2)/25))/(LN(2)/25)*Calculateur!GH60*Calculateur!GJ60*VLOOKUP('Données projet'!$B$17,Paramètres!$A$1:$I$89,3,0)*0.475*44/12</f>
        <v>12.30115840975072</v>
      </c>
      <c r="GN60" s="21">
        <f>EXP(-LN(2)/2)*GN59+(1-EXP(-LN(2)/2))/(LN(2)/2)*GH60*GK60*VLOOKUP('Données projet'!$B$17,Paramètres!$A$1:$I$89,3,0)*0.475*44/12</f>
        <v>3.0003125429693034E-3</v>
      </c>
      <c r="GO60" s="21">
        <f t="shared" si="27"/>
        <v>14.646428621982434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16.100000000000001</v>
      </c>
      <c r="GU60" s="12">
        <f>IF('Données projet'!$A$270&gt;35,GU59+GT60-HC59,IF(A60&lt;'Données projet'!$A$270,$GR$205^A60,IF(A60='Données projet'!$A$270,'Données projet'!$B$270,GU59+GT60-HC59)))</f>
        <v>521.69999999999959</v>
      </c>
      <c r="GV60" s="17">
        <f>GU60*VLOOKUP('Données projet'!$B$18,Paramètres!$A$1:$I$89,3,0)*VLOOKUP('Données projet'!$B$18,Paramètres!$A$1:$I$89,5,0)</f>
        <v>311.97659999999979</v>
      </c>
      <c r="GW60" s="13">
        <f t="shared" si="51"/>
        <v>73.681470101320386</v>
      </c>
      <c r="GX60" s="20">
        <f t="shared" si="28"/>
        <v>671.68780542646584</v>
      </c>
      <c r="GY60" s="59">
        <f t="shared" si="29"/>
        <v>931.2144454771435</v>
      </c>
      <c r="GZ60" s="59">
        <f ca="1">AVERAGE(OFFSET($GY$3,0,0,'Données projet'!$E$18+1,1))-AVERAGE(OFFSET($H$3,0,0,'Données projet'!$E$18+1,1))</f>
        <v>-18.333333333333343</v>
      </c>
      <c r="HA60" s="59">
        <f t="shared" si="52"/>
        <v>-18.333333333333343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2.3422698996887448</v>
      </c>
      <c r="HH60" s="21">
        <f>EXP(-LN(2)/25)*HH59+(1-EXP(-LN(2)/25))/(LN(2)/25)*Calculateur!HC60*Calculateur!HE60*VLOOKUP('Données projet'!$B$18,Paramètres!$A$1:$I$89,3,0)*0.475*44/12</f>
        <v>12.30115840975072</v>
      </c>
      <c r="HI60" s="21">
        <f>EXP(-LN(2)/2)*HI59+(1-EXP(-LN(2)/2))/(LN(2)/2)*HC60*HF60*VLOOKUP('Données projet'!$B$18,Paramètres!$A$1:$I$89,3,0)*0.475*44/12</f>
        <v>3.0003125429693034E-3</v>
      </c>
      <c r="HJ60" s="22">
        <f t="shared" si="30"/>
        <v>14.646428621982434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13.499999999999996</v>
      </c>
      <c r="N61" s="13">
        <f>IF('Données projet'!$A$36&gt;35,N60+M61-V60,IF(A61&lt;'Données projet'!$A$36,$K$205^A61,IF(A61='Données projet'!$A$36,'Données projet'!$B$36,N60+M61-V60)))</f>
        <v>347.79999999999984</v>
      </c>
      <c r="O61" s="13">
        <f>N61*VLOOKUP('Données projet'!$B$9,Paramètres!$A$1:$I$89,3,0)*VLOOKUP('Données projet'!$B$9,Paramètres!$A$1:$I$89,5,0)</f>
        <v>162.77039999999994</v>
      </c>
      <c r="P61" s="13">
        <f t="shared" si="33"/>
        <v>41.466761176934256</v>
      </c>
      <c r="Q61" s="20">
        <f t="shared" si="53"/>
        <v>355.71305571649367</v>
      </c>
      <c r="R61" s="59">
        <f t="shared" si="0"/>
        <v>615.82616631518204</v>
      </c>
      <c r="S61" s="59">
        <f ca="1">AVERAGE(OFFSET($R$3,0,0,'Données projet'!$E$9+1,1))-AVERAGE(OFFSET($H$3,0,0,'Données projet'!$E$9+1,1))</f>
        <v>376.11581547534814</v>
      </c>
      <c r="T61" s="59">
        <f t="shared" si="34"/>
        <v>300.91675649863294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1.8003443648076818</v>
      </c>
      <c r="AA61" s="21">
        <f>EXP(-LN(2)/25)*AA60+(1-EXP(-LN(2)/25))/(LN(2)/25)*Calculateur!V61*Calculateur!X61*VLOOKUP('Données projet'!$B$9,Paramètres!$A$1:$I$89,3,0)*0.475*44/12</f>
        <v>3.6142506442342404</v>
      </c>
      <c r="AB61" s="21">
        <f>EXP(-LN(2)/2)*AB60+(1-EXP(-LN(2)/2))/(LN(2)/2)*V61*Y61*VLOOKUP('Données projet'!$B$9,Paramètres!$A$1:$I$89,3,0)*0.475*44/12</f>
        <v>6.0010842775244091E-4</v>
      </c>
      <c r="AC61" s="22">
        <f t="shared" si="3"/>
        <v>5.4151951174696746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254.61071999999999</v>
      </c>
      <c r="AK61" s="13">
        <f t="shared" si="35"/>
        <v>61.572204587965679</v>
      </c>
      <c r="AL61" s="20">
        <f t="shared" si="4"/>
        <v>550.68526032404009</v>
      </c>
      <c r="AM61" s="59">
        <f t="shared" si="5"/>
        <v>810.79837092272851</v>
      </c>
      <c r="AN61" s="59">
        <f ca="1">AVERAGE(OFFSET($AM$3,0,0,'Données projet'!$E$10+1,1))-AVERAGE(OFFSET($H$3,0,0,'Données projet'!$E$10+1,1))</f>
        <v>505.38595282220405</v>
      </c>
      <c r="AO61" s="59">
        <f t="shared" si="36"/>
        <v>351.72130415456365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1.3833503629239017</v>
      </c>
      <c r="AV61" s="21">
        <f>EXP(-LN(2)/25)*AV60+(1-EXP(-LN(2)/25))/(LN(2)/25)*Calculateur!AQ61*Calculateur!AS61*VLOOKUP('Données projet'!$B$10,Paramètres!$A$1:$I$89,3,0)*0.475*44/12</f>
        <v>5.1911550781960889</v>
      </c>
      <c r="AW61" s="21">
        <f>EXP(-LN(2)/2)*AW60+(1-EXP(-LN(2)/2))/(LN(2)/2)*AQ61*AT61*VLOOKUP('Données projet'!$B$10,Paramètres!$A$1:$I$89,3,0)*0.475*44/12</f>
        <v>1.3155112777164686E-3</v>
      </c>
      <c r="AX61" s="21">
        <f t="shared" si="6"/>
        <v>6.5758209523977067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235.81583999999995</v>
      </c>
      <c r="BF61" s="13">
        <f t="shared" si="37"/>
        <v>57.538368655200898</v>
      </c>
      <c r="BG61" s="20">
        <f t="shared" si="7"/>
        <v>510.92524674114156</v>
      </c>
      <c r="BH61" s="59">
        <f t="shared" si="8"/>
        <v>771.03835733982999</v>
      </c>
      <c r="BI61" s="59">
        <f ca="1">AVERAGE(OFFSET($BH$3,0,0,'Données projet'!$E$11+1,1))-AVERAGE(OFFSET($H$3,0,0,'Données projet'!$E$11+1,1))</f>
        <v>394.14657090341535</v>
      </c>
      <c r="BJ61" s="59">
        <f t="shared" si="38"/>
        <v>424.06445894109982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1.874095845520904</v>
      </c>
      <c r="BQ61" s="21">
        <f>EXP(-LN(2)/25)*BQ60+(1-EXP(-LN(2)/25))/(LN(2)/25)*Calculateur!BL61*Calculateur!BN61*VLOOKUP('Données projet'!$B$11,Paramètres!$A$1:$I$89,3,0)*0.475*44/12</f>
        <v>9.4409425115433674</v>
      </c>
      <c r="BR61" s="21">
        <f>EXP(-LN(2)/2)*BR60+(1-EXP(-LN(2)/2))/(LN(2)/2)*BL61*BO61*VLOOKUP('Données projet'!$B$11,Paramètres!$A$1:$I$89,3,0)*0.475*44/12</f>
        <v>1.467226211716143E-3</v>
      </c>
      <c r="BS61" s="22">
        <f t="shared" si="9"/>
        <v>11.316505583275987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11.3</v>
      </c>
      <c r="BY61" s="12">
        <f>IF('Données projet'!$A$114&gt;35,BY60+BX61-CG60,IF(A61&lt;'Données projet'!$A$114,$BV$205^A61,IF(A61='Données projet'!$A$114,'Données projet'!$B$114,BY60+BX61-CG60)))</f>
        <v>410.4000000000002</v>
      </c>
      <c r="BZ61" s="13">
        <f>BY61*VLOOKUP('Données projet'!$B$12,Paramètres!$A$1:$I$89,3,0)*VLOOKUP('Données projet'!$B$12,Paramètres!$A$1:$I$89,5,0)</f>
        <v>224.0784000000001</v>
      </c>
      <c r="CA61" s="13">
        <f t="shared" si="39"/>
        <v>55.000355965484125</v>
      </c>
      <c r="CB61" s="20">
        <f t="shared" si="10"/>
        <v>486.06216663988494</v>
      </c>
      <c r="CC61" s="59">
        <f t="shared" si="11"/>
        <v>746.17527723857336</v>
      </c>
      <c r="CD61" s="59">
        <f ca="1">AVERAGE(OFFSET($CC$3,0,0,'Données projet'!$E$12+1,1))-AVERAGE(OFFSET($H$3,0,0,'Données projet'!$E$12+1,1))</f>
        <v>382.09004346384319</v>
      </c>
      <c r="CE61" s="59">
        <f t="shared" si="40"/>
        <v>410.18893995284986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4.8922013636683275</v>
      </c>
      <c r="CL61" s="21">
        <f>EXP(-LN(2)/25)*CL60+(1-EXP(-LN(2)/25))/(LN(2)/25)*Calculateur!CG61*Calculateur!CI61*VLOOKUP('Données projet'!$B$12,Paramètres!$A$1:$I$89,3,0)*0.475*44/12</f>
        <v>15.660553878114408</v>
      </c>
      <c r="CM61" s="21">
        <f>EXP(-LN(2)/2)*CM60+(1-EXP(-LN(2)/2))/(LN(2)/2)*CG61*CJ61*VLOOKUP('Données projet'!$B$12,Paramètres!$A$1:$I$89,3,0)*0.475*44/12</f>
        <v>1.5370133126749422E-3</v>
      </c>
      <c r="CN61" s="22">
        <f t="shared" si="12"/>
        <v>20.554292255095408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7.2</v>
      </c>
      <c r="CT61" s="12">
        <f>IF('Données projet'!$A$140&gt;35,CT60+CS61-DB60,IF(A61&lt;'Données projet'!$A$140,$CQ$205^A61,IF(A61='Données projet'!$A$140,'Données projet'!$B$140,CT60+CS61-DB60)))</f>
        <v>256.59999999999997</v>
      </c>
      <c r="CU61" s="17">
        <f>CT61*VLOOKUP('Données projet'!$B$13,Paramètres!$A$1:$I$89,3,0)*VLOOKUP('Données projet'!$B$13,Paramètres!$A$1:$I$89,5,0)</f>
        <v>224.16576000000001</v>
      </c>
      <c r="CV61" s="13">
        <f t="shared" si="41"/>
        <v>55.019302246962667</v>
      </c>
      <c r="CW61" s="20">
        <f t="shared" si="13"/>
        <v>486.24731674679327</v>
      </c>
      <c r="CX61" s="59">
        <f t="shared" si="14"/>
        <v>746.36042734548164</v>
      </c>
      <c r="CY61" s="59">
        <f ca="1">AVERAGE(OFFSET($CX$3,0,0,'Données projet'!$E$13+1,1))-AVERAGE(OFFSET($H$3,0,0,'Données projet'!$E$13+1,1))</f>
        <v>363.02374534486341</v>
      </c>
      <c r="CZ61" s="59">
        <f t="shared" si="42"/>
        <v>489.00477393029598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4.1977528254242538</v>
      </c>
      <c r="DG61" s="21">
        <f>EXP(-LN(2)/25)*DG60+(1-EXP(-LN(2)/25))/(LN(2)/25)*Calculateur!DB61*Calculateur!DD61*VLOOKUP('Données projet'!$B$13,Paramètres!$A$1:$I$89,3,0)*0.475*44/12</f>
        <v>8.9085338117290149</v>
      </c>
      <c r="DH61" s="21">
        <f>EXP(-LN(2)/2)*DH60+(1-EXP(-LN(2)/2))/(LN(2)/2)*DB61*DE61*VLOOKUP('Données projet'!$B$13,Paramètres!$A$1:$I$89,3,0)*0.475*44/12</f>
        <v>1.7892418953346046E-3</v>
      </c>
      <c r="DI61" s="22">
        <f t="shared" si="15"/>
        <v>13.108075879048602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>
        <f>DO61*VLOOKUP('Données projet'!$B$14,Paramètres!$A$1:$I$89,3,0)*VLOOKUP('Données projet'!$B$14,Paramètres!$A$1:$I$89,5,0)</f>
        <v>217.32047999999995</v>
      </c>
      <c r="DQ61" s="13">
        <f t="shared" si="43"/>
        <v>53.532090581147429</v>
      </c>
      <c r="DR61" s="20">
        <f t="shared" si="16"/>
        <v>471.73489376216497</v>
      </c>
      <c r="DS61" s="59">
        <f t="shared" si="17"/>
        <v>731.84800436085334</v>
      </c>
      <c r="DT61" s="59">
        <f ca="1">AVERAGE(OFFSET($DS$3,0,0,'Données projet'!$E$14+1,1))-AVERAGE(OFFSET($H$3,0,0,'Données projet'!$E$14+1,1))</f>
        <v>368.03281986807173</v>
      </c>
      <c r="DU61" s="59">
        <f t="shared" si="44"/>
        <v>395.83504504492248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1.4012385141686081</v>
      </c>
      <c r="EB61" s="21">
        <f>EXP(-LN(2)/25)*EB60+(1-EXP(-LN(2)/25))/(LN(2)/25)*Calculateur!DW61*Calculateur!DY61*VLOOKUP('Données projet'!$B$14,Paramètres!$A$1:$I$89,3,0)*0.475*44/12</f>
        <v>7.0588771053751946</v>
      </c>
      <c r="EC61" s="21">
        <f>EXP(-LN(2)/2)*EC60+(1-EXP(-LN(2)/2))/(LN(2)/2)*DW61*DZ61*VLOOKUP('Données projet'!$B$14,Paramètres!$A$1:$I$89,3,0)*0.475*44/12</f>
        <v>1.3521496460913503E-3</v>
      </c>
      <c r="ED61" s="22">
        <f t="shared" si="18"/>
        <v>8.4614677691898947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2.125</v>
      </c>
      <c r="EJ61" s="12">
        <f>IF('Données projet'!$A$192&gt;35,EJ60+EI61-ER60,IF(A61&lt;'Données projet'!$A$192,$EG$205^A61,IF(A61='Données projet'!$A$192,'Données projet'!$B$192,EJ60+EI61-ER60)))</f>
        <v>232.5</v>
      </c>
      <c r="EK61" s="17">
        <f>EJ61*VLOOKUP('Données projet'!$B$15,Paramètres!$A$1:$I$89,3,0)*VLOOKUP('Données projet'!$B$15,Paramètres!$A$1:$I$89,5,0)</f>
        <v>139.035</v>
      </c>
      <c r="EL61" s="13">
        <f t="shared" si="45"/>
        <v>36.0758486331029</v>
      </c>
      <c r="EM61" s="20">
        <f t="shared" si="19"/>
        <v>304.98472803598753</v>
      </c>
      <c r="EN61" s="59">
        <f t="shared" si="20"/>
        <v>565.09783863467601</v>
      </c>
      <c r="EO61" s="59">
        <f ca="1">AVERAGE(OFFSET($EN$3,0,0,'Données projet'!$E$15+1,1))-AVERAGE(OFFSET($H$3,0,0,'Données projet'!$E$15+1,1))</f>
        <v>225.2264820414552</v>
      </c>
      <c r="EP61" s="59">
        <f t="shared" si="46"/>
        <v>249.91838548328681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1.270631929036125</v>
      </c>
      <c r="EW61" s="21">
        <f>EXP(-LN(2)/25)*EW60+(1-EXP(-LN(2)/25))/(LN(2)/25)*Calculateur!ER61*Calculateur!ET61*VLOOKUP('Données projet'!$B$15,Paramètres!$A$1:$I$89,3,0)*0.475*44/12</f>
        <v>3.9823831466881896</v>
      </c>
      <c r="EX61" s="21">
        <f>EXP(-LN(2)/2)*EX60+(1-EXP(-LN(2)/2))/(LN(2)/2)*ER61*EU61*VLOOKUP('Données projet'!$B$15,Paramètres!$A$1:$I$89,3,0)*0.475*44/12</f>
        <v>2.4691910465557496E-4</v>
      </c>
      <c r="EY61" s="22">
        <f t="shared" si="21"/>
        <v>5.2532619948289696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19.3</v>
      </c>
      <c r="FE61" s="12">
        <f>IF('Données projet'!$A$218&gt;35,FE60+FD61-FM60,IF(A61&lt;'Données projet'!$A$218,$FB$205^A61,IF(A61='Données projet'!$A$218,'Données projet'!$B$218,FE60+FD61-FM60)))</f>
        <v>640.39999999999952</v>
      </c>
      <c r="FF61" s="17">
        <f>FE61*VLOOKUP('Données projet'!$B$16,Paramètres!$A$1:$I$89,3,0)*VLOOKUP('Données projet'!$B$16,Paramètres!$A$1:$I$89,5,0)</f>
        <v>357.98359999999974</v>
      </c>
      <c r="FG61" s="13">
        <f t="shared" si="47"/>
        <v>83.204253314675796</v>
      </c>
      <c r="FH61" s="20">
        <f t="shared" si="22"/>
        <v>768.40217785639322</v>
      </c>
      <c r="FI61" s="59">
        <f t="shared" si="23"/>
        <v>1028.5152884550816</v>
      </c>
      <c r="FJ61" s="59">
        <f ca="1">AVERAGE(OFFSET($FI$3,0,0,'Données projet'!$E$16+1,1))-AVERAGE(OFFSET($H$3,0,0,'Données projet'!$E$16+1,1))</f>
        <v>549.85684198202534</v>
      </c>
      <c r="FK61" s="59">
        <f t="shared" si="48"/>
        <v>539.63748606275431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6.5589887897253973</v>
      </c>
      <c r="FR61" s="21">
        <f>EXP(-LN(2)/25)*FR60+(1-EXP(-LN(2)/25))/(LN(2)/25)*Calculateur!FM61*Calculateur!FO61*VLOOKUP('Données projet'!$B$16,Paramètres!$A$1:$I$89,3,0)*0.475*44/12</f>
        <v>17.832965262100622</v>
      </c>
      <c r="FS61" s="21">
        <f>EXP(-LN(2)/2)*FS60+(1-EXP(-LN(2)/2))/(LN(2)/2)*FM61*FP61*VLOOKUP('Données projet'!$B$16,Paramètres!$A$1:$I$89,3,0)*0.475*44/12</f>
        <v>2.2260675875875303E-3</v>
      </c>
      <c r="FT61" s="22">
        <f t="shared" si="24"/>
        <v>24.394180119413608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16.100000000000001</v>
      </c>
      <c r="FZ61" s="12">
        <f>IF('Données projet'!$A$244&gt;35,FZ60+FY61-GH60,IF(A61&lt;'Données projet'!$A$244,$FW$205^A61,IF(A61='Données projet'!$A$244,'Données projet'!$B$244,FZ60+FY61-GH60)))</f>
        <v>537.79999999999961</v>
      </c>
      <c r="GA61" s="17">
        <f>FZ61*VLOOKUP('Données projet'!$B$17,Paramètres!$A$1:$I$89,3,0)*VLOOKUP('Données projet'!$B$17,Paramètres!$A$1:$I$89,5,0)</f>
        <v>321.60439999999977</v>
      </c>
      <c r="GB61" s="13">
        <f t="shared" si="49"/>
        <v>75.687083055456625</v>
      </c>
      <c r="GC61" s="20">
        <f t="shared" si="25"/>
        <v>691.94933298825333</v>
      </c>
      <c r="GD61" s="59">
        <f t="shared" si="26"/>
        <v>952.06244358694175</v>
      </c>
      <c r="GE61" s="59">
        <f ca="1">AVERAGE(OFFSET($GD$3,0,0,'Données projet'!$E$17+1,1))-AVERAGE(OFFSET($H$3,0,0,'Données projet'!$E$17+1,1))</f>
        <v>495.6641415122013</v>
      </c>
      <c r="GF61" s="59">
        <f t="shared" si="50"/>
        <v>488.90534169400757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2.2963394155994203</v>
      </c>
      <c r="GM61" s="21">
        <f>EXP(-LN(2)/25)*GM60+(1-EXP(-LN(2)/25))/(LN(2)/25)*Calculateur!GH61*Calculateur!GJ61*VLOOKUP('Données projet'!$B$17,Paramètres!$A$1:$I$89,3,0)*0.475*44/12</f>
        <v>11.96478258614628</v>
      </c>
      <c r="GN61" s="21">
        <f>EXP(-LN(2)/2)*GN60+(1-EXP(-LN(2)/2))/(LN(2)/2)*GH61*GK61*VLOOKUP('Données projet'!$B$17,Paramètres!$A$1:$I$89,3,0)*0.475*44/12</f>
        <v>2.1215413448126491E-3</v>
      </c>
      <c r="GO61" s="21">
        <f t="shared" si="27"/>
        <v>14.263243543090514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16.100000000000001</v>
      </c>
      <c r="GU61" s="12">
        <f>IF('Données projet'!$A$270&gt;35,GU60+GT61-HC60,IF(A61&lt;'Données projet'!$A$270,$GR$205^A61,IF(A61='Données projet'!$A$270,'Données projet'!$B$270,GU60+GT61-HC60)))</f>
        <v>537.79999999999961</v>
      </c>
      <c r="GV61" s="17">
        <f>GU61*VLOOKUP('Données projet'!$B$18,Paramètres!$A$1:$I$89,3,0)*VLOOKUP('Données projet'!$B$18,Paramètres!$A$1:$I$89,5,0)</f>
        <v>321.60439999999977</v>
      </c>
      <c r="GW61" s="13">
        <f t="shared" si="51"/>
        <v>75.687083055456625</v>
      </c>
      <c r="GX61" s="20">
        <f t="shared" si="28"/>
        <v>691.94933298825333</v>
      </c>
      <c r="GY61" s="59">
        <f t="shared" si="29"/>
        <v>952.06244358694175</v>
      </c>
      <c r="GZ61" s="59">
        <f ca="1">AVERAGE(OFFSET($GY$3,0,0,'Données projet'!$E$18+1,1))-AVERAGE(OFFSET($H$3,0,0,'Données projet'!$E$18+1,1))</f>
        <v>-18.333333333333343</v>
      </c>
      <c r="HA61" s="59">
        <f t="shared" si="52"/>
        <v>-18.333333333333343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2.2963394155994203</v>
      </c>
      <c r="HH61" s="21">
        <f>EXP(-LN(2)/25)*HH60+(1-EXP(-LN(2)/25))/(LN(2)/25)*Calculateur!HC61*Calculateur!HE61*VLOOKUP('Données projet'!$B$18,Paramètres!$A$1:$I$89,3,0)*0.475*44/12</f>
        <v>11.96478258614628</v>
      </c>
      <c r="HI61" s="21">
        <f>EXP(-LN(2)/2)*HI60+(1-EXP(-LN(2)/2))/(LN(2)/2)*HC61*HF61*VLOOKUP('Données projet'!$B$18,Paramètres!$A$1:$I$89,3,0)*0.475*44/12</f>
        <v>2.1215413448126491E-3</v>
      </c>
      <c r="HJ61" s="22">
        <f t="shared" si="30"/>
        <v>14.263243543090514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13.499999999999996</v>
      </c>
      <c r="N62" s="13">
        <f>IF('Données projet'!$A$36&gt;35,N61+M62-V61,IF(A62&lt;'Données projet'!$A$36,$K$205^A62,IF(A62='Données projet'!$A$36,'Données projet'!$B$36,N61+M62-V61)))</f>
        <v>361.29999999999984</v>
      </c>
      <c r="O62" s="13">
        <f>N62*VLOOKUP('Données projet'!$B$9,Paramètres!$A$1:$I$89,3,0)*VLOOKUP('Données projet'!$B$9,Paramètres!$A$1:$I$89,5,0)</f>
        <v>169.08839999999992</v>
      </c>
      <c r="P62" s="13">
        <f t="shared" si="33"/>
        <v>42.885791664164614</v>
      </c>
      <c r="Q62" s="20">
        <f t="shared" si="53"/>
        <v>369.18838381508658</v>
      </c>
      <c r="R62" s="59">
        <f t="shared" si="0"/>
        <v>629.87779100892931</v>
      </c>
      <c r="S62" s="59">
        <f ca="1">AVERAGE(OFFSET($R$3,0,0,'Données projet'!$E$9+1,1))-AVERAGE(OFFSET($H$3,0,0,'Données projet'!$E$9+1,1))</f>
        <v>376.11581547534814</v>
      </c>
      <c r="T62" s="59">
        <f t="shared" si="34"/>
        <v>300.91675649863294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1.765040709915437</v>
      </c>
      <c r="AA62" s="21">
        <f>EXP(-LN(2)/25)*AA61+(1-EXP(-LN(2)/25))/(LN(2)/25)*Calculateur!V62*Calculateur!X62*VLOOKUP('Données projet'!$B$9,Paramètres!$A$1:$I$89,3,0)*0.475*44/12</f>
        <v>3.5154187703024742</v>
      </c>
      <c r="AB62" s="21">
        <f>EXP(-LN(2)/2)*AB61+(1-EXP(-LN(2)/2))/(LN(2)/2)*V62*Y62*VLOOKUP('Données projet'!$B$9,Paramètres!$A$1:$I$89,3,0)*0.475*44/12</f>
        <v>4.2434073871094831E-4</v>
      </c>
      <c r="AC62" s="22">
        <f t="shared" si="3"/>
        <v>5.280883820956622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263.47775999999999</v>
      </c>
      <c r="AK62" s="13">
        <f t="shared" si="35"/>
        <v>63.46312159763346</v>
      </c>
      <c r="AL62" s="20">
        <f t="shared" si="4"/>
        <v>569.42203544921153</v>
      </c>
      <c r="AM62" s="59">
        <f t="shared" si="5"/>
        <v>830.11144264305426</v>
      </c>
      <c r="AN62" s="59">
        <f ca="1">AVERAGE(OFFSET($AM$3,0,0,'Données projet'!$E$10+1,1))-AVERAGE(OFFSET($H$3,0,0,'Données projet'!$E$10+1,1))</f>
        <v>505.38595282220405</v>
      </c>
      <c r="AO62" s="59">
        <f t="shared" si="36"/>
        <v>351.72130415456365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1.356223706067371</v>
      </c>
      <c r="AV62" s="21">
        <f>EXP(-LN(2)/25)*AV61+(1-EXP(-LN(2)/25))/(LN(2)/25)*Calculateur!AQ62*Calculateur!AS62*VLOOKUP('Données projet'!$B$10,Paramètres!$A$1:$I$89,3,0)*0.475*44/12</f>
        <v>5.0492026695918355</v>
      </c>
      <c r="AW62" s="21">
        <f>EXP(-LN(2)/2)*AW61+(1-EXP(-LN(2)/2))/(LN(2)/2)*AQ62*AT62*VLOOKUP('Données projet'!$B$10,Paramètres!$A$1:$I$89,3,0)*0.475*44/12</f>
        <v>9.3020694520069456E-4</v>
      </c>
      <c r="AX62" s="21">
        <f t="shared" si="6"/>
        <v>6.4063565826044071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241.22591999999997</v>
      </c>
      <c r="BF62" s="13">
        <f t="shared" si="37"/>
        <v>58.703214877960853</v>
      </c>
      <c r="BG62" s="20">
        <f t="shared" si="7"/>
        <v>522.37657657911507</v>
      </c>
      <c r="BH62" s="59">
        <f t="shared" si="8"/>
        <v>783.06598377295791</v>
      </c>
      <c r="BI62" s="59">
        <f ca="1">AVERAGE(OFFSET($BH$3,0,0,'Données projet'!$E$11+1,1))-AVERAGE(OFFSET($H$3,0,0,'Données projet'!$E$11+1,1))</f>
        <v>394.14657090341535</v>
      </c>
      <c r="BJ62" s="59">
        <f t="shared" si="38"/>
        <v>424.06445894109982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1.8373459690758345</v>
      </c>
      <c r="BQ62" s="21">
        <f>EXP(-LN(2)/25)*BQ61+(1-EXP(-LN(2)/25))/(LN(2)/25)*Calculateur!BL62*Calculateur!BN62*VLOOKUP('Données projet'!$B$11,Paramètres!$A$1:$I$89,3,0)*0.475*44/12</f>
        <v>9.1827794420876252</v>
      </c>
      <c r="BR62" s="21">
        <f>EXP(-LN(2)/2)*BR61+(1-EXP(-LN(2)/2))/(LN(2)/2)*BL62*BO62*VLOOKUP('Données projet'!$B$11,Paramètres!$A$1:$I$89,3,0)*0.475*44/12</f>
        <v>1.0374856038391337E-3</v>
      </c>
      <c r="BS62" s="22">
        <f t="shared" si="9"/>
        <v>11.021162896767299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11.3</v>
      </c>
      <c r="BY62" s="12">
        <f>IF('Données projet'!$A$114&gt;35,BY61+BX62-CG61,IF(A62&lt;'Données projet'!$A$114,$BV$205^A62,IF(A62='Données projet'!$A$114,'Données projet'!$B$114,BY61+BX62-CG61)))</f>
        <v>421.70000000000022</v>
      </c>
      <c r="BZ62" s="13">
        <f>BY62*VLOOKUP('Données projet'!$B$12,Paramètres!$A$1:$I$89,3,0)*VLOOKUP('Données projet'!$B$12,Paramètres!$A$1:$I$89,5,0)</f>
        <v>230.24820000000011</v>
      </c>
      <c r="CA62" s="13">
        <f t="shared" si="39"/>
        <v>56.336344804856289</v>
      </c>
      <c r="CB62" s="20">
        <f t="shared" si="10"/>
        <v>499.13474886845819</v>
      </c>
      <c r="CC62" s="59">
        <f t="shared" si="11"/>
        <v>759.82415606230097</v>
      </c>
      <c r="CD62" s="59">
        <f ca="1">AVERAGE(OFFSET($CC$3,0,0,'Données projet'!$E$12+1,1))-AVERAGE(OFFSET($H$3,0,0,'Données projet'!$E$12+1,1))</f>
        <v>382.09004346384319</v>
      </c>
      <c r="CE62" s="59">
        <f t="shared" si="40"/>
        <v>410.18893995284986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4.7962682788749831</v>
      </c>
      <c r="CL62" s="21">
        <f>EXP(-LN(2)/25)*CL61+(1-EXP(-LN(2)/25))/(LN(2)/25)*Calculateur!CG62*Calculateur!CI62*VLOOKUP('Données projet'!$B$12,Paramètres!$A$1:$I$89,3,0)*0.475*44/12</f>
        <v>15.232315208764634</v>
      </c>
      <c r="CM62" s="21">
        <f>EXP(-LN(2)/2)*CM61+(1-EXP(-LN(2)/2))/(LN(2)/2)*CG62*CJ62*VLOOKUP('Données projet'!$B$12,Paramètres!$A$1:$I$89,3,0)*0.475*44/12</f>
        <v>1.0868325361664509E-3</v>
      </c>
      <c r="CN62" s="22">
        <f t="shared" si="12"/>
        <v>20.029670320175782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7.2</v>
      </c>
      <c r="CT62" s="12">
        <f>IF('Données projet'!$A$140&gt;35,CT61+CS62-DB61,IF(A62&lt;'Données projet'!$A$140,$CQ$205^A62,IF(A62='Données projet'!$A$140,'Données projet'!$B$140,CT61+CS62-DB61)))</f>
        <v>263.79999999999995</v>
      </c>
      <c r="CU62" s="17">
        <f>CT62*VLOOKUP('Données projet'!$B$13,Paramètres!$A$1:$I$89,3,0)*VLOOKUP('Données projet'!$B$13,Paramètres!$A$1:$I$89,5,0)</f>
        <v>230.45567999999997</v>
      </c>
      <c r="CV62" s="13">
        <f t="shared" si="41"/>
        <v>56.381198848277926</v>
      </c>
      <c r="CW62" s="20">
        <f t="shared" si="13"/>
        <v>499.57423066075063</v>
      </c>
      <c r="CX62" s="59">
        <f t="shared" si="14"/>
        <v>760.26363785459341</v>
      </c>
      <c r="CY62" s="59">
        <f ca="1">AVERAGE(OFFSET($CX$3,0,0,'Données projet'!$E$13+1,1))-AVERAGE(OFFSET($H$3,0,0,'Données projet'!$E$13+1,1))</f>
        <v>363.02374534486341</v>
      </c>
      <c r="CZ62" s="59">
        <f t="shared" si="42"/>
        <v>489.00477393029598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4.1154374528940911</v>
      </c>
      <c r="DG62" s="21">
        <f>EXP(-LN(2)/25)*DG61+(1-EXP(-LN(2)/25))/(LN(2)/25)*Calculateur!DB62*Calculateur!DD62*VLOOKUP('Données projet'!$B$13,Paramètres!$A$1:$I$89,3,0)*0.475*44/12</f>
        <v>8.6649294861678534</v>
      </c>
      <c r="DH62" s="21">
        <f>EXP(-LN(2)/2)*DH61+(1-EXP(-LN(2)/2))/(LN(2)/2)*DB62*DE62*VLOOKUP('Données projet'!$B$13,Paramètres!$A$1:$I$89,3,0)*0.475*44/12</f>
        <v>1.2651850773741698E-3</v>
      </c>
      <c r="DI62" s="22">
        <f t="shared" si="15"/>
        <v>12.781632124139319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>
        <f>DO62*VLOOKUP('Données projet'!$B$14,Paramètres!$A$1:$I$89,3,0)*VLOOKUP('Données projet'!$B$14,Paramètres!$A$1:$I$89,5,0)</f>
        <v>222.30623999999995</v>
      </c>
      <c r="DQ62" s="13">
        <f t="shared" si="43"/>
        <v>54.615830961128815</v>
      </c>
      <c r="DR62" s="20">
        <f t="shared" si="16"/>
        <v>482.3059402572992</v>
      </c>
      <c r="DS62" s="59">
        <f t="shared" si="17"/>
        <v>742.99534745114192</v>
      </c>
      <c r="DT62" s="59">
        <f ca="1">AVERAGE(OFFSET($DS$3,0,0,'Données projet'!$E$14+1,1))-AVERAGE(OFFSET($H$3,0,0,'Données projet'!$E$14+1,1))</f>
        <v>368.03281986807173</v>
      </c>
      <c r="DU62" s="59">
        <f t="shared" si="44"/>
        <v>395.83504504492248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1.3737610815768635</v>
      </c>
      <c r="EB62" s="21">
        <f>EXP(-LN(2)/25)*EB61+(1-EXP(-LN(2)/25))/(LN(2)/25)*Calculateur!DW62*Calculateur!DY62*VLOOKUP('Données projet'!$B$14,Paramètres!$A$1:$I$89,3,0)*0.475*44/12</f>
        <v>6.8658517397184964</v>
      </c>
      <c r="EC62" s="21">
        <f>EXP(-LN(2)/2)*EC61+(1-EXP(-LN(2)/2))/(LN(2)/2)*DW62*DZ62*VLOOKUP('Données projet'!$B$14,Paramètres!$A$1:$I$89,3,0)*0.475*44/12</f>
        <v>9.5611418393018422E-4</v>
      </c>
      <c r="ED62" s="22">
        <f t="shared" si="18"/>
        <v>8.2405689354792901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2.125</v>
      </c>
      <c r="EJ62" s="12">
        <f>IF('Données projet'!$A$192&gt;35,EJ61+EI62-ER61,IF(A62&lt;'Données projet'!$A$192,$EG$205^A62,IF(A62='Données projet'!$A$192,'Données projet'!$B$192,EJ61+EI62-ER61)))</f>
        <v>234.625</v>
      </c>
      <c r="EK62" s="17">
        <f>EJ62*VLOOKUP('Données projet'!$B$15,Paramètres!$A$1:$I$89,3,0)*VLOOKUP('Données projet'!$B$15,Paramètres!$A$1:$I$89,5,0)</f>
        <v>140.30575000000002</v>
      </c>
      <c r="EL62" s="13">
        <f t="shared" si="45"/>
        <v>36.367039630957962</v>
      </c>
      <c r="EM62" s="20">
        <f t="shared" si="19"/>
        <v>307.70510860725182</v>
      </c>
      <c r="EN62" s="59">
        <f t="shared" si="20"/>
        <v>568.3945158010946</v>
      </c>
      <c r="EO62" s="59">
        <f ca="1">AVERAGE(OFFSET($EN$3,0,0,'Données projet'!$E$15+1,1))-AVERAGE(OFFSET($H$3,0,0,'Données projet'!$E$15+1,1))</f>
        <v>225.2264820414552</v>
      </c>
      <c r="EP62" s="59">
        <f t="shared" si="46"/>
        <v>249.91838548328681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1.2457156119166775</v>
      </c>
      <c r="EW62" s="21">
        <f>EXP(-LN(2)/25)*EW61+(1-EXP(-LN(2)/25))/(LN(2)/25)*Calculateur!ER62*Calculateur!ET62*VLOOKUP('Données projet'!$B$15,Paramètres!$A$1:$I$89,3,0)*0.475*44/12</f>
        <v>3.8734846701175734</v>
      </c>
      <c r="EX62" s="21">
        <f>EXP(-LN(2)/2)*EX61+(1-EXP(-LN(2)/2))/(LN(2)/2)*ER62*EU62*VLOOKUP('Données projet'!$B$15,Paramètres!$A$1:$I$89,3,0)*0.475*44/12</f>
        <v>1.7459817330646787E-4</v>
      </c>
      <c r="EY62" s="22">
        <f t="shared" si="21"/>
        <v>5.119374880207558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19.3</v>
      </c>
      <c r="FE62" s="12">
        <f>IF('Données projet'!$A$218&gt;35,FE61+FD62-FM61,IF(A62&lt;'Données projet'!$A$218,$FB$205^A62,IF(A62='Données projet'!$A$218,'Données projet'!$B$218,FE61+FD62-FM61)))</f>
        <v>659.69999999999948</v>
      </c>
      <c r="FF62" s="17">
        <f>FE62*VLOOKUP('Données projet'!$B$16,Paramètres!$A$1:$I$89,3,0)*VLOOKUP('Données projet'!$B$16,Paramètres!$A$1:$I$89,5,0)</f>
        <v>368.77229999999969</v>
      </c>
      <c r="FG62" s="13">
        <f t="shared" si="47"/>
        <v>85.416090852521961</v>
      </c>
      <c r="FH62" s="20">
        <f t="shared" si="22"/>
        <v>791.04478073480857</v>
      </c>
      <c r="FI62" s="59">
        <f t="shared" si="23"/>
        <v>1051.7341879286514</v>
      </c>
      <c r="FJ62" s="59">
        <f ca="1">AVERAGE(OFFSET($FI$3,0,0,'Données projet'!$E$16+1,1))-AVERAGE(OFFSET($H$3,0,0,'Données projet'!$E$16+1,1))</f>
        <v>549.85684198202534</v>
      </c>
      <c r="FK62" s="59">
        <f t="shared" si="48"/>
        <v>539.63748606275431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6.4303710201470183</v>
      </c>
      <c r="FR62" s="21">
        <f>EXP(-LN(2)/25)*FR61+(1-EXP(-LN(2)/25))/(LN(2)/25)*Calculateur!FM62*Calculateur!FO62*VLOOKUP('Données projet'!$B$16,Paramètres!$A$1:$I$89,3,0)*0.475*44/12</f>
        <v>17.345321889213594</v>
      </c>
      <c r="FS62" s="21">
        <f>EXP(-LN(2)/2)*FS61+(1-EXP(-LN(2)/2))/(LN(2)/2)*FM62*FP62*VLOOKUP('Données projet'!$B$16,Paramètres!$A$1:$I$89,3,0)*0.475*44/12</f>
        <v>1.5740674865627215E-3</v>
      </c>
      <c r="FT62" s="22">
        <f t="shared" si="24"/>
        <v>23.777266976847173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16.100000000000001</v>
      </c>
      <c r="FZ62" s="12">
        <f>IF('Données projet'!$A$244&gt;35,FZ61+FY62-GH61,IF(A62&lt;'Données projet'!$A$244,$FW$205^A62,IF(A62='Données projet'!$A$244,'Données projet'!$B$244,FZ61+FY62-GH61)))</f>
        <v>553.89999999999964</v>
      </c>
      <c r="GA62" s="17">
        <f>FZ62*VLOOKUP('Données projet'!$B$17,Paramètres!$A$1:$I$89,3,0)*VLOOKUP('Données projet'!$B$17,Paramètres!$A$1:$I$89,5,0)</f>
        <v>331.23219999999981</v>
      </c>
      <c r="GB62" s="13">
        <f t="shared" si="49"/>
        <v>77.68571822963294</v>
      </c>
      <c r="GC62" s="20">
        <f t="shared" si="25"/>
        <v>712.19870758327704</v>
      </c>
      <c r="GD62" s="59">
        <f t="shared" si="26"/>
        <v>972.88811477711988</v>
      </c>
      <c r="GE62" s="59">
        <f ca="1">AVERAGE(OFFSET($GD$3,0,0,'Données projet'!$E$17+1,1))-AVERAGE(OFFSET($H$3,0,0,'Données projet'!$E$17+1,1))</f>
        <v>495.6641415122013</v>
      </c>
      <c r="GF62" s="59">
        <f t="shared" si="50"/>
        <v>488.90534169400757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2.2513096002882587</v>
      </c>
      <c r="GM62" s="21">
        <f>EXP(-LN(2)/25)*GM61+(1-EXP(-LN(2)/25))/(LN(2)/25)*Calculateur!GH62*Calculateur!GJ62*VLOOKUP('Données projet'!$B$17,Paramètres!$A$1:$I$89,3,0)*0.475*44/12</f>
        <v>11.637604977127539</v>
      </c>
      <c r="GN62" s="21">
        <f>EXP(-LN(2)/2)*GN61+(1-EXP(-LN(2)/2))/(LN(2)/2)*GH62*GK62*VLOOKUP('Données projet'!$B$17,Paramètres!$A$1:$I$89,3,0)*0.475*44/12</f>
        <v>1.5001562714846517E-3</v>
      </c>
      <c r="GO62" s="21">
        <f t="shared" si="27"/>
        <v>13.890414733687283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16.100000000000001</v>
      </c>
      <c r="GU62" s="12">
        <f>IF('Données projet'!$A$270&gt;35,GU61+GT62-HC61,IF(A62&lt;'Données projet'!$A$270,$GR$205^A62,IF(A62='Données projet'!$A$270,'Données projet'!$B$270,GU61+GT62-HC61)))</f>
        <v>553.89999999999964</v>
      </c>
      <c r="GV62" s="17">
        <f>GU62*VLOOKUP('Données projet'!$B$18,Paramètres!$A$1:$I$89,3,0)*VLOOKUP('Données projet'!$B$18,Paramètres!$A$1:$I$89,5,0)</f>
        <v>331.23219999999981</v>
      </c>
      <c r="GW62" s="13">
        <f t="shared" si="51"/>
        <v>77.68571822963294</v>
      </c>
      <c r="GX62" s="20">
        <f t="shared" si="28"/>
        <v>712.19870758327704</v>
      </c>
      <c r="GY62" s="59">
        <f t="shared" si="29"/>
        <v>972.88811477711988</v>
      </c>
      <c r="GZ62" s="59">
        <f ca="1">AVERAGE(OFFSET($GY$3,0,0,'Données projet'!$E$18+1,1))-AVERAGE(OFFSET($H$3,0,0,'Données projet'!$E$18+1,1))</f>
        <v>-18.333333333333343</v>
      </c>
      <c r="HA62" s="59">
        <f t="shared" si="52"/>
        <v>-18.333333333333343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2.2513096002882587</v>
      </c>
      <c r="HH62" s="21">
        <f>EXP(-LN(2)/25)*HH61+(1-EXP(-LN(2)/25))/(LN(2)/25)*Calculateur!HC62*Calculateur!HE62*VLOOKUP('Données projet'!$B$18,Paramètres!$A$1:$I$89,3,0)*0.475*44/12</f>
        <v>11.637604977127539</v>
      </c>
      <c r="HI62" s="21">
        <f>EXP(-LN(2)/2)*HI61+(1-EXP(-LN(2)/2))/(LN(2)/2)*HC62*HF62*VLOOKUP('Données projet'!$B$18,Paramètres!$A$1:$I$89,3,0)*0.475*44/12</f>
        <v>1.5001562714846517E-3</v>
      </c>
      <c r="HJ62" s="22">
        <f t="shared" si="30"/>
        <v>13.890414733687283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374.79999999999995</v>
      </c>
      <c r="L63" s="12">
        <f>VLOOKUP(A63,'Données projet'!$A$35:$I$55,9,0)</f>
        <v>13.499999999999996</v>
      </c>
      <c r="M63" s="12">
        <f t="array" ref="M63">INDEX(L:L,MIN(IF(ISNUMBER(L63:L259),ROW(L63:L259),"")))</f>
        <v>13.499999999999996</v>
      </c>
      <c r="N63" s="13">
        <f>IF('Données projet'!$A$36&gt;35,N62+M63-V62,IF(A63&lt;'Données projet'!$A$36,$K$205^A63,IF(A63='Données projet'!$A$36,'Données projet'!$B$36,N62+M63-V62)))</f>
        <v>374.79999999999984</v>
      </c>
      <c r="O63" s="13">
        <f>N63*VLOOKUP('Données projet'!$B$9,Paramètres!$A$1:$I$89,3,0)*VLOOKUP('Données projet'!$B$9,Paramètres!$A$1:$I$89,5,0)</f>
        <v>175.40639999999993</v>
      </c>
      <c r="P63" s="13">
        <f t="shared" si="33"/>
        <v>44.298662258322672</v>
      </c>
      <c r="Q63" s="20">
        <f t="shared" si="53"/>
        <v>382.65298343324525</v>
      </c>
      <c r="R63" s="59">
        <f t="shared" si="0"/>
        <v>643.90868976472279</v>
      </c>
      <c r="S63" s="59">
        <f ca="1">AVERAGE(OFFSET($R$3,0,0,'Données projet'!$E$9+1,1))-AVERAGE(OFFSET($H$3,0,0,'Données projet'!$E$9+1,1))</f>
        <v>376.11581547534814</v>
      </c>
      <c r="T63" s="59">
        <f t="shared" si="34"/>
        <v>300.91675649863294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83.4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1.730429338162526</v>
      </c>
      <c r="AA63" s="21">
        <f>EXP(-LN(2)/25)*AA62+(1-EXP(-LN(2)/25))/(LN(2)/25)*Calculateur!V63*Calculateur!X63*VLOOKUP('Données projet'!$B$9,Paramètres!$A$1:$I$89,3,0)*0.475*44/12</f>
        <v>3.4192894591607144</v>
      </c>
      <c r="AB63" s="21">
        <f>EXP(-LN(2)/2)*AB62+(1-EXP(-LN(2)/2))/(LN(2)/2)*V63*Y63*VLOOKUP('Données projet'!$B$9,Paramètres!$A$1:$I$89,3,0)*0.475*44/12</f>
        <v>3.0005421387622046E-4</v>
      </c>
      <c r="AC63" s="22">
        <f t="shared" si="3"/>
        <v>5.1500188515371166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272.34479999999996</v>
      </c>
      <c r="AK63" s="13">
        <f t="shared" si="35"/>
        <v>65.346644318451652</v>
      </c>
      <c r="AL63" s="20">
        <f t="shared" si="4"/>
        <v>588.14593218796983</v>
      </c>
      <c r="AM63" s="59">
        <f t="shared" si="5"/>
        <v>849.40163851944726</v>
      </c>
      <c r="AN63" s="59">
        <f ca="1">AVERAGE(OFFSET($AM$3,0,0,'Données projet'!$E$10+1,1))-AVERAGE(OFFSET($H$3,0,0,'Données projet'!$E$10+1,1))</f>
        <v>505.38595282220405</v>
      </c>
      <c r="AO63" s="59">
        <f t="shared" si="36"/>
        <v>351.72130415456365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1.3296289864061699</v>
      </c>
      <c r="AV63" s="21">
        <f>EXP(-LN(2)/25)*AV62+(1-EXP(-LN(2)/25))/(LN(2)/25)*Calculateur!AQ63*Calculateur!AS63*VLOOKUP('Données projet'!$B$10,Paramètres!$A$1:$I$89,3,0)*0.475*44/12</f>
        <v>4.9111319570658187</v>
      </c>
      <c r="AW63" s="21">
        <f>EXP(-LN(2)/2)*AW62+(1-EXP(-LN(2)/2))/(LN(2)/2)*AQ63*AT63*VLOOKUP('Données projet'!$B$10,Paramètres!$A$1:$I$89,3,0)*0.475*44/12</f>
        <v>6.5775563885823443E-4</v>
      </c>
      <c r="AX63" s="21">
        <f t="shared" si="6"/>
        <v>6.2414186991108469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246.63599999999997</v>
      </c>
      <c r="BF63" s="13">
        <f t="shared" si="37"/>
        <v>59.865023903294535</v>
      </c>
      <c r="BG63" s="20">
        <f t="shared" si="7"/>
        <v>533.82261663157112</v>
      </c>
      <c r="BH63" s="59">
        <f t="shared" si="8"/>
        <v>795.07832296304855</v>
      </c>
      <c r="BI63" s="59">
        <f ca="1">AVERAGE(OFFSET($BH$3,0,0,'Données projet'!$E$11+1,1))-AVERAGE(OFFSET($H$3,0,0,'Données projet'!$E$11+1,1))</f>
        <v>394.14657090341535</v>
      </c>
      <c r="BJ63" s="59">
        <f t="shared" si="38"/>
        <v>424.06445894109982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1.8013167352926416</v>
      </c>
      <c r="BQ63" s="21">
        <f>EXP(-LN(2)/25)*BQ62+(1-EXP(-LN(2)/25))/(LN(2)/25)*Calculateur!BL63*Calculateur!BN63*VLOOKUP('Données projet'!$B$11,Paramètres!$A$1:$I$89,3,0)*0.475*44/12</f>
        <v>8.9316758553423554</v>
      </c>
      <c r="BR63" s="21">
        <f>EXP(-LN(2)/2)*BR62+(1-EXP(-LN(2)/2))/(LN(2)/2)*BL63*BO63*VLOOKUP('Données projet'!$B$11,Paramètres!$A$1:$I$89,3,0)*0.475*44/12</f>
        <v>7.3361310585807148E-4</v>
      </c>
      <c r="BS63" s="22">
        <f t="shared" si="9"/>
        <v>10.733726203740854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433</v>
      </c>
      <c r="BW63" s="12">
        <f>VLOOKUP(A63,'Données projet'!$A$113:$I$133,9,0)</f>
        <v>11.3</v>
      </c>
      <c r="BX63" s="12">
        <f t="array" ref="BX63">INDEX(BW:BW,MIN(IF(ISNUMBER(BW63:BW259),ROW(BW63:BW259),"")))</f>
        <v>11.3</v>
      </c>
      <c r="BY63" s="12">
        <f>IF('Données projet'!$A$114&gt;35,BY62+BX63-CG62,IF(A63&lt;'Données projet'!$A$114,$BV$205^A63,IF(A63='Données projet'!$A$114,'Données projet'!$B$114,BY62+BX63-CG62)))</f>
        <v>433.00000000000023</v>
      </c>
      <c r="BZ63" s="13">
        <f>BY63*VLOOKUP('Données projet'!$B$12,Paramètres!$A$1:$I$89,3,0)*VLOOKUP('Données projet'!$B$12,Paramètres!$A$1:$I$89,5,0)</f>
        <v>236.41800000000015</v>
      </c>
      <c r="CA63" s="13">
        <f t="shared" si="39"/>
        <v>57.668172541352803</v>
      </c>
      <c r="CB63" s="20">
        <f t="shared" si="10"/>
        <v>512.20008384285632</v>
      </c>
      <c r="CC63" s="59">
        <f t="shared" si="11"/>
        <v>773.45579017433374</v>
      </c>
      <c r="CD63" s="59">
        <f ca="1">AVERAGE(OFFSET($CC$3,0,0,'Données projet'!$E$12+1,1))-AVERAGE(OFFSET($H$3,0,0,'Données projet'!$E$12+1,1))</f>
        <v>382.09004346384319</v>
      </c>
      <c r="CE63" s="59">
        <f t="shared" si="40"/>
        <v>410.18893995284986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67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4.7022163833610318</v>
      </c>
      <c r="CL63" s="21">
        <f>EXP(-LN(2)/25)*CL62+(1-EXP(-LN(2)/25))/(LN(2)/25)*Calculateur!CG63*Calculateur!CI63*VLOOKUP('Données projet'!$B$12,Paramètres!$A$1:$I$89,3,0)*0.475*44/12</f>
        <v>14.815786748348321</v>
      </c>
      <c r="CM63" s="21">
        <f>EXP(-LN(2)/2)*CM62+(1-EXP(-LN(2)/2))/(LN(2)/2)*CG63*CJ63*VLOOKUP('Données projet'!$B$12,Paramètres!$A$1:$I$89,3,0)*0.475*44/12</f>
        <v>7.685066563374711E-4</v>
      </c>
      <c r="CN63" s="22">
        <f t="shared" si="12"/>
        <v>19.518771638365692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271</v>
      </c>
      <c r="CR63" s="12">
        <f>VLOOKUP(A63,'Données projet'!$A$139:$I$159,9,0)</f>
        <v>7.2</v>
      </c>
      <c r="CS63" s="12">
        <f t="array" ref="CS63">INDEX(CR:CR,MIN(IF(ISNUMBER(CR63:CR259),ROW(CR63:CR259),"")))</f>
        <v>7.2</v>
      </c>
      <c r="CT63" s="12">
        <f>IF('Données projet'!$A$140&gt;35,CT62+CS63-DB62,IF(A63&lt;'Données projet'!$A$140,$CQ$205^A63,IF(A63='Données projet'!$A$140,'Données projet'!$B$140,CT62+CS63-DB62)))</f>
        <v>270.99999999999994</v>
      </c>
      <c r="CU63" s="17">
        <f>CT63*VLOOKUP('Données projet'!$B$13,Paramètres!$A$1:$I$89,3,0)*VLOOKUP('Données projet'!$B$13,Paramètres!$A$1:$I$89,5,0)</f>
        <v>236.7456</v>
      </c>
      <c r="CV63" s="13">
        <f t="shared" si="41"/>
        <v>57.738775067879409</v>
      </c>
      <c r="CW63" s="20">
        <f t="shared" si="13"/>
        <v>512.89361990988994</v>
      </c>
      <c r="CX63" s="59">
        <f t="shared" si="14"/>
        <v>774.14932624136736</v>
      </c>
      <c r="CY63" s="59">
        <f ca="1">AVERAGE(OFFSET($CX$3,0,0,'Données projet'!$E$13+1,1))-AVERAGE(OFFSET($H$3,0,0,'Données projet'!$E$13+1,1))</f>
        <v>363.02374534486341</v>
      </c>
      <c r="CZ63" s="59">
        <f t="shared" si="42"/>
        <v>489.00477393029598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55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4.0347362346118256</v>
      </c>
      <c r="DG63" s="21">
        <f>EXP(-LN(2)/25)*DG62+(1-EXP(-LN(2)/25))/(LN(2)/25)*Calculateur!DB63*Calculateur!DD63*VLOOKUP('Données projet'!$B$13,Paramètres!$A$1:$I$89,3,0)*0.475*44/12</f>
        <v>8.4279865336997553</v>
      </c>
      <c r="DH63" s="21">
        <f>EXP(-LN(2)/2)*DH62+(1-EXP(-LN(2)/2))/(LN(2)/2)*DB63*DE63*VLOOKUP('Données projet'!$B$13,Paramètres!$A$1:$I$89,3,0)*0.475*44/12</f>
        <v>8.9462094766730232E-4</v>
      </c>
      <c r="DI63" s="22">
        <f t="shared" si="15"/>
        <v>12.463617389259248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>
        <f>DO63*VLOOKUP('Données projet'!$B$14,Paramètres!$A$1:$I$89,3,0)*VLOOKUP('Données projet'!$B$14,Paramètres!$A$1:$I$89,5,0)</f>
        <v>227.29199999999994</v>
      </c>
      <c r="DQ63" s="13">
        <f t="shared" si="43"/>
        <v>55.6967456174837</v>
      </c>
      <c r="DR63" s="20">
        <f t="shared" si="16"/>
        <v>492.87206528378402</v>
      </c>
      <c r="DS63" s="59">
        <f t="shared" si="17"/>
        <v>754.12777161526151</v>
      </c>
      <c r="DT63" s="59">
        <f ca="1">AVERAGE(OFFSET($DS$3,0,0,'Données projet'!$E$14+1,1))-AVERAGE(OFFSET($H$3,0,0,'Données projet'!$E$14+1,1))</f>
        <v>368.03281986807173</v>
      </c>
      <c r="DU63" s="59">
        <f t="shared" si="44"/>
        <v>395.83504504492248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1.3468224646786642</v>
      </c>
      <c r="EB63" s="21">
        <f>EXP(-LN(2)/25)*EB62+(1-EXP(-LN(2)/25))/(LN(2)/25)*Calculateur!DW63*Calculateur!DY63*VLOOKUP('Données projet'!$B$14,Paramètres!$A$1:$I$89,3,0)*0.475*44/12</f>
        <v>6.6781046628364429</v>
      </c>
      <c r="EC63" s="21">
        <f>EXP(-LN(2)/2)*EC62+(1-EXP(-LN(2)/2))/(LN(2)/2)*DW63*DZ63*VLOOKUP('Données projet'!$B$14,Paramètres!$A$1:$I$89,3,0)*0.475*44/12</f>
        <v>6.7607482304567527E-4</v>
      </c>
      <c r="ED63" s="22">
        <f t="shared" si="18"/>
        <v>8.0256032023381536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2.125</v>
      </c>
      <c r="EJ63" s="12">
        <f>IF('Données projet'!$A$192&gt;35,EJ62+EI63-ER62,IF(A63&lt;'Données projet'!$A$192,$EG$205^A63,IF(A63='Données projet'!$A$192,'Données projet'!$B$192,EJ62+EI63-ER62)))</f>
        <v>236.75</v>
      </c>
      <c r="EK63" s="17">
        <f>EJ63*VLOOKUP('Données projet'!$B$15,Paramètres!$A$1:$I$89,3,0)*VLOOKUP('Données projet'!$B$15,Paramètres!$A$1:$I$89,5,0)</f>
        <v>141.57650000000001</v>
      </c>
      <c r="EL63" s="13">
        <f t="shared" si="45"/>
        <v>36.657923802254089</v>
      </c>
      <c r="EM63" s="20">
        <f t="shared" si="19"/>
        <v>310.4249547889259</v>
      </c>
      <c r="EN63" s="59">
        <f t="shared" si="20"/>
        <v>571.68066112040333</v>
      </c>
      <c r="EO63" s="59">
        <f ca="1">AVERAGE(OFFSET($EN$3,0,0,'Données projet'!$E$15+1,1))-AVERAGE(OFFSET($H$3,0,0,'Données projet'!$E$15+1,1))</f>
        <v>225.2264820414552</v>
      </c>
      <c r="EP63" s="59">
        <f t="shared" si="46"/>
        <v>249.91838548328681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1.2212878885784895</v>
      </c>
      <c r="EW63" s="21">
        <f>EXP(-LN(2)/25)*EW62+(1-EXP(-LN(2)/25))/(LN(2)/25)*Calculateur!ER63*Calculateur!ET63*VLOOKUP('Données projet'!$B$15,Paramètres!$A$1:$I$89,3,0)*0.475*44/12</f>
        <v>3.7675640281155025</v>
      </c>
      <c r="EX63" s="21">
        <f>EXP(-LN(2)/2)*EX62+(1-EXP(-LN(2)/2))/(LN(2)/2)*ER63*EU63*VLOOKUP('Données projet'!$B$15,Paramètres!$A$1:$I$89,3,0)*0.475*44/12</f>
        <v>1.2345955232778748E-4</v>
      </c>
      <c r="EY63" s="22">
        <f t="shared" si="21"/>
        <v>4.9889753762463203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679</v>
      </c>
      <c r="FC63" s="12">
        <f>VLOOKUP(A63,'Données projet'!$A$217:$I$237,9,0)</f>
        <v>19.3</v>
      </c>
      <c r="FD63" s="12">
        <f t="array" ref="FD63">INDEX(FC:FC,MIN(IF(ISNUMBER(FC63:FC259),ROW(FC63:FC259),"")))</f>
        <v>19.3</v>
      </c>
      <c r="FE63" s="12">
        <f>IF('Données projet'!$A$218&gt;35,FE62+FD63-FM62,IF(A63&lt;'Données projet'!$A$218,$FB$205^A63,IF(A63='Données projet'!$A$218,'Données projet'!$B$218,FE62+FD63-FM62)))</f>
        <v>678.99999999999943</v>
      </c>
      <c r="FF63" s="17">
        <f>FE63*VLOOKUP('Données projet'!$B$16,Paramètres!$A$1:$I$89,3,0)*VLOOKUP('Données projet'!$B$16,Paramètres!$A$1:$I$89,5,0)</f>
        <v>379.56099999999969</v>
      </c>
      <c r="FG63" s="13">
        <f t="shared" si="47"/>
        <v>87.620407950587037</v>
      </c>
      <c r="FH63" s="20">
        <f t="shared" si="22"/>
        <v>813.67428551393857</v>
      </c>
      <c r="FI63" s="59">
        <f t="shared" si="23"/>
        <v>1074.929991845416</v>
      </c>
      <c r="FJ63" s="59">
        <f ca="1">AVERAGE(OFFSET($FI$3,0,0,'Données projet'!$E$16+1,1))-AVERAGE(OFFSET($H$3,0,0,'Données projet'!$E$16+1,1))</f>
        <v>549.85684198202534</v>
      </c>
      <c r="FK63" s="59">
        <f t="shared" si="48"/>
        <v>539.63748606275431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96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6.3042753665809785</v>
      </c>
      <c r="FR63" s="21">
        <f>EXP(-LN(2)/25)*FR62+(1-EXP(-LN(2)/25))/(LN(2)/25)*Calculateur!FM63*Calculateur!FO63*VLOOKUP('Données projet'!$B$16,Paramètres!$A$1:$I$89,3,0)*0.475*44/12</f>
        <v>16.871013150002213</v>
      </c>
      <c r="FS63" s="21">
        <f>EXP(-LN(2)/2)*FS62+(1-EXP(-LN(2)/2))/(LN(2)/2)*FM63*FP63*VLOOKUP('Données projet'!$B$16,Paramètres!$A$1:$I$89,3,0)*0.475*44/12</f>
        <v>1.1130337937937651E-3</v>
      </c>
      <c r="FT63" s="22">
        <f t="shared" si="24"/>
        <v>23.176401550376983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570</v>
      </c>
      <c r="FX63" s="12">
        <f>VLOOKUP(A63,'Données projet'!$A$243:$I$263,9,0)</f>
        <v>16.100000000000001</v>
      </c>
      <c r="FY63" s="12">
        <f t="array" ref="FY63">INDEX(FX:FX,MIN(IF(ISNUMBER(FX63:FX259),ROW(FX63:FX259),"")))</f>
        <v>16.100000000000001</v>
      </c>
      <c r="FZ63" s="12">
        <f>IF('Données projet'!$A$244&gt;35,FZ62+FY63-GH62,IF(A63&lt;'Données projet'!$A$244,$FW$205^A63,IF(A63='Données projet'!$A$244,'Données projet'!$B$244,FZ62+FY63-GH62)))</f>
        <v>569.99999999999966</v>
      </c>
      <c r="GA63" s="17">
        <f>FZ63*VLOOKUP('Données projet'!$B$17,Paramètres!$A$1:$I$89,3,0)*VLOOKUP('Données projet'!$B$17,Paramètres!$A$1:$I$89,5,0)</f>
        <v>340.85999999999984</v>
      </c>
      <c r="GB63" s="13">
        <f t="shared" si="49"/>
        <v>79.677601734543444</v>
      </c>
      <c r="GC63" s="20">
        <f t="shared" si="25"/>
        <v>732.43632302099616</v>
      </c>
      <c r="GD63" s="59">
        <f t="shared" si="26"/>
        <v>993.69202935247358</v>
      </c>
      <c r="GE63" s="59">
        <f ca="1">AVERAGE(OFFSET($GD$3,0,0,'Données projet'!$E$17+1,1))-AVERAGE(OFFSET($H$3,0,0,'Données projet'!$E$17+1,1))</f>
        <v>495.6641415122013</v>
      </c>
      <c r="GF63" s="59">
        <f t="shared" si="50"/>
        <v>488.90534169400757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78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2.2071627921898735</v>
      </c>
      <c r="GM63" s="21">
        <f>EXP(-LN(2)/25)*GM62+(1-EXP(-LN(2)/25))/(LN(2)/25)*Calculateur!GH63*Calculateur!GJ63*VLOOKUP('Données projet'!$B$17,Paramètres!$A$1:$I$89,3,0)*0.475*44/12</f>
        <v>11.31937405703294</v>
      </c>
      <c r="GN63" s="21">
        <f>EXP(-LN(2)/2)*GN62+(1-EXP(-LN(2)/2))/(LN(2)/2)*GH63*GK63*VLOOKUP('Données projet'!$B$17,Paramètres!$A$1:$I$89,3,0)*0.475*44/12</f>
        <v>1.0607706724063246E-3</v>
      </c>
      <c r="GO63" s="21">
        <f t="shared" si="27"/>
        <v>13.52759761989522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570</v>
      </c>
      <c r="GS63" s="12">
        <f>VLOOKUP(A63,'Données projet'!$A$269:$I$289,9,0)</f>
        <v>16.100000000000001</v>
      </c>
      <c r="GT63" s="12">
        <f t="array" ref="GT63">INDEX(GS:GS,MIN(IF(ISNUMBER(GS63:GS259),ROW(GS63:GS259),"")))</f>
        <v>16.100000000000001</v>
      </c>
      <c r="GU63" s="12">
        <f>IF('Données projet'!$A$270&gt;35,GU62+GT63-HC62,IF(A63&lt;'Données projet'!$A$270,$GR$205^A63,IF(A63='Données projet'!$A$270,'Données projet'!$B$270,GU62+GT63-HC62)))</f>
        <v>569.99999999999966</v>
      </c>
      <c r="GV63" s="17">
        <f>GU63*VLOOKUP('Données projet'!$B$18,Paramètres!$A$1:$I$89,3,0)*VLOOKUP('Données projet'!$B$18,Paramètres!$A$1:$I$89,5,0)</f>
        <v>340.85999999999984</v>
      </c>
      <c r="GW63" s="13">
        <f t="shared" si="51"/>
        <v>79.677601734543444</v>
      </c>
      <c r="GX63" s="20">
        <f t="shared" si="28"/>
        <v>732.43632302099616</v>
      </c>
      <c r="GY63" s="59">
        <f t="shared" si="29"/>
        <v>993.69202935247358</v>
      </c>
      <c r="GZ63" s="59">
        <f ca="1">AVERAGE(OFFSET($GY$3,0,0,'Données projet'!$E$18+1,1))-AVERAGE(OFFSET($H$3,0,0,'Données projet'!$E$18+1,1))</f>
        <v>-18.333333333333343</v>
      </c>
      <c r="HA63" s="59">
        <f t="shared" si="52"/>
        <v>-18.333333333333343</v>
      </c>
      <c r="HB63" s="15">
        <f>IF(ISNA(VLOOKUP(A63,'Données projet'!$A$269:$I$289,3,0)),0,VLOOKUP(A63,'Données projet'!$A$269:$I$289,3,0))</f>
        <v>5</v>
      </c>
      <c r="HC63" s="15">
        <f>IF(ISNA(VLOOKUP(A63,'Données projet'!$A$269:$I$289,4,0)),0,VLOOKUP(A63,'Données projet'!$A$269:$I$289,4,0))</f>
        <v>78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2.2071627921898735</v>
      </c>
      <c r="HH63" s="21">
        <f>EXP(-LN(2)/25)*HH62+(1-EXP(-LN(2)/25))/(LN(2)/25)*Calculateur!HC63*Calculateur!HE63*VLOOKUP('Données projet'!$B$18,Paramètres!$A$1:$I$89,3,0)*0.475*44/12</f>
        <v>11.31937405703294</v>
      </c>
      <c r="HI63" s="21">
        <f>EXP(-LN(2)/2)*HI62+(1-EXP(-LN(2)/2))/(LN(2)/2)*HC63*HF63*VLOOKUP('Données projet'!$B$18,Paramètres!$A$1:$I$89,3,0)*0.475*44/12</f>
        <v>1.0607706724063246E-3</v>
      </c>
      <c r="HJ63" s="22">
        <f t="shared" si="30"/>
        <v>13.52759761989522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306.89999999999986</v>
      </c>
      <c r="O64" s="13">
        <f>N64*VLOOKUP('Données projet'!$B$9,Paramètres!$A$1:$I$89,3,0)*VLOOKUP('Données projet'!$B$9,Paramètres!$A$1:$I$89,5,0)</f>
        <v>143.62919999999994</v>
      </c>
      <c r="P64" s="13">
        <f t="shared" si="33"/>
        <v>37.127161849234348</v>
      </c>
      <c r="Q64" s="20">
        <f t="shared" si="53"/>
        <v>314.81733022074968</v>
      </c>
      <c r="R64" s="59">
        <f t="shared" si="0"/>
        <v>576.62951166587902</v>
      </c>
      <c r="S64" s="59">
        <f ca="1">AVERAGE(OFFSET($R$3,0,0,'Données projet'!$E$9+1,1))-AVERAGE(OFFSET($H$3,0,0,'Données projet'!$E$9+1,1))</f>
        <v>376.11581547534814</v>
      </c>
      <c r="T64" s="59">
        <f t="shared" si="34"/>
        <v>300.91675649863294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1.6964966742988374</v>
      </c>
      <c r="AA64" s="21">
        <f>EXP(-LN(2)/25)*AA63+(1-EXP(-LN(2)/25))/(LN(2)/25)*Calculateur!V64*Calculateur!X64*VLOOKUP('Données projet'!$B$9,Paramètres!$A$1:$I$89,3,0)*0.475*44/12</f>
        <v>3.3257888090873466</v>
      </c>
      <c r="AB64" s="21">
        <f>EXP(-LN(2)/2)*AB63+(1-EXP(-LN(2)/2))/(LN(2)/2)*V64*Y64*VLOOKUP('Données projet'!$B$9,Paramètres!$A$1:$I$89,3,0)*0.475*44/12</f>
        <v>2.1217036935547415E-4</v>
      </c>
      <c r="AC64" s="22">
        <f t="shared" si="3"/>
        <v>5.0224976537555399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229.36680000000001</v>
      </c>
      <c r="AK64" s="13">
        <f t="shared" si="35"/>
        <v>56.14574692729505</v>
      </c>
      <c r="AL64" s="20">
        <f t="shared" si="4"/>
        <v>497.26768589837212</v>
      </c>
      <c r="AM64" s="59">
        <f t="shared" si="5"/>
        <v>759.07986734350152</v>
      </c>
      <c r="AN64" s="59">
        <f ca="1">AVERAGE(OFFSET($AM$3,0,0,'Données projet'!$E$10+1,1))-AVERAGE(OFFSET($H$3,0,0,'Données projet'!$E$10+1,1))</f>
        <v>505.38595282220405</v>
      </c>
      <c r="AO64" s="59">
        <f t="shared" si="36"/>
        <v>351.72130415456365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1.3035557729763476</v>
      </c>
      <c r="AV64" s="21">
        <f>EXP(-LN(2)/25)*AV63+(1-EXP(-LN(2)/25))/(LN(2)/25)*Calculateur!AQ64*Calculateur!AS64*VLOOKUP('Données projet'!$B$10,Paramètres!$A$1:$I$89,3,0)*0.475*44/12</f>
        <v>4.7768367954346491</v>
      </c>
      <c r="AW64" s="21">
        <f>EXP(-LN(2)/2)*AW63+(1-EXP(-LN(2)/2))/(LN(2)/2)*AQ64*AT64*VLOOKUP('Données projet'!$B$10,Paramètres!$A$1:$I$89,3,0)*0.475*44/12</f>
        <v>4.6510347260034739E-4</v>
      </c>
      <c r="AX64" s="21">
        <f t="shared" si="6"/>
        <v>6.0808576718835967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226.66643999999994</v>
      </c>
      <c r="BF64" s="13">
        <f t="shared" si="37"/>
        <v>55.561276600641385</v>
      </c>
      <c r="BG64" s="20">
        <f t="shared" si="7"/>
        <v>491.5466064127836</v>
      </c>
      <c r="BH64" s="59">
        <f t="shared" si="8"/>
        <v>753.35878785791294</v>
      </c>
      <c r="BI64" s="59">
        <f ca="1">AVERAGE(OFFSET($BH$3,0,0,'Données projet'!$E$11+1,1))-AVERAGE(OFFSET($H$3,0,0,'Données projet'!$E$11+1,1))</f>
        <v>394.14657090341535</v>
      </c>
      <c r="BJ64" s="59">
        <f t="shared" si="38"/>
        <v>424.06445894109982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1.7659940128082743</v>
      </c>
      <c r="BQ64" s="21">
        <f>EXP(-LN(2)/25)*BQ63+(1-EXP(-LN(2)/25))/(LN(2)/25)*Calculateur!BL64*Calculateur!BN64*VLOOKUP('Données projet'!$B$11,Paramètres!$A$1:$I$89,3,0)*0.475*44/12</f>
        <v>8.687438709381599</v>
      </c>
      <c r="BR64" s="21">
        <f>EXP(-LN(2)/2)*BR63+(1-EXP(-LN(2)/2))/(LN(2)/2)*BL64*BO64*VLOOKUP('Données projet'!$B$11,Paramètres!$A$1:$I$89,3,0)*0.475*44/12</f>
        <v>5.1874280191956687E-4</v>
      </c>
      <c r="BS64" s="22">
        <f t="shared" si="9"/>
        <v>10.453951464991793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9.8000000000000007</v>
      </c>
      <c r="BY64" s="12">
        <f>IF('Données projet'!$A$114&gt;35,BY63+BX64-CG63,IF(A64&lt;'Données projet'!$A$114,$BV$205^A64,IF(A64='Données projet'!$A$114,'Données projet'!$B$114,BY63+BX64-CG63)))</f>
        <v>375.80000000000024</v>
      </c>
      <c r="BZ64" s="13">
        <f>BY64*VLOOKUP('Données projet'!$B$12,Paramètres!$A$1:$I$89,3,0)*VLOOKUP('Données projet'!$B$12,Paramètres!$A$1:$I$89,5,0)</f>
        <v>205.18680000000015</v>
      </c>
      <c r="CA64" s="13">
        <f t="shared" si="39"/>
        <v>50.882365236333044</v>
      </c>
      <c r="CB64" s="20">
        <f t="shared" si="10"/>
        <v>445.98712945328037</v>
      </c>
      <c r="CC64" s="59">
        <f t="shared" si="11"/>
        <v>707.79931089840966</v>
      </c>
      <c r="CD64" s="59">
        <f ca="1">AVERAGE(OFFSET($CC$3,0,0,'Données projet'!$E$12+1,1))-AVERAGE(OFFSET($H$3,0,0,'Données projet'!$E$12+1,1))</f>
        <v>382.09004346384319</v>
      </c>
      <c r="CE64" s="59">
        <f t="shared" si="40"/>
        <v>410.18893995284986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4.6100087881521175</v>
      </c>
      <c r="CL64" s="21">
        <f>EXP(-LN(2)/25)*CL63+(1-EXP(-LN(2)/25))/(LN(2)/25)*Calculateur!CG64*Calculateur!CI64*VLOOKUP('Données projet'!$B$12,Paramètres!$A$1:$I$89,3,0)*0.475*44/12</f>
        <v>14.410648280586374</v>
      </c>
      <c r="CM64" s="21">
        <f>EXP(-LN(2)/2)*CM63+(1-EXP(-LN(2)/2))/(LN(2)/2)*CG64*CJ64*VLOOKUP('Données projet'!$B$12,Paramètres!$A$1:$I$89,3,0)*0.475*44/12</f>
        <v>5.4341626808322545E-4</v>
      </c>
      <c r="CN64" s="22">
        <f t="shared" si="12"/>
        <v>19.021200485006574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221.59999999999997</v>
      </c>
      <c r="CU64" s="17">
        <f>CT64*VLOOKUP('Données projet'!$B$13,Paramètres!$A$1:$I$89,3,0)*VLOOKUP('Données projet'!$B$13,Paramètres!$A$1:$I$89,5,0)</f>
        <v>193.58975999999998</v>
      </c>
      <c r="CV64" s="13">
        <f t="shared" si="41"/>
        <v>48.332731202087039</v>
      </c>
      <c r="CW64" s="20">
        <f t="shared" si="13"/>
        <v>421.34833884363485</v>
      </c>
      <c r="CX64" s="59">
        <f t="shared" si="14"/>
        <v>683.16052028876425</v>
      </c>
      <c r="CY64" s="59">
        <f ca="1">AVERAGE(OFFSET($CX$3,0,0,'Données projet'!$E$13+1,1))-AVERAGE(OFFSET($H$3,0,0,'Données projet'!$E$13+1,1))</f>
        <v>363.02374534486341</v>
      </c>
      <c r="CZ64" s="59">
        <f t="shared" si="42"/>
        <v>489.00477393029598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3.9556175179971924</v>
      </c>
      <c r="DG64" s="21">
        <f>EXP(-LN(2)/25)*DG63+(1-EXP(-LN(2)/25))/(LN(2)/25)*Calculateur!DB64*Calculateur!DD64*VLOOKUP('Données projet'!$B$13,Paramètres!$A$1:$I$89,3,0)*0.475*44/12</f>
        <v>8.1975227987271868</v>
      </c>
      <c r="DH64" s="21">
        <f>EXP(-LN(2)/2)*DH63+(1-EXP(-LN(2)/2))/(LN(2)/2)*DB64*DE64*VLOOKUP('Données projet'!$B$13,Paramètres!$A$1:$I$89,3,0)*0.475*44/12</f>
        <v>6.3259253868708492E-4</v>
      </c>
      <c r="DI64" s="22">
        <f t="shared" si="15"/>
        <v>12.153772909263067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>
        <f>DO64*VLOOKUP('Données projet'!$B$14,Paramètres!$A$1:$I$89,3,0)*VLOOKUP('Données projet'!$B$14,Paramètres!$A$1:$I$89,5,0)</f>
        <v>208.88867999999994</v>
      </c>
      <c r="DQ64" s="13">
        <f t="shared" si="43"/>
        <v>51.692659373318428</v>
      </c>
      <c r="DR64" s="20">
        <f t="shared" si="16"/>
        <v>453.84583274186275</v>
      </c>
      <c r="DS64" s="59">
        <f t="shared" si="17"/>
        <v>715.65801418699209</v>
      </c>
      <c r="DT64" s="59">
        <f ca="1">AVERAGE(OFFSET($DS$3,0,0,'Données projet'!$E$14+1,1))-AVERAGE(OFFSET($H$3,0,0,'Données projet'!$E$14+1,1))</f>
        <v>368.03281986807173</v>
      </c>
      <c r="DU64" s="59">
        <f t="shared" si="44"/>
        <v>395.83504504492248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1.3204120976269045</v>
      </c>
      <c r="EB64" s="21">
        <f>EXP(-LN(2)/25)*EB63+(1-EXP(-LN(2)/25))/(LN(2)/25)*Calculateur!DW64*Calculateur!DY64*VLOOKUP('Données projet'!$B$14,Paramètres!$A$1:$I$89,3,0)*0.475*44/12</f>
        <v>6.4954915396449193</v>
      </c>
      <c r="EC64" s="21">
        <f>EXP(-LN(2)/2)*EC63+(1-EXP(-LN(2)/2))/(LN(2)/2)*DW64*DZ64*VLOOKUP('Données projet'!$B$14,Paramètres!$A$1:$I$89,3,0)*0.475*44/12</f>
        <v>4.7805709196509217E-4</v>
      </c>
      <c r="ED64" s="22">
        <f t="shared" si="18"/>
        <v>7.8163816943637885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2.125</v>
      </c>
      <c r="EJ64" s="12">
        <f>IF('Données projet'!$A$192&gt;35,EJ63+EI64-ER63,IF(A64&lt;'Données projet'!$A$192,$EG$205^A64,IF(A64='Données projet'!$A$192,'Données projet'!$B$192,EJ63+EI64-ER63)))</f>
        <v>238.875</v>
      </c>
      <c r="EK64" s="17">
        <f>EJ64*VLOOKUP('Données projet'!$B$15,Paramètres!$A$1:$I$89,3,0)*VLOOKUP('Données projet'!$B$15,Paramètres!$A$1:$I$89,5,0)</f>
        <v>142.84725</v>
      </c>
      <c r="EL64" s="13">
        <f t="shared" si="45"/>
        <v>36.948504220019856</v>
      </c>
      <c r="EM64" s="20">
        <f t="shared" si="19"/>
        <v>313.1442719332012</v>
      </c>
      <c r="EN64" s="59">
        <f t="shared" si="20"/>
        <v>574.95645337833048</v>
      </c>
      <c r="EO64" s="59">
        <f ca="1">AVERAGE(OFFSET($EN$3,0,0,'Données projet'!$E$15+1,1))-AVERAGE(OFFSET($H$3,0,0,'Données projet'!$E$15+1,1))</f>
        <v>225.2264820414552</v>
      </c>
      <c r="EP64" s="59">
        <f t="shared" si="46"/>
        <v>249.91838548328681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1.1973391779955234</v>
      </c>
      <c r="EW64" s="21">
        <f>EXP(-LN(2)/25)*EW63+(1-EXP(-LN(2)/25))/(LN(2)/25)*Calculateur!ER64*Calculateur!ET64*VLOOKUP('Données projet'!$B$15,Paramètres!$A$1:$I$89,3,0)*0.475*44/12</f>
        <v>3.6645397916391027</v>
      </c>
      <c r="EX64" s="21">
        <f>EXP(-LN(2)/2)*EX63+(1-EXP(-LN(2)/2))/(LN(2)/2)*ER64*EU64*VLOOKUP('Données projet'!$B$15,Paramètres!$A$1:$I$89,3,0)*0.475*44/12</f>
        <v>8.7299086653233937E-5</v>
      </c>
      <c r="EY64" s="22">
        <f t="shared" si="21"/>
        <v>4.8619662687212788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15.8</v>
      </c>
      <c r="FE64" s="12">
        <f>IF('Données projet'!$A$218&gt;35,FE63+FD64-FM63,IF(A64&lt;'Données projet'!$A$218,$FB$205^A64,IF(A64='Données projet'!$A$218,'Données projet'!$B$218,FE63+FD64-FM63)))</f>
        <v>598.79999999999939</v>
      </c>
      <c r="FF64" s="17">
        <f>FE64*VLOOKUP('Données projet'!$B$16,Paramètres!$A$1:$I$89,3,0)*VLOOKUP('Données projet'!$B$16,Paramètres!$A$1:$I$89,5,0)</f>
        <v>334.72919999999971</v>
      </c>
      <c r="FG64" s="13">
        <f t="shared" si="47"/>
        <v>78.409977536916543</v>
      </c>
      <c r="FH64" s="20">
        <f t="shared" si="22"/>
        <v>719.55073421012912</v>
      </c>
      <c r="FI64" s="59">
        <f t="shared" si="23"/>
        <v>981.36291565525846</v>
      </c>
      <c r="FJ64" s="59">
        <f ca="1">AVERAGE(OFFSET($FI$3,0,0,'Données projet'!$E$16+1,1))-AVERAGE(OFFSET($H$3,0,0,'Données projet'!$E$16+1,1))</f>
        <v>549.85684198202534</v>
      </c>
      <c r="FK64" s="59">
        <f t="shared" si="48"/>
        <v>539.63748606275431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6.1806523718706146</v>
      </c>
      <c r="FR64" s="21">
        <f>EXP(-LN(2)/25)*FR63+(1-EXP(-LN(2)/25))/(LN(2)/25)*Calculateur!FM64*Calculateur!FO64*VLOOKUP('Données projet'!$B$16,Paramètres!$A$1:$I$89,3,0)*0.475*44/12</f>
        <v>16.40967440820738</v>
      </c>
      <c r="FS64" s="21">
        <f>EXP(-LN(2)/2)*FS63+(1-EXP(-LN(2)/2))/(LN(2)/2)*FM64*FP64*VLOOKUP('Données projet'!$B$16,Paramètres!$A$1:$I$89,3,0)*0.475*44/12</f>
        <v>7.8703374328136075E-4</v>
      </c>
      <c r="FT64" s="22">
        <f t="shared" si="24"/>
        <v>22.591113813821277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13.4</v>
      </c>
      <c r="FZ64" s="12">
        <f>IF('Données projet'!$A$244&gt;35,FZ63+FY64-GH63,IF(A64&lt;'Données projet'!$A$244,$FW$205^A64,IF(A64='Données projet'!$A$244,'Données projet'!$B$244,FZ63+FY64-GH63)))</f>
        <v>505.39999999999964</v>
      </c>
      <c r="GA64" s="17">
        <f>FZ64*VLOOKUP('Données projet'!$B$17,Paramètres!$A$1:$I$89,3,0)*VLOOKUP('Données projet'!$B$17,Paramètres!$A$1:$I$89,5,0)</f>
        <v>302.22919999999982</v>
      </c>
      <c r="GB64" s="13">
        <f t="shared" si="49"/>
        <v>71.643587874848905</v>
      </c>
      <c r="GC64" s="20">
        <f t="shared" si="25"/>
        <v>651.16177221536145</v>
      </c>
      <c r="GD64" s="59">
        <f t="shared" si="26"/>
        <v>912.97395366049079</v>
      </c>
      <c r="GE64" s="59">
        <f ca="1">AVERAGE(OFFSET($GD$3,0,0,'Données projet'!$E$17+1,1))-AVERAGE(OFFSET($H$3,0,0,'Données projet'!$E$17+1,1))</f>
        <v>495.6641415122013</v>
      </c>
      <c r="GF64" s="59">
        <f t="shared" si="50"/>
        <v>488.90534169400757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2.1638816760714037</v>
      </c>
      <c r="GM64" s="21">
        <f>EXP(-LN(2)/25)*GM63+(1-EXP(-LN(2)/25))/(LN(2)/25)*Calculateur!GH64*Calculateur!GJ64*VLOOKUP('Données projet'!$B$17,Paramètres!$A$1:$I$89,3,0)*0.475*44/12</f>
        <v>11.009845178183364</v>
      </c>
      <c r="GN64" s="21">
        <f>EXP(-LN(2)/2)*GN63+(1-EXP(-LN(2)/2))/(LN(2)/2)*GH64*GK64*VLOOKUP('Données projet'!$B$17,Paramètres!$A$1:$I$89,3,0)*0.475*44/12</f>
        <v>7.5007813574232585E-4</v>
      </c>
      <c r="GO64" s="21">
        <f t="shared" si="27"/>
        <v>13.174476932390508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13.4</v>
      </c>
      <c r="GU64" s="12">
        <f>IF('Données projet'!$A$270&gt;35,GU63+GT64-HC63,IF(A64&lt;'Données projet'!$A$270,$GR$205^A64,IF(A64='Données projet'!$A$270,'Données projet'!$B$270,GU63+GT64-HC63)))</f>
        <v>505.39999999999964</v>
      </c>
      <c r="GV64" s="17">
        <f>GU64*VLOOKUP('Données projet'!$B$18,Paramètres!$A$1:$I$89,3,0)*VLOOKUP('Données projet'!$B$18,Paramètres!$A$1:$I$89,5,0)</f>
        <v>302.22919999999982</v>
      </c>
      <c r="GW64" s="13">
        <f t="shared" si="51"/>
        <v>71.643587874848905</v>
      </c>
      <c r="GX64" s="20">
        <f t="shared" si="28"/>
        <v>651.16177221536145</v>
      </c>
      <c r="GY64" s="59">
        <f t="shared" si="29"/>
        <v>912.97395366049079</v>
      </c>
      <c r="GZ64" s="59">
        <f ca="1">AVERAGE(OFFSET($GY$3,0,0,'Données projet'!$E$18+1,1))-AVERAGE(OFFSET($H$3,0,0,'Données projet'!$E$18+1,1))</f>
        <v>-18.333333333333343</v>
      </c>
      <c r="HA64" s="59">
        <f t="shared" si="52"/>
        <v>-18.333333333333343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2.1638816760714037</v>
      </c>
      <c r="HH64" s="21">
        <f>EXP(-LN(2)/25)*HH63+(1-EXP(-LN(2)/25))/(LN(2)/25)*Calculateur!HC64*Calculateur!HE64*VLOOKUP('Données projet'!$B$18,Paramètres!$A$1:$I$89,3,0)*0.475*44/12</f>
        <v>11.009845178183364</v>
      </c>
      <c r="HI64" s="21">
        <f>EXP(-LN(2)/2)*HI63+(1-EXP(-LN(2)/2))/(LN(2)/2)*HC64*HF64*VLOOKUP('Données projet'!$B$18,Paramètres!$A$1:$I$89,3,0)*0.475*44/12</f>
        <v>7.5007813574232585E-4</v>
      </c>
      <c r="HJ64" s="22">
        <f t="shared" si="30"/>
        <v>13.174476932390508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322.39999999999986</v>
      </c>
      <c r="O65" s="13">
        <f>N65*VLOOKUP('Données projet'!$B$9,Paramètres!$A$1:$I$89,3,0)*VLOOKUP('Données projet'!$B$9,Paramètres!$A$1:$I$89,5,0)</f>
        <v>150.88319999999993</v>
      </c>
      <c r="P65" s="13">
        <f t="shared" si="33"/>
        <v>38.779227360583164</v>
      </c>
      <c r="Q65" s="20">
        <f t="shared" si="53"/>
        <v>330.32872765301551</v>
      </c>
      <c r="R65" s="59">
        <f t="shared" si="0"/>
        <v>592.68773061266688</v>
      </c>
      <c r="S65" s="59">
        <f ca="1">AVERAGE(OFFSET($R$3,0,0,'Données projet'!$E$9+1,1))-AVERAGE(OFFSET($H$3,0,0,'Données projet'!$E$9+1,1))</f>
        <v>376.11581547534814</v>
      </c>
      <c r="T65" s="59">
        <f t="shared" si="34"/>
        <v>300.91675649863294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1.6632294092766344</v>
      </c>
      <c r="AA65" s="21">
        <f>EXP(-LN(2)/25)*AA64+(1-EXP(-LN(2)/25))/(LN(2)/25)*Calculateur!V65*Calculateur!X65*VLOOKUP('Données projet'!$B$9,Paramètres!$A$1:$I$89,3,0)*0.475*44/12</f>
        <v>3.2348449392072207</v>
      </c>
      <c r="AB65" s="21">
        <f>EXP(-LN(2)/2)*AB64+(1-EXP(-LN(2)/2))/(LN(2)/2)*V65*Y65*VLOOKUP('Données projet'!$B$9,Paramètres!$A$1:$I$89,3,0)*0.475*44/12</f>
        <v>1.5002710693811023E-4</v>
      </c>
      <c r="AC65" s="22">
        <f t="shared" si="3"/>
        <v>4.898224375590793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237.05759999999998</v>
      </c>
      <c r="AK65" s="13">
        <f t="shared" si="35"/>
        <v>57.806004997354641</v>
      </c>
      <c r="AL65" s="20">
        <f t="shared" si="4"/>
        <v>513.55411203705933</v>
      </c>
      <c r="AM65" s="59">
        <f t="shared" si="5"/>
        <v>775.91311499671065</v>
      </c>
      <c r="AN65" s="59">
        <f ca="1">AVERAGE(OFFSET($AM$3,0,0,'Données projet'!$E$10+1,1))-AVERAGE(OFFSET($H$3,0,0,'Données projet'!$E$10+1,1))</f>
        <v>505.38595282220405</v>
      </c>
      <c r="AO65" s="59">
        <f t="shared" si="36"/>
        <v>351.72130415456365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1.2779938393587942</v>
      </c>
      <c r="AV65" s="21">
        <f>EXP(-LN(2)/25)*AV64+(1-EXP(-LN(2)/25))/(LN(2)/25)*Calculateur!AQ65*Calculateur!AS65*VLOOKUP('Données projet'!$B$10,Paramètres!$A$1:$I$89,3,0)*0.475*44/12</f>
        <v>4.6462139420605588</v>
      </c>
      <c r="AW65" s="21">
        <f>EXP(-LN(2)/2)*AW64+(1-EXP(-LN(2)/2))/(LN(2)/2)*AQ65*AT65*VLOOKUP('Données projet'!$B$10,Paramètres!$A$1:$I$89,3,0)*0.475*44/12</f>
        <v>3.2887781942911727E-4</v>
      </c>
      <c r="AX65" s="21">
        <f t="shared" si="6"/>
        <v>5.9245366592387825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230.56487999999993</v>
      </c>
      <c r="BF65" s="13">
        <f t="shared" si="37"/>
        <v>56.404804351341944</v>
      </c>
      <c r="BG65" s="20">
        <f t="shared" si="7"/>
        <v>499.80553357858707</v>
      </c>
      <c r="BH65" s="59">
        <f t="shared" si="8"/>
        <v>762.16453653823839</v>
      </c>
      <c r="BI65" s="59">
        <f ca="1">AVERAGE(OFFSET($BH$3,0,0,'Données projet'!$E$11+1,1))-AVERAGE(OFFSET($H$3,0,0,'Données projet'!$E$11+1,1))</f>
        <v>394.14657090341535</v>
      </c>
      <c r="BJ65" s="59">
        <f t="shared" si="38"/>
        <v>424.06445894109982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1.7313639473670921</v>
      </c>
      <c r="BQ65" s="21">
        <f>EXP(-LN(2)/25)*BQ64+(1-EXP(-LN(2)/25))/(LN(2)/25)*Calculateur!BL65*Calculateur!BN65*VLOOKUP('Données projet'!$B$11,Paramètres!$A$1:$I$89,3,0)*0.475*44/12</f>
        <v>8.4498802410210132</v>
      </c>
      <c r="BR65" s="21">
        <f>EXP(-LN(2)/2)*BR64+(1-EXP(-LN(2)/2))/(LN(2)/2)*BL65*BO65*VLOOKUP('Données projet'!$B$11,Paramètres!$A$1:$I$89,3,0)*0.475*44/12</f>
        <v>3.6680655292903574E-4</v>
      </c>
      <c r="BS65" s="22">
        <f t="shared" si="9"/>
        <v>10.181610994941034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9.8000000000000007</v>
      </c>
      <c r="BY65" s="12">
        <f>IF('Données projet'!$A$114&gt;35,BY64+BX65-CG64,IF(A65&lt;'Données projet'!$A$114,$BV$205^A65,IF(A65='Données projet'!$A$114,'Données projet'!$B$114,BY64+BX65-CG64)))</f>
        <v>385.60000000000025</v>
      </c>
      <c r="BZ65" s="13">
        <f>BY65*VLOOKUP('Données projet'!$B$12,Paramètres!$A$1:$I$89,3,0)*VLOOKUP('Données projet'!$B$12,Paramètres!$A$1:$I$89,5,0)</f>
        <v>210.53760000000014</v>
      </c>
      <c r="CA65" s="13">
        <f t="shared" si="39"/>
        <v>52.053047337322276</v>
      </c>
      <c r="CB65" s="20">
        <f t="shared" si="10"/>
        <v>457.3453774458365</v>
      </c>
      <c r="CC65" s="59">
        <f t="shared" si="11"/>
        <v>719.70438040548788</v>
      </c>
      <c r="CD65" s="59">
        <f ca="1">AVERAGE(OFFSET($CC$3,0,0,'Données projet'!$E$12+1,1))-AVERAGE(OFFSET($H$3,0,0,'Données projet'!$E$12+1,1))</f>
        <v>382.09004346384319</v>
      </c>
      <c r="CE65" s="59">
        <f t="shared" si="40"/>
        <v>410.18893995284986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4.5196093276441704</v>
      </c>
      <c r="CL65" s="21">
        <f>EXP(-LN(2)/25)*CL64+(1-EXP(-LN(2)/25))/(LN(2)/25)*Calculateur!CG65*Calculateur!CI65*VLOOKUP('Données projet'!$B$12,Paramètres!$A$1:$I$89,3,0)*0.475*44/12</f>
        <v>14.016588345530682</v>
      </c>
      <c r="CM65" s="21">
        <f>EXP(-LN(2)/2)*CM64+(1-EXP(-LN(2)/2))/(LN(2)/2)*CG65*CJ65*VLOOKUP('Données projet'!$B$12,Paramètres!$A$1:$I$89,3,0)*0.475*44/12</f>
        <v>3.8425332816873555E-4</v>
      </c>
      <c r="CN65" s="22">
        <f t="shared" si="12"/>
        <v>18.536581926503022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227.19999999999996</v>
      </c>
      <c r="CU65" s="17">
        <f>CT65*VLOOKUP('Données projet'!$B$13,Paramètres!$A$1:$I$89,3,0)*VLOOKUP('Données projet'!$B$13,Paramètres!$A$1:$I$89,5,0)</f>
        <v>198.48191999999997</v>
      </c>
      <c r="CV65" s="13">
        <f t="shared" si="41"/>
        <v>49.410391887159271</v>
      </c>
      <c r="CW65" s="20">
        <f t="shared" si="13"/>
        <v>431.74577653680234</v>
      </c>
      <c r="CX65" s="59">
        <f t="shared" si="14"/>
        <v>694.1047794964536</v>
      </c>
      <c r="CY65" s="59">
        <f ca="1">AVERAGE(OFFSET($CX$3,0,0,'Données projet'!$E$13+1,1))-AVERAGE(OFFSET($H$3,0,0,'Données projet'!$E$13+1,1))</f>
        <v>363.02374534486341</v>
      </c>
      <c r="CZ65" s="59">
        <f t="shared" si="42"/>
        <v>489.00477393029598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3.8780502711577203</v>
      </c>
      <c r="DG65" s="21">
        <f>EXP(-LN(2)/25)*DG64+(1-EXP(-LN(2)/25))/(LN(2)/25)*Calculateur!DB65*Calculateur!DD65*VLOOKUP('Données projet'!$B$13,Paramètres!$A$1:$I$89,3,0)*0.475*44/12</f>
        <v>7.9733611067070038</v>
      </c>
      <c r="DH65" s="21">
        <f>EXP(-LN(2)/2)*DH64+(1-EXP(-LN(2)/2))/(LN(2)/2)*DB65*DE65*VLOOKUP('Données projet'!$B$13,Paramètres!$A$1:$I$89,3,0)*0.475*44/12</f>
        <v>4.4731047383365116E-4</v>
      </c>
      <c r="DI65" s="22">
        <f t="shared" si="15"/>
        <v>11.851858688338559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>
        <f>DO65*VLOOKUP('Données projet'!$B$14,Paramètres!$A$1:$I$89,3,0)*VLOOKUP('Données projet'!$B$14,Paramètres!$A$1:$I$89,5,0)</f>
        <v>212.48135999999991</v>
      </c>
      <c r="DQ65" s="13">
        <f t="shared" si="43"/>
        <v>52.477454024498286</v>
      </c>
      <c r="DR65" s="20">
        <f t="shared" si="16"/>
        <v>461.46993442600098</v>
      </c>
      <c r="DS65" s="59">
        <f t="shared" si="17"/>
        <v>723.82893738565235</v>
      </c>
      <c r="DT65" s="59">
        <f ca="1">AVERAGE(OFFSET($DS$3,0,0,'Données projet'!$E$14+1,1))-AVERAGE(OFFSET($H$3,0,0,'Données projet'!$E$14+1,1))</f>
        <v>368.03281986807173</v>
      </c>
      <c r="DU65" s="59">
        <f t="shared" si="44"/>
        <v>395.83504504492248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1.2945196217642965</v>
      </c>
      <c r="EB65" s="21">
        <f>EXP(-LN(2)/25)*EB64+(1-EXP(-LN(2)/25))/(LN(2)/25)*Calculateur!DW65*Calculateur!DY65*VLOOKUP('Données projet'!$B$14,Paramètres!$A$1:$I$89,3,0)*0.475*44/12</f>
        <v>6.3178719819102742</v>
      </c>
      <c r="EC65" s="21">
        <f>EXP(-LN(2)/2)*EC64+(1-EXP(-LN(2)/2))/(LN(2)/2)*DW65*DZ65*VLOOKUP('Données projet'!$B$14,Paramètres!$A$1:$I$89,3,0)*0.475*44/12</f>
        <v>3.3803741152283769E-4</v>
      </c>
      <c r="ED65" s="22">
        <f t="shared" si="18"/>
        <v>7.6127296410860934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241</v>
      </c>
      <c r="EH65" s="12">
        <f>VLOOKUP(A65,'Données projet'!$A$191:$I$211,9,0)</f>
        <v>2.125</v>
      </c>
      <c r="EI65" s="12">
        <f t="array" ref="EI65">INDEX(EH:EH,MIN(IF(ISNUMBER(EH65:EH261),ROW(EH65:EH261),"")))</f>
        <v>2.125</v>
      </c>
      <c r="EJ65" s="12">
        <f>IF('Données projet'!$A$192&gt;35,EJ64+EI65-ER64,IF(A65&lt;'Données projet'!$A$192,$EG$205^A65,IF(A65='Données projet'!$A$192,'Données projet'!$B$192,EJ64+EI65-ER64)))</f>
        <v>241</v>
      </c>
      <c r="EK65" s="17">
        <f>EJ65*VLOOKUP('Données projet'!$B$15,Paramètres!$A$1:$I$89,3,0)*VLOOKUP('Données projet'!$B$15,Paramètres!$A$1:$I$89,5,0)</f>
        <v>144.11799999999999</v>
      </c>
      <c r="EL65" s="13">
        <f t="shared" si="45"/>
        <v>37.238783899454731</v>
      </c>
      <c r="EM65" s="20">
        <f t="shared" si="19"/>
        <v>315.8630652915503</v>
      </c>
      <c r="EN65" s="59">
        <f t="shared" si="20"/>
        <v>578.22206825120156</v>
      </c>
      <c r="EO65" s="59">
        <f ca="1">AVERAGE(OFFSET($EN$3,0,0,'Données projet'!$E$15+1,1))-AVERAGE(OFFSET($H$3,0,0,'Données projet'!$E$15+1,1))</f>
        <v>225.2264820414552</v>
      </c>
      <c r="EP65" s="59">
        <f t="shared" si="46"/>
        <v>249.91838548328681</v>
      </c>
      <c r="EQ65" s="15">
        <f>IF(ISNA(VLOOKUP(A65,'Données projet'!$A$191:$I$211,3,0)),0,VLOOKUP(A65,'Données projet'!$A$191:$I$211,3,0))</f>
        <v>9</v>
      </c>
      <c r="ER65" s="15">
        <f>IF(ISNA(VLOOKUP(A65,'Données projet'!$A$191:$I$211,4,0)),0,VLOOKUP(A65,'Données projet'!$A$191:$I$211,4,0))</f>
        <v>241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1.1738600870198181</v>
      </c>
      <c r="EW65" s="21">
        <f>EXP(-LN(2)/25)*EW64+(1-EXP(-LN(2)/25))/(LN(2)/25)*Calculateur!ER65*Calculateur!ET65*VLOOKUP('Données projet'!$B$15,Paramètres!$A$1:$I$89,3,0)*0.475*44/12</f>
        <v>3.5643327583269593</v>
      </c>
      <c r="EX65" s="21">
        <f>EXP(-LN(2)/2)*EX64+(1-EXP(-LN(2)/2))/(LN(2)/2)*ER65*EU65*VLOOKUP('Données projet'!$B$15,Paramètres!$A$1:$I$89,3,0)*0.475*44/12</f>
        <v>6.1729776163893741E-5</v>
      </c>
      <c r="EY65" s="22">
        <f t="shared" si="21"/>
        <v>4.7382545751229408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15.8</v>
      </c>
      <c r="FE65" s="12">
        <f>IF('Données projet'!$A$218&gt;35,FE64+FD65-FM64,IF(A65&lt;'Données projet'!$A$218,$FB$205^A65,IF(A65='Données projet'!$A$218,'Données projet'!$B$218,FE64+FD65-FM64)))</f>
        <v>614.59999999999934</v>
      </c>
      <c r="FF65" s="17">
        <f>FE65*VLOOKUP('Données projet'!$B$16,Paramètres!$A$1:$I$89,3,0)*VLOOKUP('Données projet'!$B$16,Paramètres!$A$1:$I$89,5,0)</f>
        <v>343.56139999999965</v>
      </c>
      <c r="FG65" s="13">
        <f t="shared" si="47"/>
        <v>80.235307380202258</v>
      </c>
      <c r="FH65" s="20">
        <f t="shared" si="22"/>
        <v>738.11259868718491</v>
      </c>
      <c r="FI65" s="59">
        <f t="shared" si="23"/>
        <v>1000.4716016468362</v>
      </c>
      <c r="FJ65" s="59">
        <f ca="1">AVERAGE(OFFSET($FI$3,0,0,'Données projet'!$E$16+1,1))-AVERAGE(OFFSET($H$3,0,0,'Données projet'!$E$16+1,1))</f>
        <v>549.85684198202534</v>
      </c>
      <c r="FK65" s="59">
        <f t="shared" si="48"/>
        <v>539.63748606275431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6.0594535486839396</v>
      </c>
      <c r="FR65" s="21">
        <f>EXP(-LN(2)/25)*FR64+(1-EXP(-LN(2)/25))/(LN(2)/25)*Calculateur!FM65*Calculateur!FO65*VLOOKUP('Données projet'!$B$16,Paramètres!$A$1:$I$89,3,0)*0.475*44/12</f>
        <v>15.960950998567677</v>
      </c>
      <c r="FS65" s="21">
        <f>EXP(-LN(2)/2)*FS64+(1-EXP(-LN(2)/2))/(LN(2)/2)*FM65*FP65*VLOOKUP('Données projet'!$B$16,Paramètres!$A$1:$I$89,3,0)*0.475*44/12</f>
        <v>5.5651689689688256E-4</v>
      </c>
      <c r="FT65" s="22">
        <f t="shared" si="24"/>
        <v>22.020961064148512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13.4</v>
      </c>
      <c r="FZ65" s="12">
        <f>IF('Données projet'!$A$244&gt;35,FZ64+FY65-GH64,IF(A65&lt;'Données projet'!$A$244,$FW$205^A65,IF(A65='Données projet'!$A$244,'Données projet'!$B$244,FZ64+FY65-GH64)))</f>
        <v>518.79999999999961</v>
      </c>
      <c r="GA65" s="17">
        <f>FZ65*VLOOKUP('Données projet'!$B$17,Paramètres!$A$1:$I$89,3,0)*VLOOKUP('Données projet'!$B$17,Paramètres!$A$1:$I$89,5,0)</f>
        <v>310.2423999999998</v>
      </c>
      <c r="GB65" s="13">
        <f t="shared" si="49"/>
        <v>73.319450636462932</v>
      </c>
      <c r="GC65" s="20">
        <f t="shared" si="25"/>
        <v>668.0368898585059</v>
      </c>
      <c r="GD65" s="59">
        <f t="shared" si="26"/>
        <v>930.39589281815722</v>
      </c>
      <c r="GE65" s="59">
        <f ca="1">AVERAGE(OFFSET($GD$3,0,0,'Données projet'!$E$17+1,1))-AVERAGE(OFFSET($H$3,0,0,'Données projet'!$E$17+1,1))</f>
        <v>495.6641415122013</v>
      </c>
      <c r="GF65" s="59">
        <f t="shared" si="50"/>
        <v>488.90534169400757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2.1214492762411425</v>
      </c>
      <c r="GM65" s="21">
        <f>EXP(-LN(2)/25)*GM64+(1-EXP(-LN(2)/25))/(LN(2)/25)*Calculateur!GH65*Calculateur!GJ65*VLOOKUP('Données projet'!$B$17,Paramètres!$A$1:$I$89,3,0)*0.475*44/12</f>
        <v>10.708780382803345</v>
      </c>
      <c r="GN65" s="21">
        <f>EXP(-LN(2)/2)*GN64+(1-EXP(-LN(2)/2))/(LN(2)/2)*GH65*GK65*VLOOKUP('Données projet'!$B$17,Paramètres!$A$1:$I$89,3,0)*0.475*44/12</f>
        <v>5.3038533620316229E-4</v>
      </c>
      <c r="GO65" s="21">
        <f t="shared" si="27"/>
        <v>12.830760044380691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13.4</v>
      </c>
      <c r="GU65" s="12">
        <f>IF('Données projet'!$A$270&gt;35,GU64+GT65-HC64,IF(A65&lt;'Données projet'!$A$270,$GR$205^A65,IF(A65='Données projet'!$A$270,'Données projet'!$B$270,GU64+GT65-HC64)))</f>
        <v>518.79999999999961</v>
      </c>
      <c r="GV65" s="17">
        <f>GU65*VLOOKUP('Données projet'!$B$18,Paramètres!$A$1:$I$89,3,0)*VLOOKUP('Données projet'!$B$18,Paramètres!$A$1:$I$89,5,0)</f>
        <v>310.2423999999998</v>
      </c>
      <c r="GW65" s="13">
        <f t="shared" si="51"/>
        <v>73.319450636462932</v>
      </c>
      <c r="GX65" s="20">
        <f t="shared" si="28"/>
        <v>668.0368898585059</v>
      </c>
      <c r="GY65" s="59">
        <f t="shared" si="29"/>
        <v>930.39589281815722</v>
      </c>
      <c r="GZ65" s="59">
        <f ca="1">AVERAGE(OFFSET($GY$3,0,0,'Données projet'!$E$18+1,1))-AVERAGE(OFFSET($H$3,0,0,'Données projet'!$E$18+1,1))</f>
        <v>-18.333333333333343</v>
      </c>
      <c r="HA65" s="59">
        <f t="shared" si="52"/>
        <v>-18.333333333333343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2.1214492762411425</v>
      </c>
      <c r="HH65" s="21">
        <f>EXP(-LN(2)/25)*HH64+(1-EXP(-LN(2)/25))/(LN(2)/25)*Calculateur!HC65*Calculateur!HE65*VLOOKUP('Données projet'!$B$18,Paramètres!$A$1:$I$89,3,0)*0.475*44/12</f>
        <v>10.708780382803345</v>
      </c>
      <c r="HI65" s="21">
        <f>EXP(-LN(2)/2)*HI64+(1-EXP(-LN(2)/2))/(LN(2)/2)*HC65*HF65*VLOOKUP('Données projet'!$B$18,Paramètres!$A$1:$I$89,3,0)*0.475*44/12</f>
        <v>5.3038533620316229E-4</v>
      </c>
      <c r="HJ65" s="22">
        <f t="shared" si="30"/>
        <v>12.830760044380691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337.89999999999986</v>
      </c>
      <c r="O66" s="13">
        <f>N66*VLOOKUP('Données projet'!$B$9,Paramètres!$A$1:$I$89,3,0)*VLOOKUP('Données projet'!$B$9,Paramètres!$A$1:$I$89,5,0)</f>
        <v>158.13719999999995</v>
      </c>
      <c r="P66" s="13">
        <f t="shared" si="33"/>
        <v>40.422069728367696</v>
      </c>
      <c r="Q66" s="20">
        <f t="shared" si="53"/>
        <v>345.82406144357361</v>
      </c>
      <c r="R66" s="59">
        <f t="shared" si="0"/>
        <v>608.72039978697967</v>
      </c>
      <c r="S66" s="59">
        <f ca="1">AVERAGE(OFFSET($R$3,0,0,'Données projet'!$E$9+1,1))-AVERAGE(OFFSET($H$3,0,0,'Données projet'!$E$9+1,1))</f>
        <v>376.11581547534814</v>
      </c>
      <c r="T66" s="59">
        <f t="shared" si="34"/>
        <v>300.91675649863294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1.6306144950304886</v>
      </c>
      <c r="AA66" s="21">
        <f>EXP(-LN(2)/25)*AA65+(1-EXP(-LN(2)/25))/(LN(2)/25)*Calculateur!V66*Calculateur!X66*VLOOKUP('Données projet'!$B$9,Paramètres!$A$1:$I$89,3,0)*0.475*44/12</f>
        <v>3.1463879342314973</v>
      </c>
      <c r="AB66" s="21">
        <f>EXP(-LN(2)/2)*AB65+(1-EXP(-LN(2)/2))/(LN(2)/2)*V66*Y66*VLOOKUP('Données projet'!$B$9,Paramètres!$A$1:$I$89,3,0)*0.475*44/12</f>
        <v>1.0608518467773708E-4</v>
      </c>
      <c r="AC66" s="22">
        <f t="shared" si="3"/>
        <v>4.7771085144466632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244.74839999999998</v>
      </c>
      <c r="AK66" s="13">
        <f t="shared" si="35"/>
        <v>59.460004038665112</v>
      </c>
      <c r="AL66" s="20">
        <f t="shared" si="4"/>
        <v>529.82963703400833</v>
      </c>
      <c r="AM66" s="59">
        <f t="shared" si="5"/>
        <v>792.72597537741444</v>
      </c>
      <c r="AN66" s="59">
        <f ca="1">AVERAGE(OFFSET($AM$3,0,0,'Données projet'!$E$10+1,1))-AVERAGE(OFFSET($H$3,0,0,'Données projet'!$E$10+1,1))</f>
        <v>505.38595282220405</v>
      </c>
      <c r="AO66" s="59">
        <f t="shared" si="36"/>
        <v>351.72130415456365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1.2529331596682411</v>
      </c>
      <c r="AV66" s="21">
        <f>EXP(-LN(2)/25)*AV65+(1-EXP(-LN(2)/25))/(LN(2)/25)*Calculateur!AQ66*Calculateur!AS66*VLOOKUP('Données projet'!$B$10,Paramètres!$A$1:$I$89,3,0)*0.475*44/12</f>
        <v>4.519162977481141</v>
      </c>
      <c r="AW66" s="21">
        <f>EXP(-LN(2)/2)*AW65+(1-EXP(-LN(2)/2))/(LN(2)/2)*AQ66*AT66*VLOOKUP('Données projet'!$B$10,Paramètres!$A$1:$I$89,3,0)*0.475*44/12</f>
        <v>2.3255173630017372E-4</v>
      </c>
      <c r="AX66" s="21">
        <f t="shared" si="6"/>
        <v>5.7723286888856817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234.46331999999992</v>
      </c>
      <c r="BF66" s="13">
        <f t="shared" si="37"/>
        <v>57.24667349069928</v>
      </c>
      <c r="BG66" s="20">
        <f t="shared" si="7"/>
        <v>508.06157199630115</v>
      </c>
      <c r="BH66" s="59">
        <f t="shared" si="8"/>
        <v>770.95791033970727</v>
      </c>
      <c r="BI66" s="59">
        <f ca="1">AVERAGE(OFFSET($BH$3,0,0,'Données projet'!$E$11+1,1))-AVERAGE(OFFSET($H$3,0,0,'Données projet'!$E$11+1,1))</f>
        <v>394.14657090341535</v>
      </c>
      <c r="BJ66" s="59">
        <f t="shared" si="38"/>
        <v>424.06445894109982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1.6974129563869573</v>
      </c>
      <c r="BQ66" s="21">
        <f>EXP(-LN(2)/25)*BQ65+(1-EXP(-LN(2)/25))/(LN(2)/25)*Calculateur!BL66*Calculateur!BN66*VLOOKUP('Données projet'!$B$11,Paramètres!$A$1:$I$89,3,0)*0.475*44/12</f>
        <v>8.2188178214704042</v>
      </c>
      <c r="BR66" s="21">
        <f>EXP(-LN(2)/2)*BR65+(1-EXP(-LN(2)/2))/(LN(2)/2)*BL66*BO66*VLOOKUP('Données projet'!$B$11,Paramètres!$A$1:$I$89,3,0)*0.475*44/12</f>
        <v>2.5937140095978344E-4</v>
      </c>
      <c r="BS66" s="22">
        <f t="shared" si="9"/>
        <v>9.9164901492583208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9.8000000000000007</v>
      </c>
      <c r="BY66" s="12">
        <f>IF('Données projet'!$A$114&gt;35,BY65+BX66-CG65,IF(A66&lt;'Données projet'!$A$114,$BV$205^A66,IF(A66='Données projet'!$A$114,'Données projet'!$B$114,BY65+BX66-CG65)))</f>
        <v>395.40000000000026</v>
      </c>
      <c r="BZ66" s="13">
        <f>BY66*VLOOKUP('Données projet'!$B$12,Paramètres!$A$1:$I$89,3,0)*VLOOKUP('Données projet'!$B$12,Paramètres!$A$1:$I$89,5,0)</f>
        <v>215.88840000000013</v>
      </c>
      <c r="CA66" s="13">
        <f t="shared" si="39"/>
        <v>53.220270935025496</v>
      </c>
      <c r="CB66" s="20">
        <f t="shared" si="10"/>
        <v>468.69760187850301</v>
      </c>
      <c r="CC66" s="59">
        <f t="shared" si="11"/>
        <v>731.59394022190918</v>
      </c>
      <c r="CD66" s="59">
        <f ca="1">AVERAGE(OFFSET($CC$3,0,0,'Données projet'!$E$12+1,1))-AVERAGE(OFFSET($H$3,0,0,'Données projet'!$E$12+1,1))</f>
        <v>382.09004346384319</v>
      </c>
      <c r="CE66" s="59">
        <f t="shared" si="40"/>
        <v>410.18893995284986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4.4309825454185576</v>
      </c>
      <c r="CL66" s="21">
        <f>EXP(-LN(2)/25)*CL65+(1-EXP(-LN(2)/25))/(LN(2)/25)*Calculateur!CG66*Calculateur!CI66*VLOOKUP('Données projet'!$B$12,Paramètres!$A$1:$I$89,3,0)*0.475*44/12</f>
        <v>13.6333040001218</v>
      </c>
      <c r="CM66" s="21">
        <f>EXP(-LN(2)/2)*CM65+(1-EXP(-LN(2)/2))/(LN(2)/2)*CG66*CJ66*VLOOKUP('Données projet'!$B$12,Paramètres!$A$1:$I$89,3,0)*0.475*44/12</f>
        <v>2.7170813404161272E-4</v>
      </c>
      <c r="CN66" s="22">
        <f t="shared" si="12"/>
        <v>18.064558253674399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232.79999999999995</v>
      </c>
      <c r="CU66" s="17">
        <f>CT66*VLOOKUP('Données projet'!$B$13,Paramètres!$A$1:$I$89,3,0)*VLOOKUP('Données projet'!$B$13,Paramètres!$A$1:$I$89,5,0)</f>
        <v>203.37407999999999</v>
      </c>
      <c r="CV66" s="13">
        <f t="shared" si="41"/>
        <v>50.484964849140574</v>
      </c>
      <c r="CW66" s="20">
        <f t="shared" si="13"/>
        <v>442.1378364455864</v>
      </c>
      <c r="CX66" s="59">
        <f t="shared" si="14"/>
        <v>705.03417478899246</v>
      </c>
      <c r="CY66" s="59">
        <f ca="1">AVERAGE(OFFSET($CX$3,0,0,'Données projet'!$E$13+1,1))-AVERAGE(OFFSET($H$3,0,0,'Données projet'!$E$13+1,1))</f>
        <v>363.02374534486341</v>
      </c>
      <c r="CZ66" s="59">
        <f t="shared" si="42"/>
        <v>489.00477393029598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3.8020040707174214</v>
      </c>
      <c r="DG66" s="21">
        <f>EXP(-LN(2)/25)*DG65+(1-EXP(-LN(2)/25))/(LN(2)/25)*Calculateur!DB66*Calculateur!DD66*VLOOKUP('Données projet'!$B$13,Paramètres!$A$1:$I$89,3,0)*0.475*44/12</f>
        <v>7.7553291279432637</v>
      </c>
      <c r="DH66" s="21">
        <f>EXP(-LN(2)/2)*DH65+(1-EXP(-LN(2)/2))/(LN(2)/2)*DB66*DE66*VLOOKUP('Données projet'!$B$13,Paramètres!$A$1:$I$89,3,0)*0.475*44/12</f>
        <v>3.1629626934354246E-4</v>
      </c>
      <c r="DI66" s="22">
        <f t="shared" si="15"/>
        <v>11.557649494930029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>
        <f>DO66*VLOOKUP('Données projet'!$B$14,Paramètres!$A$1:$I$89,3,0)*VLOOKUP('Données projet'!$B$14,Paramètres!$A$1:$I$89,5,0)</f>
        <v>216.07403999999988</v>
      </c>
      <c r="DQ66" s="13">
        <f t="shared" si="43"/>
        <v>53.260705550025733</v>
      </c>
      <c r="DR66" s="20">
        <f t="shared" si="16"/>
        <v>469.09134849962794</v>
      </c>
      <c r="DS66" s="59">
        <f t="shared" si="17"/>
        <v>731.987686843034</v>
      </c>
      <c r="DT66" s="59">
        <f ca="1">AVERAGE(OFFSET($DS$3,0,0,'Données projet'!$E$14+1,1))-AVERAGE(OFFSET($H$3,0,0,'Données projet'!$E$14+1,1))</f>
        <v>368.03281986807173</v>
      </c>
      <c r="DU66" s="59">
        <f t="shared" si="44"/>
        <v>395.83504504492248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1.2691348815605035</v>
      </c>
      <c r="EB66" s="21">
        <f>EXP(-LN(2)/25)*EB65+(1-EXP(-LN(2)/25))/(LN(2)/25)*Calculateur!DW66*Calculateur!DY66*VLOOKUP('Données projet'!$B$14,Paramètres!$A$1:$I$89,3,0)*0.475*44/12</f>
        <v>6.1451094403224902</v>
      </c>
      <c r="EC66" s="21">
        <f>EXP(-LN(2)/2)*EC65+(1-EXP(-LN(2)/2))/(LN(2)/2)*DW66*DZ66*VLOOKUP('Données projet'!$B$14,Paramètres!$A$1:$I$89,3,0)*0.475*44/12</f>
        <v>2.3902854598254614E-4</v>
      </c>
      <c r="ED66" s="22">
        <f t="shared" si="18"/>
        <v>7.4144833504289753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225.2264820414552</v>
      </c>
      <c r="EP66" s="59">
        <f t="shared" si="46"/>
        <v>249.91838548328681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1.1508414066973149</v>
      </c>
      <c r="EW66" s="21">
        <f>EXP(-LN(2)/25)*EW65+(1-EXP(-LN(2)/25))/(LN(2)/25)*Calculateur!ER66*Calculateur!ET66*VLOOKUP('Données projet'!$B$15,Paramètres!$A$1:$I$89,3,0)*0.475*44/12</f>
        <v>3.4668658916103952</v>
      </c>
      <c r="EX66" s="21">
        <f>EXP(-LN(2)/2)*EX65+(1-EXP(-LN(2)/2))/(LN(2)/2)*ER66*EU66*VLOOKUP('Données projet'!$B$15,Paramètres!$A$1:$I$89,3,0)*0.475*44/12</f>
        <v>4.3649543326616969E-5</v>
      </c>
      <c r="EY66" s="22">
        <f t="shared" si="21"/>
        <v>4.6177509478510368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15.8</v>
      </c>
      <c r="FE66" s="12">
        <f>IF('Données projet'!$A$218&gt;35,FE65+FD66-FM65,IF(A66&lt;'Données projet'!$A$218,$FB$205^A66,IF(A66='Données projet'!$A$218,'Données projet'!$B$218,FE65+FD66-FM65)))</f>
        <v>630.3999999999993</v>
      </c>
      <c r="FF66" s="17">
        <f>FE66*VLOOKUP('Données projet'!$B$16,Paramètres!$A$1:$I$89,3,0)*VLOOKUP('Données projet'!$B$16,Paramètres!$A$1:$I$89,5,0)</f>
        <v>352.39359999999965</v>
      </c>
      <c r="FG66" s="13">
        <f t="shared" si="47"/>
        <v>82.055182662578147</v>
      </c>
      <c r="FH66" s="20">
        <f t="shared" si="22"/>
        <v>756.66496313732296</v>
      </c>
      <c r="FI66" s="59">
        <f t="shared" si="23"/>
        <v>1019.5613014807291</v>
      </c>
      <c r="FJ66" s="59">
        <f ca="1">AVERAGE(OFFSET($FI$3,0,0,'Données projet'!$E$16+1,1))-AVERAGE(OFFSET($H$3,0,0,'Données projet'!$E$16+1,1))</f>
        <v>549.85684198202534</v>
      </c>
      <c r="FK66" s="59">
        <f t="shared" si="48"/>
        <v>539.63748606275431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5.9406313604959724</v>
      </c>
      <c r="FR66" s="21">
        <f>EXP(-LN(2)/25)*FR65+(1-EXP(-LN(2)/25))/(LN(2)/25)*Calculateur!FM66*Calculateur!FO66*VLOOKUP('Données projet'!$B$16,Paramètres!$A$1:$I$89,3,0)*0.475*44/12</f>
        <v>15.524497954161911</v>
      </c>
      <c r="FS66" s="21">
        <f>EXP(-LN(2)/2)*FS65+(1-EXP(-LN(2)/2))/(LN(2)/2)*FM66*FP66*VLOOKUP('Données projet'!$B$16,Paramètres!$A$1:$I$89,3,0)*0.475*44/12</f>
        <v>3.9351687164068037E-4</v>
      </c>
      <c r="FT66" s="22">
        <f t="shared" si="24"/>
        <v>21.465522831529523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13.4</v>
      </c>
      <c r="FZ66" s="12">
        <f>IF('Données projet'!$A$244&gt;35,FZ65+FY66-GH65,IF(A66&lt;'Données projet'!$A$244,$FW$205^A66,IF(A66='Données projet'!$A$244,'Données projet'!$B$244,FZ65+FY66-GH65)))</f>
        <v>532.19999999999959</v>
      </c>
      <c r="GA66" s="17">
        <f>FZ66*VLOOKUP('Données projet'!$B$17,Paramètres!$A$1:$I$89,3,0)*VLOOKUP('Données projet'!$B$17,Paramètres!$A$1:$I$89,5,0)</f>
        <v>318.25559999999979</v>
      </c>
      <c r="GB66" s="13">
        <f t="shared" si="49"/>
        <v>74.990281931282567</v>
      </c>
      <c r="GC66" s="20">
        <f t="shared" si="25"/>
        <v>684.90324436365006</v>
      </c>
      <c r="GD66" s="59">
        <f t="shared" si="26"/>
        <v>947.79958270705617</v>
      </c>
      <c r="GE66" s="59">
        <f ca="1">AVERAGE(OFFSET($GD$3,0,0,'Données projet'!$E$17+1,1))-AVERAGE(OFFSET($H$3,0,0,'Données projet'!$E$17+1,1))</f>
        <v>495.6641415122013</v>
      </c>
      <c r="GF66" s="59">
        <f t="shared" si="50"/>
        <v>488.90534169400757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2.0798489498903447</v>
      </c>
      <c r="GM66" s="21">
        <f>EXP(-LN(2)/25)*GM65+(1-EXP(-LN(2)/25))/(LN(2)/25)*Calculateur!GH66*Calculateur!GJ66*VLOOKUP('Données projet'!$B$17,Paramètres!$A$1:$I$89,3,0)*0.475*44/12</f>
        <v>10.415948220085303</v>
      </c>
      <c r="GN66" s="21">
        <f>EXP(-LN(2)/2)*GN65+(1-EXP(-LN(2)/2))/(LN(2)/2)*GH66*GK66*VLOOKUP('Données projet'!$B$17,Paramètres!$A$1:$I$89,3,0)*0.475*44/12</f>
        <v>3.7503906787116293E-4</v>
      </c>
      <c r="GO66" s="21">
        <f t="shared" si="27"/>
        <v>12.496172209043518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13.4</v>
      </c>
      <c r="GU66" s="12">
        <f>IF('Données projet'!$A$270&gt;35,GU65+GT66-HC65,IF(A66&lt;'Données projet'!$A$270,$GR$205^A66,IF(A66='Données projet'!$A$270,'Données projet'!$B$270,GU65+GT66-HC65)))</f>
        <v>532.19999999999959</v>
      </c>
      <c r="GV66" s="17">
        <f>GU66*VLOOKUP('Données projet'!$B$18,Paramètres!$A$1:$I$89,3,0)*VLOOKUP('Données projet'!$B$18,Paramètres!$A$1:$I$89,5,0)</f>
        <v>318.25559999999979</v>
      </c>
      <c r="GW66" s="13">
        <f t="shared" si="51"/>
        <v>74.990281931282567</v>
      </c>
      <c r="GX66" s="20">
        <f t="shared" si="28"/>
        <v>684.90324436365006</v>
      </c>
      <c r="GY66" s="59">
        <f t="shared" si="29"/>
        <v>947.79958270705617</v>
      </c>
      <c r="GZ66" s="59">
        <f ca="1">AVERAGE(OFFSET($GY$3,0,0,'Données projet'!$E$18+1,1))-AVERAGE(OFFSET($H$3,0,0,'Données projet'!$E$18+1,1))</f>
        <v>-18.333333333333343</v>
      </c>
      <c r="HA66" s="59">
        <f t="shared" si="52"/>
        <v>-18.333333333333343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2.0798489498903447</v>
      </c>
      <c r="HH66" s="21">
        <f>EXP(-LN(2)/25)*HH65+(1-EXP(-LN(2)/25))/(LN(2)/25)*Calculateur!HC66*Calculateur!HE66*VLOOKUP('Données projet'!$B$18,Paramètres!$A$1:$I$89,3,0)*0.475*44/12</f>
        <v>10.415948220085303</v>
      </c>
      <c r="HI66" s="21">
        <f>EXP(-LN(2)/2)*HI65+(1-EXP(-LN(2)/2))/(LN(2)/2)*HC66*HF66*VLOOKUP('Données projet'!$B$18,Paramètres!$A$1:$I$89,3,0)*0.475*44/12</f>
        <v>3.7503906787116293E-4</v>
      </c>
      <c r="HJ66" s="22">
        <f t="shared" si="30"/>
        <v>12.496172209043518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353.39999999999986</v>
      </c>
      <c r="O67" s="13">
        <f>N67*VLOOKUP('Données projet'!$B$9,Paramètres!$A$1:$I$89,3,0)*VLOOKUP('Données projet'!$B$9,Paramètres!$A$1:$I$89,5,0)</f>
        <v>165.39119999999994</v>
      </c>
      <c r="P67" s="13">
        <f t="shared" si="33"/>
        <v>42.056160358234834</v>
      </c>
      <c r="Q67" s="20">
        <f t="shared" ref="Q67:Q98" si="54">(O67+P67)*0.475*44/12</f>
        <v>361.30415262392557</v>
      </c>
      <c r="R67" s="59">
        <f t="shared" ref="R67:R130" si="55">Q67+(I67+J67)*44/12</f>
        <v>624.72850478348028</v>
      </c>
      <c r="S67" s="59">
        <f ca="1">AVERAGE(OFFSET($R$3,0,0,'Données projet'!$E$9+1,1))-AVERAGE(OFFSET($H$3,0,0,'Données projet'!$E$9+1,1))</f>
        <v>376.11581547534814</v>
      </c>
      <c r="T67" s="59">
        <f t="shared" si="34"/>
        <v>300.91675649863294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1.5986391393595765</v>
      </c>
      <c r="AA67" s="21">
        <f>EXP(-LN(2)/25)*AA66+(1-EXP(-LN(2)/25))/(LN(2)/25)*Calculateur!V67*Calculateur!X67*VLOOKUP('Données projet'!$B$9,Paramètres!$A$1:$I$89,3,0)*0.475*44/12</f>
        <v>3.0603497907085866</v>
      </c>
      <c r="AB67" s="21">
        <f>EXP(-LN(2)/2)*AB66+(1-EXP(-LN(2)/2))/(LN(2)/2)*V67*Y67*VLOOKUP('Données projet'!$B$9,Paramètres!$A$1:$I$89,3,0)*0.475*44/12</f>
        <v>7.5013553469055114E-5</v>
      </c>
      <c r="AC67" s="22">
        <f t="shared" si="3"/>
        <v>4.6590639436216321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252.4392</v>
      </c>
      <c r="AK67" s="13">
        <f t="shared" si="35"/>
        <v>61.107963296116218</v>
      </c>
      <c r="AL67" s="20">
        <f t="shared" si="4"/>
        <v>546.09464274073571</v>
      </c>
      <c r="AM67" s="59">
        <f t="shared" si="5"/>
        <v>809.51899490029041</v>
      </c>
      <c r="AN67" s="59">
        <f ca="1">AVERAGE(OFFSET($AM$3,0,0,'Données projet'!$E$10+1,1))-AVERAGE(OFFSET($H$3,0,0,'Données projet'!$E$10+1,1))</f>
        <v>505.38595282220405</v>
      </c>
      <c r="AO67" s="59">
        <f t="shared" si="36"/>
        <v>351.72130415456365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1.2283639046209145</v>
      </c>
      <c r="AV67" s="21">
        <f>EXP(-LN(2)/25)*AV66+(1-EXP(-LN(2)/25))/(LN(2)/25)*Calculateur!AQ67*Calculateur!AS67*VLOOKUP('Données projet'!$B$10,Paramètres!$A$1:$I$89,3,0)*0.475*44/12</f>
        <v>4.3955862282094671</v>
      </c>
      <c r="AW67" s="21">
        <f>EXP(-LN(2)/2)*AW66+(1-EXP(-LN(2)/2))/(LN(2)/2)*AQ67*AT67*VLOOKUP('Données projet'!$B$10,Paramètres!$A$1:$I$89,3,0)*0.475*44/12</f>
        <v>1.6443890971455866E-4</v>
      </c>
      <c r="AX67" s="21">
        <f t="shared" si="6"/>
        <v>5.6241145717400967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238.36175999999992</v>
      </c>
      <c r="BF67" s="13">
        <f t="shared" si="37"/>
        <v>58.086914779719031</v>
      </c>
      <c r="BG67" s="20">
        <f t="shared" si="7"/>
        <v>516.3147752413438</v>
      </c>
      <c r="BH67" s="59">
        <f t="shared" si="8"/>
        <v>779.7391274008985</v>
      </c>
      <c r="BI67" s="59">
        <f ca="1">AVERAGE(OFFSET($BH$3,0,0,'Données projet'!$E$11+1,1))-AVERAGE(OFFSET($H$3,0,0,'Données projet'!$E$11+1,1))</f>
        <v>394.14657090341535</v>
      </c>
      <c r="BJ67" s="59">
        <f t="shared" si="38"/>
        <v>424.06445894109982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1.6641277236318832</v>
      </c>
      <c r="BQ67" s="21">
        <f>EXP(-LN(2)/25)*BQ66+(1-EXP(-LN(2)/25))/(LN(2)/25)*Calculateur!BL67*Calculateur!BN67*VLOOKUP('Données projet'!$B$11,Paramètres!$A$1:$I$89,3,0)*0.475*44/12</f>
        <v>7.9940738159334508</v>
      </c>
      <c r="BR67" s="21">
        <f>EXP(-LN(2)/2)*BR66+(1-EXP(-LN(2)/2))/(LN(2)/2)*BL67*BO67*VLOOKUP('Données projet'!$B$11,Paramètres!$A$1:$I$89,3,0)*0.475*44/12</f>
        <v>1.8340327646451787E-4</v>
      </c>
      <c r="BS67" s="22">
        <f t="shared" si="9"/>
        <v>9.6583849428417992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9.8000000000000007</v>
      </c>
      <c r="BY67" s="12">
        <f>IF('Données projet'!$A$114&gt;35,BY66+BX67-CG66,IF(A67&lt;'Données projet'!$A$114,$BV$205^A67,IF(A67='Données projet'!$A$114,'Données projet'!$B$114,BY66+BX67-CG66)))</f>
        <v>405.20000000000027</v>
      </c>
      <c r="BZ67" s="13">
        <f>BY67*VLOOKUP('Données projet'!$B$12,Paramètres!$A$1:$I$89,3,0)*VLOOKUP('Données projet'!$B$12,Paramètres!$A$1:$I$89,5,0)</f>
        <v>221.23920000000015</v>
      </c>
      <c r="CA67" s="13">
        <f t="shared" si="39"/>
        <v>54.384131608131625</v>
      </c>
      <c r="CB67" s="20">
        <f t="shared" si="10"/>
        <v>480.04396921749617</v>
      </c>
      <c r="CC67" s="59">
        <f t="shared" si="11"/>
        <v>743.46832137705087</v>
      </c>
      <c r="CD67" s="59">
        <f ca="1">AVERAGE(OFFSET($CC$3,0,0,'Données projet'!$E$12+1,1))-AVERAGE(OFFSET($H$3,0,0,'Données projet'!$E$12+1,1))</f>
        <v>382.09004346384319</v>
      </c>
      <c r="CE67" s="59">
        <f t="shared" si="40"/>
        <v>410.18893995284986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4.3440936803353898</v>
      </c>
      <c r="CL67" s="21">
        <f>EXP(-LN(2)/25)*CL66+(1-EXP(-LN(2)/25))/(LN(2)/25)*Calculateur!CG67*Calculateur!CI67*VLOOKUP('Données projet'!$B$12,Paramètres!$A$1:$I$89,3,0)*0.475*44/12</f>
        <v>13.260500585294171</v>
      </c>
      <c r="CM67" s="21">
        <f>EXP(-LN(2)/2)*CM66+(1-EXP(-LN(2)/2))/(LN(2)/2)*CG67*CJ67*VLOOKUP('Données projet'!$B$12,Paramètres!$A$1:$I$89,3,0)*0.475*44/12</f>
        <v>1.9212666408436777E-4</v>
      </c>
      <c r="CN67" s="22">
        <f t="shared" si="12"/>
        <v>17.604786392293647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238.39999999999995</v>
      </c>
      <c r="CU67" s="17">
        <f>CT67*VLOOKUP('Données projet'!$B$13,Paramètres!$A$1:$I$89,3,0)*VLOOKUP('Données projet'!$B$13,Paramètres!$A$1:$I$89,5,0)</f>
        <v>208.26623999999998</v>
      </c>
      <c r="CV67" s="13">
        <f t="shared" si="41"/>
        <v>51.556532908951887</v>
      </c>
      <c r="CW67" s="20">
        <f t="shared" si="13"/>
        <v>452.5246628164245</v>
      </c>
      <c r="CX67" s="59">
        <f t="shared" si="14"/>
        <v>715.94901497597925</v>
      </c>
      <c r="CY67" s="59">
        <f ca="1">AVERAGE(OFFSET($CX$3,0,0,'Données projet'!$E$13+1,1))-AVERAGE(OFFSET($H$3,0,0,'Données projet'!$E$13+1,1))</f>
        <v>363.02374534486341</v>
      </c>
      <c r="CZ67" s="59">
        <f t="shared" si="42"/>
        <v>489.00477393029598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3.7274490898841544</v>
      </c>
      <c r="DG67" s="21">
        <f>EXP(-LN(2)/25)*DG66+(1-EXP(-LN(2)/25))/(LN(2)/25)*Calculateur!DB67*Calculateur!DD67*VLOOKUP('Données projet'!$B$13,Paramètres!$A$1:$I$89,3,0)*0.475*44/12</f>
        <v>7.543259245104621</v>
      </c>
      <c r="DH67" s="21">
        <f>EXP(-LN(2)/2)*DH66+(1-EXP(-LN(2)/2))/(LN(2)/2)*DB67*DE67*VLOOKUP('Données projet'!$B$13,Paramètres!$A$1:$I$89,3,0)*0.475*44/12</f>
        <v>2.2365523691682558E-4</v>
      </c>
      <c r="DI67" s="22">
        <f t="shared" si="15"/>
        <v>11.270931990225693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>
        <f>DO67*VLOOKUP('Données projet'!$B$14,Paramètres!$A$1:$I$89,3,0)*VLOOKUP('Données projet'!$B$14,Paramètres!$A$1:$I$89,5,0)</f>
        <v>219.66671999999988</v>
      </c>
      <c r="DQ67" s="13">
        <f t="shared" si="43"/>
        <v>54.042442569081146</v>
      </c>
      <c r="DR67" s="20">
        <f t="shared" si="16"/>
        <v>476.71012480781616</v>
      </c>
      <c r="DS67" s="59">
        <f t="shared" si="17"/>
        <v>740.13447696737092</v>
      </c>
      <c r="DT67" s="59">
        <f ca="1">AVERAGE(OFFSET($DS$3,0,0,'Données projet'!$E$14+1,1))-AVERAGE(OFFSET($H$3,0,0,'Données projet'!$E$14+1,1))</f>
        <v>368.03281986807173</v>
      </c>
      <c r="DU67" s="59">
        <f t="shared" si="44"/>
        <v>395.83504504492248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1.2442479206289441</v>
      </c>
      <c r="EB67" s="21">
        <f>EXP(-LN(2)/25)*EB66+(1-EXP(-LN(2)/25))/(LN(2)/25)*Calculateur!DW67*Calculateur!DY67*VLOOKUP('Données projet'!$B$14,Paramètres!$A$1:$I$89,3,0)*0.475*44/12</f>
        <v>5.9770710995196108</v>
      </c>
      <c r="EC67" s="21">
        <f>EXP(-LN(2)/2)*EC66+(1-EXP(-LN(2)/2))/(LN(2)/2)*DW67*DZ67*VLOOKUP('Données projet'!$B$14,Paramètres!$A$1:$I$89,3,0)*0.475*44/12</f>
        <v>1.6901870576141887E-4</v>
      </c>
      <c r="ED67" s="22">
        <f t="shared" si="18"/>
        <v>7.2214880388543161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225.2264820414552</v>
      </c>
      <c r="EP67" s="59">
        <f t="shared" si="46"/>
        <v>249.91838548328681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1.1282741086559274</v>
      </c>
      <c r="EW67" s="21">
        <f>EXP(-LN(2)/25)*EW66+(1-EXP(-LN(2)/25))/(LN(2)/25)*Calculateur!ER67*Calculateur!ET67*VLOOKUP('Données projet'!$B$15,Paramètres!$A$1:$I$89,3,0)*0.475*44/12</f>
        <v>3.3720642614897551</v>
      </c>
      <c r="EX67" s="21">
        <f>EXP(-LN(2)/2)*EX66+(1-EXP(-LN(2)/2))/(LN(2)/2)*ER67*EU67*VLOOKUP('Données projet'!$B$15,Paramètres!$A$1:$I$89,3,0)*0.475*44/12</f>
        <v>3.086488808194687E-5</v>
      </c>
      <c r="EY67" s="22">
        <f t="shared" si="21"/>
        <v>4.5003692350337641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15.8</v>
      </c>
      <c r="FE67" s="12">
        <f>IF('Données projet'!$A$218&gt;35,FE66+FD67-FM66,IF(A67&lt;'Données projet'!$A$218,$FB$205^A67,IF(A67='Données projet'!$A$218,'Données projet'!$B$218,FE66+FD67-FM66)))</f>
        <v>646.19999999999925</v>
      </c>
      <c r="FF67" s="17">
        <f>FE67*VLOOKUP('Données projet'!$B$16,Paramètres!$A$1:$I$89,3,0)*VLOOKUP('Données projet'!$B$16,Paramètres!$A$1:$I$89,5,0)</f>
        <v>361.22579999999965</v>
      </c>
      <c r="FG67" s="13">
        <f t="shared" si="47"/>
        <v>83.869755817099659</v>
      </c>
      <c r="FH67" s="20">
        <f t="shared" si="22"/>
        <v>775.20809304811462</v>
      </c>
      <c r="FI67" s="59">
        <f t="shared" si="23"/>
        <v>1038.6324452076694</v>
      </c>
      <c r="FJ67" s="59">
        <f ca="1">AVERAGE(OFFSET($FI$3,0,0,'Données projet'!$E$16+1,1))-AVERAGE(OFFSET($H$3,0,0,'Données projet'!$E$16+1,1))</f>
        <v>549.85684198202534</v>
      </c>
      <c r="FK67" s="59">
        <f t="shared" si="48"/>
        <v>539.63748606275431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5.8241392029439929</v>
      </c>
      <c r="FR67" s="21">
        <f>EXP(-LN(2)/25)*FR66+(1-EXP(-LN(2)/25))/(LN(2)/25)*Calculateur!FM67*Calculateur!FO67*VLOOKUP('Données projet'!$B$16,Paramètres!$A$1:$I$89,3,0)*0.475*44/12</f>
        <v>15.099979741207488</v>
      </c>
      <c r="FS67" s="21">
        <f>EXP(-LN(2)/2)*FS66+(1-EXP(-LN(2)/2))/(LN(2)/2)*FM67*FP67*VLOOKUP('Données projet'!$B$16,Paramètres!$A$1:$I$89,3,0)*0.475*44/12</f>
        <v>2.7825844844844128E-4</v>
      </c>
      <c r="FT67" s="22">
        <f t="shared" si="24"/>
        <v>20.924397202599931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13.4</v>
      </c>
      <c r="FZ67" s="12">
        <f>IF('Données projet'!$A$244&gt;35,FZ66+FY67-GH66,IF(A67&lt;'Données projet'!$A$244,$FW$205^A67,IF(A67='Données projet'!$A$244,'Données projet'!$B$244,FZ66+FY67-GH66)))</f>
        <v>545.59999999999957</v>
      </c>
      <c r="GA67" s="17">
        <f>FZ67*VLOOKUP('Données projet'!$B$17,Paramètres!$A$1:$I$89,3,0)*VLOOKUP('Données projet'!$B$17,Paramètres!$A$1:$I$89,5,0)</f>
        <v>326.26879999999977</v>
      </c>
      <c r="GB67" s="13">
        <f t="shared" si="49"/>
        <v>76.656223013374756</v>
      </c>
      <c r="GC67" s="20">
        <f t="shared" si="25"/>
        <v>701.76108174829403</v>
      </c>
      <c r="GD67" s="59">
        <f t="shared" si="26"/>
        <v>965.18543390784885</v>
      </c>
      <c r="GE67" s="59">
        <f ca="1">AVERAGE(OFFSET($GD$3,0,0,'Données projet'!$E$17+1,1))-AVERAGE(OFFSET($H$3,0,0,'Données projet'!$E$17+1,1))</f>
        <v>495.6641415122013</v>
      </c>
      <c r="GF67" s="59">
        <f t="shared" si="50"/>
        <v>488.90534169400757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2.0390643805655926</v>
      </c>
      <c r="GM67" s="21">
        <f>EXP(-LN(2)/25)*GM66+(1-EXP(-LN(2)/25))/(LN(2)/25)*Calculateur!GH67*Calculateur!GJ67*VLOOKUP('Données projet'!$B$17,Paramètres!$A$1:$I$89,3,0)*0.475*44/12</f>
        <v>10.131123568256159</v>
      </c>
      <c r="GN67" s="21">
        <f>EXP(-LN(2)/2)*GN66+(1-EXP(-LN(2)/2))/(LN(2)/2)*GH67*GK67*VLOOKUP('Données projet'!$B$17,Paramètres!$A$1:$I$89,3,0)*0.475*44/12</f>
        <v>2.6519266810158114E-4</v>
      </c>
      <c r="GO67" s="21">
        <f t="shared" si="27"/>
        <v>12.170453141489853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13.4</v>
      </c>
      <c r="GU67" s="12">
        <f>IF('Données projet'!$A$270&gt;35,GU66+GT67-HC66,IF(A67&lt;'Données projet'!$A$270,$GR$205^A67,IF(A67='Données projet'!$A$270,'Données projet'!$B$270,GU66+GT67-HC66)))</f>
        <v>545.59999999999957</v>
      </c>
      <c r="GV67" s="17">
        <f>GU67*VLOOKUP('Données projet'!$B$18,Paramètres!$A$1:$I$89,3,0)*VLOOKUP('Données projet'!$B$18,Paramètres!$A$1:$I$89,5,0)</f>
        <v>326.26879999999977</v>
      </c>
      <c r="GW67" s="13">
        <f t="shared" si="51"/>
        <v>76.656223013374756</v>
      </c>
      <c r="GX67" s="20">
        <f t="shared" si="28"/>
        <v>701.76108174829403</v>
      </c>
      <c r="GY67" s="59">
        <f t="shared" si="29"/>
        <v>965.18543390784885</v>
      </c>
      <c r="GZ67" s="59">
        <f ca="1">AVERAGE(OFFSET($GY$3,0,0,'Données projet'!$E$18+1,1))-AVERAGE(OFFSET($H$3,0,0,'Données projet'!$E$18+1,1))</f>
        <v>-18.333333333333343</v>
      </c>
      <c r="HA67" s="59">
        <f t="shared" si="52"/>
        <v>-18.333333333333343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2.0390643805655926</v>
      </c>
      <c r="HH67" s="21">
        <f>EXP(-LN(2)/25)*HH66+(1-EXP(-LN(2)/25))/(LN(2)/25)*Calculateur!HC67*Calculateur!HE67*VLOOKUP('Données projet'!$B$18,Paramètres!$A$1:$I$89,3,0)*0.475*44/12</f>
        <v>10.131123568256159</v>
      </c>
      <c r="HI67" s="21">
        <f>EXP(-LN(2)/2)*HI66+(1-EXP(-LN(2)/2))/(LN(2)/2)*HC67*HF67*VLOOKUP('Données projet'!$B$18,Paramètres!$A$1:$I$89,3,0)*0.475*44/12</f>
        <v>2.6519266810158114E-4</v>
      </c>
      <c r="HJ67" s="22">
        <f t="shared" si="30"/>
        <v>12.170453141489853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368.89999999999986</v>
      </c>
      <c r="O68" s="13">
        <f>N68*VLOOKUP('Données projet'!$B$9,Paramètres!$A$1:$I$89,3,0)*VLOOKUP('Données projet'!$B$9,Paramètres!$A$1:$I$89,5,0)</f>
        <v>172.64519999999993</v>
      </c>
      <c r="P68" s="13">
        <f t="shared" si="33"/>
        <v>43.681926966241704</v>
      </c>
      <c r="Q68" s="20">
        <f t="shared" si="54"/>
        <v>376.76974613287081</v>
      </c>
      <c r="R68" s="59">
        <f t="shared" si="55"/>
        <v>640.71295224932601</v>
      </c>
      <c r="S68" s="59">
        <f ca="1">AVERAGE(OFFSET($R$3,0,0,'Données projet'!$E$9+1,1))-AVERAGE(OFFSET($H$3,0,0,'Données projet'!$E$9+1,1))</f>
        <v>376.11581547534814</v>
      </c>
      <c r="T68" s="59">
        <f t="shared" si="34"/>
        <v>300.91675649863294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1.5672908009103297</v>
      </c>
      <c r="AA68" s="21">
        <f>EXP(-LN(2)/25)*AA67+(1-EXP(-LN(2)/25))/(LN(2)/25)*Calculateur!V68*Calculateur!X68*VLOOKUP('Données projet'!$B$9,Paramètres!$A$1:$I$89,3,0)*0.475*44/12</f>
        <v>2.9766643647448592</v>
      </c>
      <c r="AB68" s="21">
        <f>EXP(-LN(2)/2)*AB67+(1-EXP(-LN(2)/2))/(LN(2)/2)*V68*Y68*VLOOKUP('Données projet'!$B$9,Paramètres!$A$1:$I$89,3,0)*0.475*44/12</f>
        <v>5.3042592338868538E-5</v>
      </c>
      <c r="AC68" s="22">
        <f t="shared" ref="AC68:AC131" si="57">SUM(Z68:AB68)</f>
        <v>4.5440082082475275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260.13</v>
      </c>
      <c r="AK68" s="13">
        <f t="shared" si="35"/>
        <v>62.750087896510983</v>
      </c>
      <c r="AL68" s="20">
        <f t="shared" ref="AL68:AL131" si="58">(AJ68+AK68)*0.475*44/12</f>
        <v>562.34948641975654</v>
      </c>
      <c r="AM68" s="59">
        <f t="shared" ref="AM68:AM131" si="59">AL68+(AD68+AE68)*44/12</f>
        <v>826.29269253621169</v>
      </c>
      <c r="AN68" s="59">
        <f ca="1">AVERAGE(OFFSET($AM$3,0,0,'Données projet'!$E$10+1,1))-AVERAGE(OFFSET($H$3,0,0,'Données projet'!$E$10+1,1))</f>
        <v>505.38595282220405</v>
      </c>
      <c r="AO68" s="59">
        <f t="shared" si="36"/>
        <v>351.72130415456365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1.2042764376793</v>
      </c>
      <c r="AV68" s="21">
        <f>EXP(-LN(2)/25)*AV67+(1-EXP(-LN(2)/25))/(LN(2)/25)*Calculateur!AQ68*Calculateur!AS68*VLOOKUP('Données projet'!$B$10,Paramètres!$A$1:$I$89,3,0)*0.475*44/12</f>
        <v>4.2753886916452455</v>
      </c>
      <c r="AW68" s="21">
        <f>EXP(-LN(2)/2)*AW67+(1-EXP(-LN(2)/2))/(LN(2)/2)*AQ68*AT68*VLOOKUP('Données projet'!$B$10,Paramètres!$A$1:$I$89,3,0)*0.475*44/12</f>
        <v>1.1627586815008689E-4</v>
      </c>
      <c r="AX68" s="21">
        <f t="shared" ref="AX68:AX131" si="60">SUM(AU68:AW68)</f>
        <v>5.4797814051926954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242.26019999999986</v>
      </c>
      <c r="BF68" s="13">
        <f t="shared" si="37"/>
        <v>58.925557915516166</v>
      </c>
      <c r="BG68" s="20">
        <f t="shared" ref="BG68:BG131" si="61">(BE68+BF68)*0.475*44/12</f>
        <v>524.5651950361904</v>
      </c>
      <c r="BH68" s="59">
        <f t="shared" ref="BH68:BH131" si="62">BG68+(AY68+AZ68)*44/12</f>
        <v>788.50840115264555</v>
      </c>
      <c r="BI68" s="59">
        <f ca="1">AVERAGE(OFFSET($BH$3,0,0,'Données projet'!$E$11+1,1))-AVERAGE(OFFSET($H$3,0,0,'Données projet'!$E$11+1,1))</f>
        <v>394.14657090341535</v>
      </c>
      <c r="BJ68" s="59">
        <f t="shared" si="38"/>
        <v>424.06445894109982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1.6314951939891487</v>
      </c>
      <c r="BQ68" s="21">
        <f>EXP(-LN(2)/25)*BQ67+(1-EXP(-LN(2)/25))/(LN(2)/25)*Calculateur!BL68*Calculateur!BN68*VLOOKUP('Données projet'!$B$11,Paramètres!$A$1:$I$89,3,0)*0.475*44/12</f>
        <v>7.7754754470466789</v>
      </c>
      <c r="BR68" s="21">
        <f>EXP(-LN(2)/2)*BR67+(1-EXP(-LN(2)/2))/(LN(2)/2)*BL68*BO68*VLOOKUP('Données projet'!$B$11,Paramètres!$A$1:$I$89,3,0)*0.475*44/12</f>
        <v>1.2968570047989172E-4</v>
      </c>
      <c r="BS68" s="22">
        <f t="shared" ref="BS68:BS131" si="63">SUM(BP68:BR68)</f>
        <v>9.4071003267363089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9.8000000000000007</v>
      </c>
      <c r="BY68" s="12">
        <f>IF('Données projet'!$A$114&gt;35,BY67+BX68-CG67,IF(A68&lt;'Données projet'!$A$114,$BV$205^A68,IF(A68='Données projet'!$A$114,'Données projet'!$B$114,BY67+BX68-CG67)))</f>
        <v>415.00000000000028</v>
      </c>
      <c r="BZ68" s="13">
        <f>BY68*VLOOKUP('Données projet'!$B$12,Paramètres!$A$1:$I$89,3,0)*VLOOKUP('Données projet'!$B$12,Paramètres!$A$1:$I$89,5,0)</f>
        <v>226.59000000000017</v>
      </c>
      <c r="CA68" s="13">
        <f t="shared" si="39"/>
        <v>55.544720048447758</v>
      </c>
      <c r="CB68" s="20">
        <f t="shared" ref="CB68:CB131" si="64">(BZ68+CA68)*0.475*44/12</f>
        <v>491.38463741771352</v>
      </c>
      <c r="CC68" s="59">
        <f t="shared" ref="CC68:CC131" si="65">CB68+(BT68+BU68)*44/12</f>
        <v>755.32784353416878</v>
      </c>
      <c r="CD68" s="59">
        <f ca="1">AVERAGE(OFFSET($CC$3,0,0,'Données projet'!$E$12+1,1))-AVERAGE(OFFSET($H$3,0,0,'Données projet'!$E$12+1,1))</f>
        <v>382.09004346384319</v>
      </c>
      <c r="CE68" s="59">
        <f t="shared" si="40"/>
        <v>410.18893995284986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4.2589086528995281</v>
      </c>
      <c r="CL68" s="21">
        <f>EXP(-LN(2)/25)*CL67+(1-EXP(-LN(2)/25))/(LN(2)/25)*Calculateur!CG68*Calculateur!CI68*VLOOKUP('Données projet'!$B$12,Paramètres!$A$1:$I$89,3,0)*0.475*44/12</f>
        <v>12.897891499449884</v>
      </c>
      <c r="CM68" s="21">
        <f>EXP(-LN(2)/2)*CM67+(1-EXP(-LN(2)/2))/(LN(2)/2)*CG68*CJ68*VLOOKUP('Données projet'!$B$12,Paramètres!$A$1:$I$89,3,0)*0.475*44/12</f>
        <v>1.3585406702080636E-4</v>
      </c>
      <c r="CN68" s="22">
        <f t="shared" ref="CN68:CN131" si="66">SUM(CK68:CM68)</f>
        <v>17.156936006416434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243.99999999999994</v>
      </c>
      <c r="CU68" s="17">
        <f>CT68*VLOOKUP('Données projet'!$B$13,Paramètres!$A$1:$I$89,3,0)*VLOOKUP('Données projet'!$B$13,Paramètres!$A$1:$I$89,5,0)</f>
        <v>213.15839999999997</v>
      </c>
      <c r="CV68" s="13">
        <f t="shared" si="41"/>
        <v>52.62517477463237</v>
      </c>
      <c r="CW68" s="20">
        <f t="shared" ref="CW68:CW131" si="67">(CU68+CV68)*0.475*44/12</f>
        <v>462.90639273248468</v>
      </c>
      <c r="CX68" s="59">
        <f t="shared" ref="CX68:CX131" si="68">CW68+(CO68+CP68)*44/12</f>
        <v>726.84959884893988</v>
      </c>
      <c r="CY68" s="59">
        <f ca="1">AVERAGE(OFFSET($CX$3,0,0,'Données projet'!$E$13+1,1))-AVERAGE(OFFSET($H$3,0,0,'Données projet'!$E$13+1,1))</f>
        <v>363.02374534486341</v>
      </c>
      <c r="CZ68" s="59">
        <f t="shared" si="42"/>
        <v>489.00477393029598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3.6543560867509797</v>
      </c>
      <c r="DG68" s="21">
        <f>EXP(-LN(2)/25)*DG67+(1-EXP(-LN(2)/25))/(LN(2)/25)*Calculateur!DB68*Calculateur!DD68*VLOOKUP('Données projet'!$B$13,Paramètres!$A$1:$I$89,3,0)*0.475*44/12</f>
        <v>7.3369884243644714</v>
      </c>
      <c r="DH68" s="21">
        <f>EXP(-LN(2)/2)*DH67+(1-EXP(-LN(2)/2))/(LN(2)/2)*DB68*DE68*VLOOKUP('Données projet'!$B$13,Paramètres!$A$1:$I$89,3,0)*0.475*44/12</f>
        <v>1.5814813467177123E-4</v>
      </c>
      <c r="DI68" s="22">
        <f t="shared" ref="DI68:DI131" si="69">SUM(DF68:DH68)</f>
        <v>10.991502659250122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>
        <f>DO68*VLOOKUP('Données projet'!$B$14,Paramètres!$A$1:$I$89,3,0)*VLOOKUP('Données projet'!$B$14,Paramètres!$A$1:$I$89,5,0)</f>
        <v>223.25939999999989</v>
      </c>
      <c r="DQ68" s="13">
        <f t="shared" si="43"/>
        <v>54.822692711030363</v>
      </c>
      <c r="DR68" s="20">
        <f t="shared" ref="DR68:DR131" si="70">(DP68+DQ68)*0.475*44/12</f>
        <v>484.32631147171105</v>
      </c>
      <c r="DS68" s="59">
        <f t="shared" ref="DS68:DS131" si="71">DR68+(DJ68+DK68)*44/12</f>
        <v>748.26951758816631</v>
      </c>
      <c r="DT68" s="59">
        <f ca="1">AVERAGE(OFFSET($DS$3,0,0,'Données projet'!$E$14+1,1))-AVERAGE(OFFSET($H$3,0,0,'Données projet'!$E$14+1,1))</f>
        <v>368.03281986807173</v>
      </c>
      <c r="DU68" s="59">
        <f t="shared" si="44"/>
        <v>395.83504504492248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1.2198489778217052</v>
      </c>
      <c r="EB68" s="21">
        <f>EXP(-LN(2)/25)*EB67+(1-EXP(-LN(2)/25))/(LN(2)/25)*Calculateur!DW68*Calculateur!DY68*VLOOKUP('Données projet'!$B$14,Paramètres!$A$1:$I$89,3,0)*0.475*44/12</f>
        <v>5.8136277759827388</v>
      </c>
      <c r="EC68" s="21">
        <f>EXP(-LN(2)/2)*EC67+(1-EXP(-LN(2)/2))/(LN(2)/2)*DW68*DZ68*VLOOKUP('Données projet'!$B$14,Paramètres!$A$1:$I$89,3,0)*0.475*44/12</f>
        <v>1.1951427299127308E-4</v>
      </c>
      <c r="ED68" s="22">
        <f t="shared" ref="ED68:ED131" si="72">SUM(EA68:EC68)</f>
        <v>7.0335962680774351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225.2264820414552</v>
      </c>
      <c r="EP68" s="59">
        <f t="shared" si="46"/>
        <v>249.91838548328681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1.1061493415644388</v>
      </c>
      <c r="EW68" s="21">
        <f>EXP(-LN(2)/25)*EW67+(1-EXP(-LN(2)/25))/(LN(2)/25)*Calculateur!ER68*Calculateur!ET68*VLOOKUP('Données projet'!$B$15,Paramètres!$A$1:$I$89,3,0)*0.475*44/12</f>
        <v>3.2798549869301654</v>
      </c>
      <c r="EX68" s="21">
        <f>EXP(-LN(2)/2)*EX67+(1-EXP(-LN(2)/2))/(LN(2)/2)*ER68*EU68*VLOOKUP('Données projet'!$B$15,Paramètres!$A$1:$I$89,3,0)*0.475*44/12</f>
        <v>2.1824771663308484E-5</v>
      </c>
      <c r="EY68" s="22">
        <f t="shared" ref="EY68:EY131" si="75">SUM(EV68:EX68)</f>
        <v>4.3860261532662674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15.8</v>
      </c>
      <c r="FE68" s="12">
        <f>IF('Données projet'!$A$218&gt;35,FE67+FD68-FM67,IF(A68&lt;'Données projet'!$A$218,$FB$205^A68,IF(A68='Données projet'!$A$218,'Données projet'!$B$218,FE67+FD68-FM67)))</f>
        <v>661.9999999999992</v>
      </c>
      <c r="FF68" s="17">
        <f>FE68*VLOOKUP('Données projet'!$B$16,Paramètres!$A$1:$I$89,3,0)*VLOOKUP('Données projet'!$B$16,Paramètres!$A$1:$I$89,5,0)</f>
        <v>370.05799999999954</v>
      </c>
      <c r="FG68" s="13">
        <f t="shared" si="47"/>
        <v>85.679171397668327</v>
      </c>
      <c r="FH68" s="20">
        <f t="shared" ref="FH68:FH131" si="76">(FF68+FG68)*0.475*44/12</f>
        <v>793.74224018427151</v>
      </c>
      <c r="FI68" s="59">
        <f t="shared" ref="FI68:FI131" si="77">FH68+(EZ68+FA68)*44/12</f>
        <v>1057.6854463007267</v>
      </c>
      <c r="FJ68" s="59">
        <f ca="1">AVERAGE(OFFSET($FI$3,0,0,'Données projet'!$E$16+1,1))-AVERAGE(OFFSET($H$3,0,0,'Données projet'!$E$16+1,1))</f>
        <v>549.85684198202534</v>
      </c>
      <c r="FK68" s="59">
        <f t="shared" si="48"/>
        <v>539.63748606275431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5.7099313855484075</v>
      </c>
      <c r="FR68" s="21">
        <f>EXP(-LN(2)/25)*FR67+(1-EXP(-LN(2)/25))/(LN(2)/25)*Calculateur!FM68*Calculateur!FO68*VLOOKUP('Données projet'!$B$16,Paramètres!$A$1:$I$89,3,0)*0.475*44/12</f>
        <v>14.687070001110746</v>
      </c>
      <c r="FS68" s="21">
        <f>EXP(-LN(2)/2)*FS67+(1-EXP(-LN(2)/2))/(LN(2)/2)*FM68*FP68*VLOOKUP('Données projet'!$B$16,Paramètres!$A$1:$I$89,3,0)*0.475*44/12</f>
        <v>1.9675843582034019E-4</v>
      </c>
      <c r="FT68" s="22">
        <f t="shared" ref="FT68:FT131" si="78">SUM(FQ68:FS68)</f>
        <v>20.397198145094972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13.4</v>
      </c>
      <c r="FZ68" s="12">
        <f>IF('Données projet'!$A$244&gt;35,FZ67+FY68-GH67,IF(A68&lt;'Données projet'!$A$244,$FW$205^A68,IF(A68='Données projet'!$A$244,'Données projet'!$B$244,FZ67+FY68-GH67)))</f>
        <v>558.99999999999955</v>
      </c>
      <c r="GA68" s="17">
        <f>FZ68*VLOOKUP('Données projet'!$B$17,Paramètres!$A$1:$I$89,3,0)*VLOOKUP('Données projet'!$B$17,Paramètres!$A$1:$I$89,5,0)</f>
        <v>334.28199999999975</v>
      </c>
      <c r="GB68" s="13">
        <f t="shared" si="49"/>
        <v>78.317407802819943</v>
      </c>
      <c r="GC68" s="20">
        <f t="shared" ref="GC68:GC131" si="79">(GA68+GB68)*0.475*44/12</f>
        <v>718.61063525657755</v>
      </c>
      <c r="GD68" s="59">
        <f t="shared" ref="GD68:GD131" si="80">GC68+(FU68+FV68)*44/12</f>
        <v>982.55384137303281</v>
      </c>
      <c r="GE68" s="59">
        <f ca="1">AVERAGE(OFFSET($GD$3,0,0,'Données projet'!$E$17+1,1))-AVERAGE(OFFSET($H$3,0,0,'Données projet'!$E$17+1,1))</f>
        <v>495.6641415122013</v>
      </c>
      <c r="GF68" s="59">
        <f t="shared" si="50"/>
        <v>488.90534169400757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1.9990795717691676</v>
      </c>
      <c r="GM68" s="21">
        <f>EXP(-LN(2)/25)*GM67+(1-EXP(-LN(2)/25))/(LN(2)/25)*Calculateur!GH68*Calculateur!GJ68*VLOOKUP('Données projet'!$B$17,Paramètres!$A$1:$I$89,3,0)*0.475*44/12</f>
        <v>9.8540874615095611</v>
      </c>
      <c r="GN68" s="21">
        <f>EXP(-LN(2)/2)*GN67+(1-EXP(-LN(2)/2))/(LN(2)/2)*GH68*GK68*VLOOKUP('Données projet'!$B$17,Paramètres!$A$1:$I$89,3,0)*0.475*44/12</f>
        <v>1.8751953393558146E-4</v>
      </c>
      <c r="GO68" s="21">
        <f t="shared" ref="GO68:GO131" si="81">SUM(GL68:GN68)</f>
        <v>11.853354552812664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13.4</v>
      </c>
      <c r="GU68" s="12">
        <f>IF('Données projet'!$A$270&gt;35,GU67+GT68-HC67,IF(A68&lt;'Données projet'!$A$270,$GR$205^A68,IF(A68='Données projet'!$A$270,'Données projet'!$B$270,GU67+GT68-HC67)))</f>
        <v>558.99999999999955</v>
      </c>
      <c r="GV68" s="17">
        <f>GU68*VLOOKUP('Données projet'!$B$18,Paramètres!$A$1:$I$89,3,0)*VLOOKUP('Données projet'!$B$18,Paramètres!$A$1:$I$89,5,0)</f>
        <v>334.28199999999975</v>
      </c>
      <c r="GW68" s="13">
        <f t="shared" si="51"/>
        <v>78.317407802819943</v>
      </c>
      <c r="GX68" s="20">
        <f t="shared" ref="GX68:GX131" si="82">(GV68+GW68)*0.475*44/12</f>
        <v>718.61063525657755</v>
      </c>
      <c r="GY68" s="59">
        <f t="shared" ref="GY68:GY131" si="83">GX68+(GP68+GQ68)*44/12</f>
        <v>982.55384137303281</v>
      </c>
      <c r="GZ68" s="59">
        <f ca="1">AVERAGE(OFFSET($GY$3,0,0,'Données projet'!$E$18+1,1))-AVERAGE(OFFSET($H$3,0,0,'Données projet'!$E$18+1,1))</f>
        <v>-18.333333333333343</v>
      </c>
      <c r="HA68" s="59">
        <f t="shared" si="52"/>
        <v>-18.333333333333343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1.9990795717691676</v>
      </c>
      <c r="HH68" s="21">
        <f>EXP(-LN(2)/25)*HH67+(1-EXP(-LN(2)/25))/(LN(2)/25)*Calculateur!HC68*Calculateur!HE68*VLOOKUP('Données projet'!$B$18,Paramètres!$A$1:$I$89,3,0)*0.475*44/12</f>
        <v>9.8540874615095611</v>
      </c>
      <c r="HI68" s="21">
        <f>EXP(-LN(2)/2)*HI67+(1-EXP(-LN(2)/2))/(LN(2)/2)*HC68*HF68*VLOOKUP('Données projet'!$B$18,Paramètres!$A$1:$I$89,3,0)*0.475*44/12</f>
        <v>1.8751953393558146E-4</v>
      </c>
      <c r="HJ68" s="22">
        <f t="shared" ref="HJ68:HJ131" si="84">SUM(HG68:HI68)</f>
        <v>11.853354552812664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384.39999999999986</v>
      </c>
      <c r="O69" s="13">
        <f>N69*VLOOKUP('Données projet'!$B$9,Paramètres!$A$1:$I$89,3,0)*VLOOKUP('Données projet'!$B$9,Paramètres!$A$1:$I$89,5,0)</f>
        <v>179.89919999999995</v>
      </c>
      <c r="P69" s="13">
        <f t="shared" ref="P69:P132" si="87">EXP(-1.0587+0.8836*LN(O69)+0.284)</f>
        <v>45.299759292628586</v>
      </c>
      <c r="Q69" s="20">
        <f t="shared" si="54"/>
        <v>392.22152076799466</v>
      </c>
      <c r="R69" s="59">
        <f t="shared" si="55"/>
        <v>656.67457988518174</v>
      </c>
      <c r="S69" s="59">
        <f ca="1">AVERAGE(OFFSET($R$3,0,0,'Données projet'!$E$9+1,1))-AVERAGE(OFFSET($H$3,0,0,'Données projet'!$E$9+1,1))</f>
        <v>376.11581547534814</v>
      </c>
      <c r="T69" s="59">
        <f t="shared" ref="T69:T132" si="88">$T$3</f>
        <v>300.91675649863294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1.5365571842574741</v>
      </c>
      <c r="AA69" s="21">
        <f>EXP(-LN(2)/25)*AA68+(1-EXP(-LN(2)/25))/(LN(2)/25)*Calculateur!V69*Calculateur!X69*VLOOKUP('Données projet'!$B$9,Paramètres!$A$1:$I$89,3,0)*0.475*44/12</f>
        <v>2.8952673211549351</v>
      </c>
      <c r="AB69" s="21">
        <f>EXP(-LN(2)/2)*AB68+(1-EXP(-LN(2)/2))/(LN(2)/2)*V69*Y69*VLOOKUP('Données projet'!$B$9,Paramètres!$A$1:$I$89,3,0)*0.475*44/12</f>
        <v>3.7506776734527557E-5</v>
      </c>
      <c r="AC69" s="22">
        <f t="shared" si="57"/>
        <v>4.4318620121891437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267.82079999999996</v>
      </c>
      <c r="AK69" s="13">
        <f t="shared" ref="AK69:AK132" si="89">EXP(-1.0587+0.8836*LN(AJ69)+0.284)</f>
        <v>64.386570147897302</v>
      </c>
      <c r="AL69" s="20">
        <f t="shared" si="58"/>
        <v>578.59450300758772</v>
      </c>
      <c r="AM69" s="59">
        <f t="shared" si="59"/>
        <v>843.0475621247748</v>
      </c>
      <c r="AN69" s="59">
        <f ca="1">AVERAGE(OFFSET($AM$3,0,0,'Données projet'!$E$10+1,1))-AVERAGE(OFFSET($H$3,0,0,'Données projet'!$E$10+1,1))</f>
        <v>505.38595282220405</v>
      </c>
      <c r="AO69" s="59">
        <f t="shared" ref="AO69:AO132" si="90">$AO$3</f>
        <v>351.72130415456365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1.1806613112725066</v>
      </c>
      <c r="AV69" s="21">
        <f>EXP(-LN(2)/25)*AV68+(1-EXP(-LN(2)/25))/(LN(2)/25)*Calculateur!AQ69*Calculateur!AS69*VLOOKUP('Données projet'!$B$10,Paramètres!$A$1:$I$89,3,0)*0.475*44/12</f>
        <v>4.1584779630392861</v>
      </c>
      <c r="AW69" s="21">
        <f>EXP(-LN(2)/2)*AW68+(1-EXP(-LN(2)/2))/(LN(2)/2)*AQ69*AT69*VLOOKUP('Données projet'!$B$10,Paramètres!$A$1:$I$89,3,0)*0.475*44/12</f>
        <v>8.2219454857279344E-5</v>
      </c>
      <c r="AX69" s="21">
        <f t="shared" si="60"/>
        <v>5.3392214937666491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246.15863999999985</v>
      </c>
      <c r="BF69" s="13">
        <f t="shared" ref="BF69:BF132" si="91">EXP(-1.0587+0.8836*LN(BE69)+0.284)</f>
        <v>59.762631584626781</v>
      </c>
      <c r="BG69" s="20">
        <f t="shared" si="61"/>
        <v>532.8128813432246</v>
      </c>
      <c r="BH69" s="59">
        <f t="shared" si="62"/>
        <v>797.26594046041168</v>
      </c>
      <c r="BI69" s="59">
        <f ca="1">AVERAGE(OFFSET($BH$3,0,0,'Données projet'!$E$11+1,1))-AVERAGE(OFFSET($H$3,0,0,'Données projet'!$E$11+1,1))</f>
        <v>394.14657090341535</v>
      </c>
      <c r="BJ69" s="59">
        <f t="shared" ref="BJ69:BJ132" si="92">$BJ$3</f>
        <v>424.06445894109982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1.5995025683488304</v>
      </c>
      <c r="BQ69" s="21">
        <f>EXP(-LN(2)/25)*BQ68+(1-EXP(-LN(2)/25))/(LN(2)/25)*Calculateur!BL69*Calculateur!BN69*VLOOKUP('Données projet'!$B$11,Paramètres!$A$1:$I$89,3,0)*0.475*44/12</f>
        <v>7.5628546620527048</v>
      </c>
      <c r="BR69" s="21">
        <f>EXP(-LN(2)/2)*BR68+(1-EXP(-LN(2)/2))/(LN(2)/2)*BL69*BO69*VLOOKUP('Données projet'!$B$11,Paramètres!$A$1:$I$89,3,0)*0.475*44/12</f>
        <v>9.1701638232258935E-5</v>
      </c>
      <c r="BS69" s="22">
        <f t="shared" si="63"/>
        <v>9.1624489320397693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9.8000000000000007</v>
      </c>
      <c r="BY69" s="12">
        <f>IF('Données projet'!$A$114&gt;35,BY68+BX69-CG68,IF(A69&lt;'Données projet'!$A$114,$BV$205^A69,IF(A69='Données projet'!$A$114,'Données projet'!$B$114,BY68+BX69-CG68)))</f>
        <v>424.8000000000003</v>
      </c>
      <c r="BZ69" s="13">
        <f>BY69*VLOOKUP('Données projet'!$B$12,Paramètres!$A$1:$I$89,3,0)*VLOOKUP('Données projet'!$B$12,Paramètres!$A$1:$I$89,5,0)</f>
        <v>231.94080000000014</v>
      </c>
      <c r="CA69" s="13">
        <f t="shared" ref="CA69:CA132" si="93">EXP(-1.0587+0.8836*LN(BZ69)+0.284)</f>
        <v>56.702122420175506</v>
      </c>
      <c r="CB69" s="20">
        <f t="shared" si="64"/>
        <v>502.71975654847256</v>
      </c>
      <c r="CC69" s="59">
        <f t="shared" si="65"/>
        <v>767.17281566565964</v>
      </c>
      <c r="CD69" s="59">
        <f ca="1">AVERAGE(OFFSET($CC$3,0,0,'Données projet'!$E$12+1,1))-AVERAGE(OFFSET($H$3,0,0,'Données projet'!$E$12+1,1))</f>
        <v>382.09004346384319</v>
      </c>
      <c r="CE69" s="59">
        <f t="shared" ref="CE69:CE132" si="94">$CE$3</f>
        <v>410.18893995284986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4.1753940518939476</v>
      </c>
      <c r="CL69" s="21">
        <f>EXP(-LN(2)/25)*CL68+(1-EXP(-LN(2)/25))/(LN(2)/25)*Calculateur!CG69*Calculateur!CI69*VLOOKUP('Données projet'!$B$12,Paramètres!$A$1:$I$89,3,0)*0.475*44/12</f>
        <v>12.545197978126792</v>
      </c>
      <c r="CM69" s="21">
        <f>EXP(-LN(2)/2)*CM68+(1-EXP(-LN(2)/2))/(LN(2)/2)*CG69*CJ69*VLOOKUP('Données projet'!$B$12,Paramètres!$A$1:$I$89,3,0)*0.475*44/12</f>
        <v>9.6063332042183887E-5</v>
      </c>
      <c r="CN69" s="22">
        <f t="shared" si="66"/>
        <v>16.720688093352781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5.6</v>
      </c>
      <c r="CT69" s="12">
        <f>IF('Données projet'!$A$140&gt;35,CT68+CS69-DB68,IF(A69&lt;'Données projet'!$A$140,$CQ$205^A69,IF(A69='Données projet'!$A$140,'Données projet'!$B$140,CT68+CS69-DB68)))</f>
        <v>249.59999999999994</v>
      </c>
      <c r="CU69" s="17">
        <f>CT69*VLOOKUP('Données projet'!$B$13,Paramètres!$A$1:$I$89,3,0)*VLOOKUP('Données projet'!$B$13,Paramètres!$A$1:$I$89,5,0)</f>
        <v>218.05055999999999</v>
      </c>
      <c r="CV69" s="13">
        <f t="shared" ref="CV69:CV132" si="95">EXP(-1.0587+0.8836*LN(CU69)+0.284)</f>
        <v>53.690965335220028</v>
      </c>
      <c r="CW69" s="20">
        <f t="shared" si="67"/>
        <v>473.28315662550813</v>
      </c>
      <c r="CX69" s="59">
        <f t="shared" si="68"/>
        <v>737.73621574269521</v>
      </c>
      <c r="CY69" s="59">
        <f ca="1">AVERAGE(OFFSET($CX$3,0,0,'Données projet'!$E$13+1,1))-AVERAGE(OFFSET($H$3,0,0,'Données projet'!$E$13+1,1))</f>
        <v>363.02374534486341</v>
      </c>
      <c r="CZ69" s="59">
        <f t="shared" ref="CZ69:CZ132" si="96">$CZ$3</f>
        <v>489.00477393029598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3.5826963928269167</v>
      </c>
      <c r="DG69" s="21">
        <f>EXP(-LN(2)/25)*DG68+(1-EXP(-LN(2)/25))/(LN(2)/25)*Calculateur!DB69*Calculateur!DD69*VLOOKUP('Données projet'!$B$13,Paramètres!$A$1:$I$89,3,0)*0.475*44/12</f>
        <v>7.136358090064773</v>
      </c>
      <c r="DH69" s="21">
        <f>EXP(-LN(2)/2)*DH68+(1-EXP(-LN(2)/2))/(LN(2)/2)*DB69*DE69*VLOOKUP('Données projet'!$B$13,Paramètres!$A$1:$I$89,3,0)*0.475*44/12</f>
        <v>1.1182761845841279E-4</v>
      </c>
      <c r="DI69" s="22">
        <f t="shared" si="69"/>
        <v>10.719166310510147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>
        <f>DO69*VLOOKUP('Données projet'!$B$14,Paramètres!$A$1:$I$89,3,0)*VLOOKUP('Données projet'!$B$14,Paramètres!$A$1:$I$89,5,0)</f>
        <v>226.85207999999983</v>
      </c>
      <c r="DQ69" s="13">
        <f t="shared" ref="DQ69:DQ132" si="97">EXP(-1.0587+0.8836*LN(DP69)+0.284)</f>
        <v>55.601482665025273</v>
      </c>
      <c r="DR69" s="20">
        <f t="shared" si="70"/>
        <v>491.93995497491869</v>
      </c>
      <c r="DS69" s="59">
        <f t="shared" si="71"/>
        <v>756.39301409210577</v>
      </c>
      <c r="DT69" s="59">
        <f ca="1">AVERAGE(OFFSET($DS$3,0,0,'Données projet'!$E$14+1,1))-AVERAGE(OFFSET($H$3,0,0,'Données projet'!$E$14+1,1))</f>
        <v>368.03281986807173</v>
      </c>
      <c r="DU69" s="59">
        <f t="shared" ref="DU69:DU132" si="98">$DU$3</f>
        <v>395.83504504492248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1.1959284834010306</v>
      </c>
      <c r="EB69" s="21">
        <f>EXP(-LN(2)/25)*EB68+(1-EXP(-LN(2)/25))/(LN(2)/25)*Calculateur!DW69*Calculateur!DY69*VLOOKUP('Données projet'!$B$14,Paramètres!$A$1:$I$89,3,0)*0.475*44/12</f>
        <v>5.6546538187230935</v>
      </c>
      <c r="EC69" s="21">
        <f>EXP(-LN(2)/2)*EC68+(1-EXP(-LN(2)/2))/(LN(2)/2)*DW69*DZ69*VLOOKUP('Données projet'!$B$14,Paramètres!$A$1:$I$89,3,0)*0.475*44/12</f>
        <v>8.4509352880709449E-5</v>
      </c>
      <c r="ED69" s="22">
        <f t="shared" si="72"/>
        <v>6.8506668114770051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225.2264820414552</v>
      </c>
      <c r="EP69" s="59">
        <f t="shared" ref="EP69:EP132" si="100">$EP$3</f>
        <v>249.91838548328681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1.0844584276608389</v>
      </c>
      <c r="EW69" s="21">
        <f>EXP(-LN(2)/25)*EW68+(1-EXP(-LN(2)/25))/(LN(2)/25)*Calculateur!ER69*Calculateur!ET69*VLOOKUP('Données projet'!$B$15,Paramètres!$A$1:$I$89,3,0)*0.475*44/12</f>
        <v>3.1901671798324824</v>
      </c>
      <c r="EX69" s="21">
        <f>EXP(-LN(2)/2)*EX68+(1-EXP(-LN(2)/2))/(LN(2)/2)*ER69*EU69*VLOOKUP('Données projet'!$B$15,Paramètres!$A$1:$I$89,3,0)*0.475*44/12</f>
        <v>1.5432444040973435E-5</v>
      </c>
      <c r="EY69" s="22">
        <f t="shared" si="75"/>
        <v>4.2746410399373627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15.8</v>
      </c>
      <c r="FE69" s="12">
        <f>IF('Données projet'!$A$218&gt;35,FE68+FD69-FM68,IF(A69&lt;'Données projet'!$A$218,$FB$205^A69,IF(A69='Données projet'!$A$218,'Données projet'!$B$218,FE68+FD69-FM68)))</f>
        <v>677.79999999999916</v>
      </c>
      <c r="FF69" s="17">
        <f>FE69*VLOOKUP('Données projet'!$B$16,Paramètres!$A$1:$I$89,3,0)*VLOOKUP('Données projet'!$B$16,Paramètres!$A$1:$I$89,5,0)</f>
        <v>378.89019999999948</v>
      </c>
      <c r="FG69" s="13">
        <f t="shared" ref="FG69:FG132" si="101">EXP(-1.0587+0.8836*LN(FF69)+0.284)</f>
        <v>87.483566664488848</v>
      </c>
      <c r="FH69" s="20">
        <f t="shared" si="76"/>
        <v>812.26764360731715</v>
      </c>
      <c r="FI69" s="59">
        <f t="shared" si="77"/>
        <v>1076.7207027245042</v>
      </c>
      <c r="FJ69" s="59">
        <f ca="1">AVERAGE(OFFSET($FI$3,0,0,'Données projet'!$E$16+1,1))-AVERAGE(OFFSET($H$3,0,0,'Données projet'!$E$16+1,1))</f>
        <v>549.85684198202534</v>
      </c>
      <c r="FK69" s="59">
        <f t="shared" ref="FK69:FK132" si="102">$FK$3</f>
        <v>539.63748606275431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5.5979631137920594</v>
      </c>
      <c r="FR69" s="21">
        <f>EXP(-LN(2)/25)*FR68+(1-EXP(-LN(2)/25))/(LN(2)/25)*Calculateur!FM69*Calculateur!FO69*VLOOKUP('Données projet'!$B$16,Paramètres!$A$1:$I$89,3,0)*0.475*44/12</f>
        <v>14.285451299570928</v>
      </c>
      <c r="FS69" s="21">
        <f>EXP(-LN(2)/2)*FS68+(1-EXP(-LN(2)/2))/(LN(2)/2)*FM69*FP69*VLOOKUP('Données projet'!$B$16,Paramètres!$A$1:$I$89,3,0)*0.475*44/12</f>
        <v>1.3912922422422064E-4</v>
      </c>
      <c r="FT69" s="22">
        <f t="shared" si="78"/>
        <v>19.883553542587212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13.4</v>
      </c>
      <c r="FZ69" s="12">
        <f>IF('Données projet'!$A$244&gt;35,FZ68+FY69-GH68,IF(A69&lt;'Données projet'!$A$244,$FW$205^A69,IF(A69='Données projet'!$A$244,'Données projet'!$B$244,FZ68+FY69-GH68)))</f>
        <v>572.39999999999952</v>
      </c>
      <c r="GA69" s="17">
        <f>FZ69*VLOOKUP('Données projet'!$B$17,Paramètres!$A$1:$I$89,3,0)*VLOOKUP('Données projet'!$B$17,Paramètres!$A$1:$I$89,5,0)</f>
        <v>342.29519999999974</v>
      </c>
      <c r="GB69" s="13">
        <f t="shared" ref="GB69:GB132" si="103">EXP(-1.0587+0.8836*LN(GA69)+0.284)</f>
        <v>79.97396343304068</v>
      </c>
      <c r="GC69" s="20">
        <f t="shared" si="79"/>
        <v>735.45212631254537</v>
      </c>
      <c r="GD69" s="59">
        <f t="shared" si="80"/>
        <v>999.90518542973246</v>
      </c>
      <c r="GE69" s="59">
        <f ca="1">AVERAGE(OFFSET($GD$3,0,0,'Données projet'!$E$17+1,1))-AVERAGE(OFFSET($H$3,0,0,'Données projet'!$E$17+1,1))</f>
        <v>495.6641415122013</v>
      </c>
      <c r="GF69" s="59">
        <f t="shared" ref="GF69:GF132" si="104">$GF$3</f>
        <v>488.90534169400757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1.9598788406849152</v>
      </c>
      <c r="GM69" s="21">
        <f>EXP(-LN(2)/25)*GM68+(1-EXP(-LN(2)/25))/(LN(2)/25)*Calculateur!GH69*Calculateur!GJ69*VLOOKUP('Données projet'!$B$17,Paramètres!$A$1:$I$89,3,0)*0.475*44/12</f>
        <v>9.5846269216706439</v>
      </c>
      <c r="GN69" s="21">
        <f>EXP(-LN(2)/2)*GN68+(1-EXP(-LN(2)/2))/(LN(2)/2)*GH69*GK69*VLOOKUP('Données projet'!$B$17,Paramètres!$A$1:$I$89,3,0)*0.475*44/12</f>
        <v>1.3259633405079057E-4</v>
      </c>
      <c r="GO69" s="21">
        <f t="shared" si="81"/>
        <v>11.54463835868961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13.4</v>
      </c>
      <c r="GU69" s="12">
        <f>IF('Données projet'!$A$270&gt;35,GU68+GT69-HC68,IF(A69&lt;'Données projet'!$A$270,$GR$205^A69,IF(A69='Données projet'!$A$270,'Données projet'!$B$270,GU68+GT69-HC68)))</f>
        <v>572.39999999999952</v>
      </c>
      <c r="GV69" s="17">
        <f>GU69*VLOOKUP('Données projet'!$B$18,Paramètres!$A$1:$I$89,3,0)*VLOOKUP('Données projet'!$B$18,Paramètres!$A$1:$I$89,5,0)</f>
        <v>342.29519999999974</v>
      </c>
      <c r="GW69" s="13">
        <f t="shared" ref="GW69:GW132" si="105">EXP(-1.0587+0.8836*LN(GV69)+0.284)</f>
        <v>79.97396343304068</v>
      </c>
      <c r="GX69" s="20">
        <f t="shared" si="82"/>
        <v>735.45212631254537</v>
      </c>
      <c r="GY69" s="59">
        <f t="shared" si="83"/>
        <v>999.90518542973246</v>
      </c>
      <c r="GZ69" s="59">
        <f ca="1">AVERAGE(OFFSET($GY$3,0,0,'Données projet'!$E$18+1,1))-AVERAGE(OFFSET($H$3,0,0,'Données projet'!$E$18+1,1))</f>
        <v>-18.333333333333343</v>
      </c>
      <c r="HA69" s="59">
        <f t="shared" ref="HA69:HA132" si="106">$HA$3</f>
        <v>-18.333333333333343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1.9598788406849152</v>
      </c>
      <c r="HH69" s="21">
        <f>EXP(-LN(2)/25)*HH68+(1-EXP(-LN(2)/25))/(LN(2)/25)*Calculateur!HC69*Calculateur!HE69*VLOOKUP('Données projet'!$B$18,Paramètres!$A$1:$I$89,3,0)*0.475*44/12</f>
        <v>9.5846269216706439</v>
      </c>
      <c r="HI69" s="21">
        <f>EXP(-LN(2)/2)*HI68+(1-EXP(-LN(2)/2))/(LN(2)/2)*HC69*HF69*VLOOKUP('Données projet'!$B$18,Paramètres!$A$1:$I$89,3,0)*0.475*44/12</f>
        <v>1.3259633405079057E-4</v>
      </c>
      <c r="HJ69" s="22">
        <f t="shared" si="84"/>
        <v>11.54463835868961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399.89999999999986</v>
      </c>
      <c r="O70" s="13">
        <f>N70*VLOOKUP('Données projet'!$B$9,Paramètres!$A$1:$I$89,3,0)*VLOOKUP('Données projet'!$B$9,Paramètres!$A$1:$I$89,5,0)</f>
        <v>187.15319999999994</v>
      </c>
      <c r="P70" s="13">
        <f t="shared" si="87"/>
        <v>46.9100138680691</v>
      </c>
      <c r="Q70" s="20">
        <f t="shared" si="54"/>
        <v>407.66009748688685</v>
      </c>
      <c r="R70" s="59">
        <f t="shared" si="55"/>
        <v>672.61416479510376</v>
      </c>
      <c r="S70" s="59">
        <f ca="1">AVERAGE(OFFSET($R$3,0,0,'Données projet'!$E$9+1,1))-AVERAGE(OFFSET($H$3,0,0,'Données projet'!$E$9+1,1))</f>
        <v>376.11581547534814</v>
      </c>
      <c r="T70" s="59">
        <f t="shared" si="88"/>
        <v>300.91675649863294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1.5064262350815258</v>
      </c>
      <c r="AA70" s="21">
        <f>EXP(-LN(2)/25)*AA69+(1-EXP(-LN(2)/25))/(LN(2)/25)*Calculateur!V70*Calculateur!X70*VLOOKUP('Données projet'!$B$9,Paramètres!$A$1:$I$89,3,0)*0.475*44/12</f>
        <v>2.8160960840024623</v>
      </c>
      <c r="AB70" s="21">
        <f>EXP(-LN(2)/2)*AB69+(1-EXP(-LN(2)/2))/(LN(2)/2)*V70*Y70*VLOOKUP('Données projet'!$B$9,Paramètres!$A$1:$I$89,3,0)*0.475*44/12</f>
        <v>2.6521296169434269E-5</v>
      </c>
      <c r="AC70" s="22">
        <f t="shared" si="57"/>
        <v>4.3225488403801577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275.51159999999999</v>
      </c>
      <c r="AK70" s="13">
        <f t="shared" si="89"/>
        <v>66.017590685458188</v>
      </c>
      <c r="AL70" s="20">
        <f t="shared" si="58"/>
        <v>594.83000711050624</v>
      </c>
      <c r="AM70" s="59">
        <f t="shared" si="59"/>
        <v>859.78407441872309</v>
      </c>
      <c r="AN70" s="59">
        <f ca="1">AVERAGE(OFFSET($AM$3,0,0,'Données projet'!$E$10+1,1))-AVERAGE(OFFSET($H$3,0,0,'Données projet'!$E$10+1,1))</f>
        <v>505.38595282220405</v>
      </c>
      <c r="AO70" s="59">
        <f t="shared" si="90"/>
        <v>351.72130415456365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1.1575092630907455</v>
      </c>
      <c r="AV70" s="21">
        <f>EXP(-LN(2)/25)*AV69+(1-EXP(-LN(2)/25))/(LN(2)/25)*Calculateur!AQ70*Calculateur!AS70*VLOOKUP('Données projet'!$B$10,Paramètres!$A$1:$I$89,3,0)*0.475*44/12</f>
        <v>4.0447641644551249</v>
      </c>
      <c r="AW70" s="21">
        <f>EXP(-LN(2)/2)*AW69+(1-EXP(-LN(2)/2))/(LN(2)/2)*AQ70*AT70*VLOOKUP('Données projet'!$B$10,Paramètres!$A$1:$I$89,3,0)*0.475*44/12</f>
        <v>5.8137934075043451E-5</v>
      </c>
      <c r="AX70" s="21">
        <f t="shared" si="60"/>
        <v>5.2023315654799456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250.05707999999984</v>
      </c>
      <c r="BF70" s="13">
        <f t="shared" si="91"/>
        <v>60.598163512847748</v>
      </c>
      <c r="BG70" s="20">
        <f t="shared" si="61"/>
        <v>541.05788245154292</v>
      </c>
      <c r="BH70" s="59">
        <f t="shared" si="62"/>
        <v>806.01194975975977</v>
      </c>
      <c r="BI70" s="59">
        <f ca="1">AVERAGE(OFFSET($BH$3,0,0,'Données projet'!$E$11+1,1))-AVERAGE(OFFSET($H$3,0,0,'Données projet'!$E$11+1,1))</f>
        <v>394.14657090341535</v>
      </c>
      <c r="BJ70" s="59">
        <f t="shared" si="92"/>
        <v>424.06445894109982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1.5681372985837441</v>
      </c>
      <c r="BQ70" s="21">
        <f>EXP(-LN(2)/25)*BQ69+(1-EXP(-LN(2)/25))/(LN(2)/25)*Calculateur!BL70*Calculateur!BN70*VLOOKUP('Données projet'!$B$11,Paramètres!$A$1:$I$89,3,0)*0.475*44/12</f>
        <v>7.3560480036056317</v>
      </c>
      <c r="BR70" s="21">
        <f>EXP(-LN(2)/2)*BR69+(1-EXP(-LN(2)/2))/(LN(2)/2)*BL70*BO70*VLOOKUP('Données projet'!$B$11,Paramètres!$A$1:$I$89,3,0)*0.475*44/12</f>
        <v>6.4842850239945859E-5</v>
      </c>
      <c r="BS70" s="22">
        <f t="shared" si="63"/>
        <v>8.9242501450396148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9.8000000000000007</v>
      </c>
      <c r="BY70" s="12">
        <f>IF('Données projet'!$A$114&gt;35,BY69+BX70-CG69,IF(A70&lt;'Données projet'!$A$114,$BV$205^A70,IF(A70='Données projet'!$A$114,'Données projet'!$B$114,BY69+BX70-CG69)))</f>
        <v>434.60000000000031</v>
      </c>
      <c r="BZ70" s="13">
        <f>BY70*VLOOKUP('Données projet'!$B$12,Paramètres!$A$1:$I$89,3,0)*VLOOKUP('Données projet'!$B$12,Paramètres!$A$1:$I$89,5,0)</f>
        <v>237.29160000000016</v>
      </c>
      <c r="CA70" s="13">
        <f t="shared" si="93"/>
        <v>57.856420685099636</v>
      </c>
      <c r="CB70" s="20">
        <f t="shared" si="64"/>
        <v>514.04946935988221</v>
      </c>
      <c r="CC70" s="59">
        <f t="shared" si="65"/>
        <v>779.00353666809906</v>
      </c>
      <c r="CD70" s="59">
        <f ca="1">AVERAGE(OFFSET($CC$3,0,0,'Données projet'!$E$12+1,1))-AVERAGE(OFFSET($H$3,0,0,'Données projet'!$E$12+1,1))</f>
        <v>382.09004346384319</v>
      </c>
      <c r="CE70" s="59">
        <f t="shared" si="94"/>
        <v>410.18893995284986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4.0935171212752097</v>
      </c>
      <c r="CL70" s="21">
        <f>EXP(-LN(2)/25)*CL69+(1-EXP(-LN(2)/25))/(LN(2)/25)*Calculateur!CG70*Calculateur!CI70*VLOOKUP('Données projet'!$B$12,Paramètres!$A$1:$I$89,3,0)*0.475*44/12</f>
        <v>12.202148879691626</v>
      </c>
      <c r="CM70" s="21">
        <f>EXP(-LN(2)/2)*CM69+(1-EXP(-LN(2)/2))/(LN(2)/2)*CG70*CJ70*VLOOKUP('Données projet'!$B$12,Paramètres!$A$1:$I$89,3,0)*0.475*44/12</f>
        <v>6.7927033510403181E-5</v>
      </c>
      <c r="CN70" s="22">
        <f t="shared" si="66"/>
        <v>16.295733928000345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5.6</v>
      </c>
      <c r="CT70" s="12">
        <f>IF('Données projet'!$A$140&gt;35,CT69+CS70-DB69,IF(A70&lt;'Données projet'!$A$140,$CQ$205^A70,IF(A70='Données projet'!$A$140,'Données projet'!$B$140,CT69+CS70-DB69)))</f>
        <v>255.19999999999993</v>
      </c>
      <c r="CU70" s="17">
        <f>CT70*VLOOKUP('Données projet'!$B$13,Paramètres!$A$1:$I$89,3,0)*VLOOKUP('Données projet'!$B$13,Paramètres!$A$1:$I$89,5,0)</f>
        <v>222.94271999999998</v>
      </c>
      <c r="CV70" s="13">
        <f t="shared" si="95"/>
        <v>54.753975927514929</v>
      </c>
      <c r="CW70" s="20">
        <f t="shared" si="67"/>
        <v>483.65507874042174</v>
      </c>
      <c r="CX70" s="59">
        <f t="shared" si="68"/>
        <v>748.60914604863865</v>
      </c>
      <c r="CY70" s="59">
        <f ca="1">AVERAGE(OFFSET($CX$3,0,0,'Données projet'!$E$13+1,1))-AVERAGE(OFFSET($H$3,0,0,'Données projet'!$E$13+1,1))</f>
        <v>363.02374534486341</v>
      </c>
      <c r="CZ70" s="59">
        <f t="shared" si="96"/>
        <v>489.00477393029598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3.5124419017926072</v>
      </c>
      <c r="DG70" s="21">
        <f>EXP(-LN(2)/25)*DG69+(1-EXP(-LN(2)/25))/(LN(2)/25)*Calculateur!DB70*Calculateur!DD70*VLOOKUP('Données projet'!$B$13,Paramètres!$A$1:$I$89,3,0)*0.475*44/12</f>
        <v>6.9412140028071905</v>
      </c>
      <c r="DH70" s="21">
        <f>EXP(-LN(2)/2)*DH69+(1-EXP(-LN(2)/2))/(LN(2)/2)*DB70*DE70*VLOOKUP('Données projet'!$B$13,Paramètres!$A$1:$I$89,3,0)*0.475*44/12</f>
        <v>7.9074067335885615E-5</v>
      </c>
      <c r="DI70" s="22">
        <f t="shared" si="69"/>
        <v>10.453734978667134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>
        <f>DO70*VLOOKUP('Données projet'!$B$14,Paramètres!$A$1:$I$89,3,0)*VLOOKUP('Données projet'!$B$14,Paramètres!$A$1:$I$89,5,0)</f>
        <v>230.44475999999983</v>
      </c>
      <c r="DQ70" s="13">
        <f t="shared" si="97"/>
        <v>56.378838226372416</v>
      </c>
      <c r="DR70" s="20">
        <f t="shared" si="70"/>
        <v>499.55110024426494</v>
      </c>
      <c r="DS70" s="59">
        <f t="shared" si="71"/>
        <v>764.50516755248191</v>
      </c>
      <c r="DT70" s="59">
        <f ca="1">AVERAGE(OFFSET($DS$3,0,0,'Données projet'!$E$14+1,1))-AVERAGE(OFFSET($H$3,0,0,'Données projet'!$E$14+1,1))</f>
        <v>368.03281986807173</v>
      </c>
      <c r="DU70" s="59">
        <f t="shared" si="98"/>
        <v>395.83504504492248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1.1724770552858848</v>
      </c>
      <c r="EB70" s="21">
        <f>EXP(-LN(2)/25)*EB69+(1-EXP(-LN(2)/25))/(LN(2)/25)*Calculateur!DW70*Calculateur!DY70*VLOOKUP('Données projet'!$B$14,Paramètres!$A$1:$I$89,3,0)*0.475*44/12</f>
        <v>5.5000270126847903</v>
      </c>
      <c r="EC70" s="21">
        <f>EXP(-LN(2)/2)*EC69+(1-EXP(-LN(2)/2))/(LN(2)/2)*DW70*DZ70*VLOOKUP('Données projet'!$B$14,Paramètres!$A$1:$I$89,3,0)*0.475*44/12</f>
        <v>5.9757136495636548E-5</v>
      </c>
      <c r="ED70" s="22">
        <f t="shared" si="72"/>
        <v>6.6725638251071713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225.2264820414552</v>
      </c>
      <c r="EP70" s="59">
        <f t="shared" si="100"/>
        <v>249.91838548328681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1.0631928593487374</v>
      </c>
      <c r="EW70" s="21">
        <f>EXP(-LN(2)/25)*EW69+(1-EXP(-LN(2)/25))/(LN(2)/25)*Calculateur!ER70*Calculateur!ET70*VLOOKUP('Données projet'!$B$15,Paramètres!$A$1:$I$89,3,0)*0.475*44/12</f>
        <v>3.1029318905363623</v>
      </c>
      <c r="EX70" s="21">
        <f>EXP(-LN(2)/2)*EX69+(1-EXP(-LN(2)/2))/(LN(2)/2)*ER70*EU70*VLOOKUP('Données projet'!$B$15,Paramètres!$A$1:$I$89,3,0)*0.475*44/12</f>
        <v>1.0912385831654242E-5</v>
      </c>
      <c r="EY70" s="22">
        <f t="shared" si="75"/>
        <v>4.1661356622709311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15.8</v>
      </c>
      <c r="FE70" s="12">
        <f>IF('Données projet'!$A$218&gt;35,FE69+FD70-FM69,IF(A70&lt;'Données projet'!$A$218,$FB$205^A70,IF(A70='Données projet'!$A$218,'Données projet'!$B$218,FE69+FD70-FM69)))</f>
        <v>693.59999999999911</v>
      </c>
      <c r="FF70" s="17">
        <f>FE70*VLOOKUP('Données projet'!$B$16,Paramètres!$A$1:$I$89,3,0)*VLOOKUP('Données projet'!$B$16,Paramètres!$A$1:$I$89,5,0)</f>
        <v>387.72239999999948</v>
      </c>
      <c r="FG70" s="13">
        <f t="shared" si="101"/>
        <v>89.283072113397623</v>
      </c>
      <c r="FH70" s="20">
        <f t="shared" si="76"/>
        <v>830.78453059749984</v>
      </c>
      <c r="FI70" s="59">
        <f t="shared" si="77"/>
        <v>1095.7385979057167</v>
      </c>
      <c r="FJ70" s="59">
        <f ca="1">AVERAGE(OFFSET($FI$3,0,0,'Données projet'!$E$16+1,1))-AVERAGE(OFFSET($H$3,0,0,'Données projet'!$E$16+1,1))</f>
        <v>549.85684198202534</v>
      </c>
      <c r="FK70" s="59">
        <f t="shared" si="102"/>
        <v>539.63748606275431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5.4881904715509506</v>
      </c>
      <c r="FR70" s="21">
        <f>EXP(-LN(2)/25)*FR69+(1-EXP(-LN(2)/25))/(LN(2)/25)*Calculateur!FM70*Calculateur!FO70*VLOOKUP('Données projet'!$B$16,Paramètres!$A$1:$I$89,3,0)*0.475*44/12</f>
        <v>13.894814882544928</v>
      </c>
      <c r="FS70" s="21">
        <f>EXP(-LN(2)/2)*FS69+(1-EXP(-LN(2)/2))/(LN(2)/2)*FM70*FP70*VLOOKUP('Données projet'!$B$16,Paramètres!$A$1:$I$89,3,0)*0.475*44/12</f>
        <v>9.8379217910170093E-5</v>
      </c>
      <c r="FT70" s="22">
        <f t="shared" si="78"/>
        <v>19.383103733313789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13.4</v>
      </c>
      <c r="FZ70" s="12">
        <f>IF('Données projet'!$A$244&gt;35,FZ69+FY70-GH69,IF(A70&lt;'Données projet'!$A$244,$FW$205^A70,IF(A70='Données projet'!$A$244,'Données projet'!$B$244,FZ69+FY70-GH69)))</f>
        <v>585.7999999999995</v>
      </c>
      <c r="GA70" s="17">
        <f>FZ70*VLOOKUP('Données projet'!$B$17,Paramètres!$A$1:$I$89,3,0)*VLOOKUP('Données projet'!$B$17,Paramètres!$A$1:$I$89,5,0)</f>
        <v>350.30839999999972</v>
      </c>
      <c r="GB70" s="13">
        <f t="shared" si="103"/>
        <v>81.626010745433447</v>
      </c>
      <c r="GC70" s="20">
        <f t="shared" si="79"/>
        <v>752.28576538162952</v>
      </c>
      <c r="GD70" s="59">
        <f t="shared" si="80"/>
        <v>1017.2398326898465</v>
      </c>
      <c r="GE70" s="59">
        <f ca="1">AVERAGE(OFFSET($GD$3,0,0,'Données projet'!$E$17+1,1))-AVERAGE(OFFSET($H$3,0,0,'Données projet'!$E$17+1,1))</f>
        <v>495.6641415122013</v>
      </c>
      <c r="GF70" s="59">
        <f t="shared" si="104"/>
        <v>488.90534169400757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1.9214468120271402</v>
      </c>
      <c r="GM70" s="21">
        <f>EXP(-LN(2)/25)*GM69+(1-EXP(-LN(2)/25))/(LN(2)/25)*Calculateur!GH70*Calculateur!GJ70*VLOOKUP('Données projet'!$B$17,Paramètres!$A$1:$I$89,3,0)*0.475*44/12</f>
        <v>9.3225347944639356</v>
      </c>
      <c r="GN70" s="21">
        <f>EXP(-LN(2)/2)*GN69+(1-EXP(-LN(2)/2))/(LN(2)/2)*GH70*GK70*VLOOKUP('Données projet'!$B$17,Paramètres!$A$1:$I$89,3,0)*0.475*44/12</f>
        <v>9.3759766967790731E-5</v>
      </c>
      <c r="GO70" s="21">
        <f t="shared" si="81"/>
        <v>11.244075366258043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13.4</v>
      </c>
      <c r="GU70" s="12">
        <f>IF('Données projet'!$A$270&gt;35,GU69+GT70-HC69,IF(A70&lt;'Données projet'!$A$270,$GR$205^A70,IF(A70='Données projet'!$A$270,'Données projet'!$B$270,GU69+GT70-HC69)))</f>
        <v>585.7999999999995</v>
      </c>
      <c r="GV70" s="17">
        <f>GU70*VLOOKUP('Données projet'!$B$18,Paramètres!$A$1:$I$89,3,0)*VLOOKUP('Données projet'!$B$18,Paramètres!$A$1:$I$89,5,0)</f>
        <v>350.30839999999972</v>
      </c>
      <c r="GW70" s="13">
        <f t="shared" si="105"/>
        <v>81.626010745433447</v>
      </c>
      <c r="GX70" s="20">
        <f t="shared" si="82"/>
        <v>752.28576538162952</v>
      </c>
      <c r="GY70" s="59">
        <f t="shared" si="83"/>
        <v>1017.2398326898465</v>
      </c>
      <c r="GZ70" s="59">
        <f ca="1">AVERAGE(OFFSET($GY$3,0,0,'Données projet'!$E$18+1,1))-AVERAGE(OFFSET($H$3,0,0,'Données projet'!$E$18+1,1))</f>
        <v>-18.333333333333343</v>
      </c>
      <c r="HA70" s="59">
        <f t="shared" si="106"/>
        <v>-18.333333333333343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1.9214468120271402</v>
      </c>
      <c r="HH70" s="21">
        <f>EXP(-LN(2)/25)*HH69+(1-EXP(-LN(2)/25))/(LN(2)/25)*Calculateur!HC70*Calculateur!HE70*VLOOKUP('Données projet'!$B$18,Paramètres!$A$1:$I$89,3,0)*0.475*44/12</f>
        <v>9.3225347944639356</v>
      </c>
      <c r="HI70" s="21">
        <f>EXP(-LN(2)/2)*HI69+(1-EXP(-LN(2)/2))/(LN(2)/2)*HC70*HF70*VLOOKUP('Données projet'!$B$18,Paramètres!$A$1:$I$89,3,0)*0.475*44/12</f>
        <v>9.3759766967790731E-5</v>
      </c>
      <c r="HJ70" s="22">
        <f t="shared" si="84"/>
        <v>11.244075366258043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415.39999999999986</v>
      </c>
      <c r="O71" s="13">
        <f>N71*VLOOKUP('Données projet'!$B$9,Paramètres!$A$1:$I$89,3,0)*VLOOKUP('Données projet'!$B$9,Paramètres!$A$1:$I$89,5,0)</f>
        <v>194.40719999999996</v>
      </c>
      <c r="P71" s="13">
        <f t="shared" si="87"/>
        <v>48.513018020179601</v>
      </c>
      <c r="Q71" s="20">
        <f t="shared" si="54"/>
        <v>423.08604638514606</v>
      </c>
      <c r="R71" s="59">
        <f t="shared" si="55"/>
        <v>688.53243051236495</v>
      </c>
      <c r="S71" s="59">
        <f ca="1">AVERAGE(OFFSET($R$3,0,0,'Données projet'!$E$9+1,1))-AVERAGE(OFFSET($H$3,0,0,'Données projet'!$E$9+1,1))</f>
        <v>376.11581547534814</v>
      </c>
      <c r="T71" s="59">
        <f t="shared" si="88"/>
        <v>300.91675649863294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1.4768861354408536</v>
      </c>
      <c r="AA71" s="21">
        <f>EXP(-LN(2)/25)*AA70+(1-EXP(-LN(2)/25))/(LN(2)/25)*Calculateur!V71*Calculateur!X71*VLOOKUP('Données projet'!$B$9,Paramètres!$A$1:$I$89,3,0)*0.475*44/12</f>
        <v>2.739089788493358</v>
      </c>
      <c r="AB71" s="21">
        <f>EXP(-LN(2)/2)*AB70+(1-EXP(-LN(2)/2))/(LN(2)/2)*V71*Y71*VLOOKUP('Données projet'!$B$9,Paramètres!$A$1:$I$89,3,0)*0.475*44/12</f>
        <v>1.8753388367263778E-5</v>
      </c>
      <c r="AC71" s="22">
        <f t="shared" si="57"/>
        <v>4.2159946773225787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283.20240000000001</v>
      </c>
      <c r="AK71" s="13">
        <f t="shared" si="89"/>
        <v>67.643319485855841</v>
      </c>
      <c r="AL71" s="20">
        <f t="shared" si="58"/>
        <v>611.05629477119896</v>
      </c>
      <c r="AM71" s="59">
        <f t="shared" si="59"/>
        <v>876.5026788984178</v>
      </c>
      <c r="AN71" s="59">
        <f ca="1">AVERAGE(OFFSET($AM$3,0,0,'Données projet'!$E$10+1,1))-AVERAGE(OFFSET($H$3,0,0,'Données projet'!$E$10+1,1))</f>
        <v>505.38595282220405</v>
      </c>
      <c r="AO71" s="59">
        <f t="shared" si="90"/>
        <v>351.72130415456365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1.1348112124524736</v>
      </c>
      <c r="AV71" s="21">
        <f>EXP(-LN(2)/25)*AV70+(1-EXP(-LN(2)/25))/(LN(2)/25)*Calculateur!AQ71*Calculateur!AS71*VLOOKUP('Données projet'!$B$10,Paramètres!$A$1:$I$89,3,0)*0.475*44/12</f>
        <v>3.9341598756731964</v>
      </c>
      <c r="AW71" s="21">
        <f>EXP(-LN(2)/2)*AW70+(1-EXP(-LN(2)/2))/(LN(2)/2)*AQ71*AT71*VLOOKUP('Données projet'!$B$10,Paramètres!$A$1:$I$89,3,0)*0.475*44/12</f>
        <v>4.1109727428639679E-5</v>
      </c>
      <c r="AX71" s="21">
        <f t="shared" si="60"/>
        <v>5.0690121978530982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253.95551999999984</v>
      </c>
      <c r="BF71" s="13">
        <f t="shared" si="91"/>
        <v>61.432180511879196</v>
      </c>
      <c r="BG71" s="20">
        <f t="shared" si="61"/>
        <v>549.30024505818926</v>
      </c>
      <c r="BH71" s="59">
        <f t="shared" si="62"/>
        <v>814.7466291854081</v>
      </c>
      <c r="BI71" s="59">
        <f ca="1">AVERAGE(OFFSET($BH$3,0,0,'Données projet'!$E$11+1,1))-AVERAGE(OFFSET($H$3,0,0,'Données projet'!$E$11+1,1))</f>
        <v>394.14657090341535</v>
      </c>
      <c r="BJ71" s="59">
        <f t="shared" si="92"/>
        <v>424.06445894109982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1.5373870826278255</v>
      </c>
      <c r="BQ71" s="21">
        <f>EXP(-LN(2)/25)*BQ70+(1-EXP(-LN(2)/25))/(LN(2)/25)*Calculateur!BL71*Calculateur!BN71*VLOOKUP('Données projet'!$B$11,Paramètres!$A$1:$I$89,3,0)*0.475*44/12</f>
        <v>7.1548964841092833</v>
      </c>
      <c r="BR71" s="21">
        <f>EXP(-LN(2)/2)*BR70+(1-EXP(-LN(2)/2))/(LN(2)/2)*BL71*BO71*VLOOKUP('Données projet'!$B$11,Paramètres!$A$1:$I$89,3,0)*0.475*44/12</f>
        <v>4.5850819116129467E-5</v>
      </c>
      <c r="BS71" s="22">
        <f t="shared" si="63"/>
        <v>8.6923294175562251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9.8000000000000007</v>
      </c>
      <c r="BY71" s="12">
        <f>IF('Données projet'!$A$114&gt;35,BY70+BX71-CG70,IF(A71&lt;'Données projet'!$A$114,$BV$205^A71,IF(A71='Données projet'!$A$114,'Données projet'!$B$114,BY70+BX71-CG70)))</f>
        <v>444.40000000000032</v>
      </c>
      <c r="BZ71" s="13">
        <f>BY71*VLOOKUP('Données projet'!$B$12,Paramètres!$A$1:$I$89,3,0)*VLOOKUP('Données projet'!$B$12,Paramètres!$A$1:$I$89,5,0)</f>
        <v>242.64240000000018</v>
      </c>
      <c r="CA71" s="13">
        <f t="shared" si="93"/>
        <v>59.007692897618305</v>
      </c>
      <c r="CB71" s="20">
        <f t="shared" si="64"/>
        <v>525.37391179668555</v>
      </c>
      <c r="CC71" s="59">
        <f t="shared" si="65"/>
        <v>790.82029592390438</v>
      </c>
      <c r="CD71" s="59">
        <f ca="1">AVERAGE(OFFSET($CC$3,0,0,'Données projet'!$E$12+1,1))-AVERAGE(OFFSET($H$3,0,0,'Données projet'!$E$12+1,1))</f>
        <v>382.09004346384319</v>
      </c>
      <c r="CE71" s="59">
        <f t="shared" si="94"/>
        <v>410.18893995284986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4.0132457473259082</v>
      </c>
      <c r="CL71" s="21">
        <f>EXP(-LN(2)/25)*CL70+(1-EXP(-LN(2)/25))/(LN(2)/25)*Calculateur!CG71*Calculateur!CI71*VLOOKUP('Données projet'!$B$12,Paramètres!$A$1:$I$89,3,0)*0.475*44/12</f>
        <v>11.868480476893337</v>
      </c>
      <c r="CM71" s="21">
        <f>EXP(-LN(2)/2)*CM70+(1-EXP(-LN(2)/2))/(LN(2)/2)*CG71*CJ71*VLOOKUP('Données projet'!$B$12,Paramètres!$A$1:$I$89,3,0)*0.475*44/12</f>
        <v>4.8031666021091944E-5</v>
      </c>
      <c r="CN71" s="22">
        <f t="shared" si="66"/>
        <v>15.881774255885267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</v>
      </c>
      <c r="CT71" s="12">
        <f>IF('Données projet'!$A$140&gt;35,CT70+CS71-DB70,IF(A71&lt;'Données projet'!$A$140,$CQ$205^A71,IF(A71='Données projet'!$A$140,'Données projet'!$B$140,CT70+CS71-DB70)))</f>
        <v>260.79999999999995</v>
      </c>
      <c r="CU71" s="17">
        <f>CT71*VLOOKUP('Données projet'!$B$13,Paramètres!$A$1:$I$89,3,0)*VLOOKUP('Données projet'!$B$13,Paramètres!$A$1:$I$89,5,0)</f>
        <v>227.83488</v>
      </c>
      <c r="CV71" s="13">
        <f t="shared" si="95"/>
        <v>55.814274578766934</v>
      </c>
      <c r="CW71" s="20">
        <f t="shared" si="67"/>
        <v>494.02227755801908</v>
      </c>
      <c r="CX71" s="59">
        <f t="shared" si="68"/>
        <v>759.46866168523798</v>
      </c>
      <c r="CY71" s="59">
        <f ca="1">AVERAGE(OFFSET($CX$3,0,0,'Données projet'!$E$13+1,1))-AVERAGE(OFFSET($H$3,0,0,'Données projet'!$E$13+1,1))</f>
        <v>363.02374534486341</v>
      </c>
      <c r="CZ71" s="59">
        <f t="shared" si="96"/>
        <v>489.00477393029598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3.4435650584764721</v>
      </c>
      <c r="DG71" s="21">
        <f>EXP(-LN(2)/25)*DG70+(1-EXP(-LN(2)/25))/(LN(2)/25)*Calculateur!DB71*Calculateur!DD71*VLOOKUP('Données projet'!$B$13,Paramètres!$A$1:$I$89,3,0)*0.475*44/12</f>
        <v>6.7514061408778474</v>
      </c>
      <c r="DH71" s="21">
        <f>EXP(-LN(2)/2)*DH70+(1-EXP(-LN(2)/2))/(LN(2)/2)*DB71*DE71*VLOOKUP('Données projet'!$B$13,Paramètres!$A$1:$I$89,3,0)*0.475*44/12</f>
        <v>5.5913809229206395E-5</v>
      </c>
      <c r="DI71" s="22">
        <f t="shared" si="69"/>
        <v>10.195027113163549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>
        <f>DO71*VLOOKUP('Données projet'!$B$14,Paramètres!$A$1:$I$89,3,0)*VLOOKUP('Données projet'!$B$14,Paramètres!$A$1:$I$89,5,0)</f>
        <v>234.03743999999983</v>
      </c>
      <c r="DQ71" s="13">
        <f t="shared" si="97"/>
        <v>57.154784339928689</v>
      </c>
      <c r="DR71" s="20">
        <f t="shared" si="70"/>
        <v>507.15979072537556</v>
      </c>
      <c r="DS71" s="59">
        <f t="shared" si="71"/>
        <v>772.60617485259445</v>
      </c>
      <c r="DT71" s="59">
        <f ca="1">AVERAGE(OFFSET($DS$3,0,0,'Données projet'!$E$14+1,1))-AVERAGE(OFFSET($H$3,0,0,'Données projet'!$E$14+1,1))</f>
        <v>368.03281986807173</v>
      </c>
      <c r="DU71" s="59">
        <f t="shared" si="98"/>
        <v>395.83504504492248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1.1494854953721181</v>
      </c>
      <c r="EB71" s="21">
        <f>EXP(-LN(2)/25)*EB70+(1-EXP(-LN(2)/25))/(LN(2)/25)*Calculateur!DW71*Calculateur!DY71*VLOOKUP('Données projet'!$B$14,Paramètres!$A$1:$I$89,3,0)*0.475*44/12</f>
        <v>5.3496284847890747</v>
      </c>
      <c r="EC71" s="21">
        <f>EXP(-LN(2)/2)*EC70+(1-EXP(-LN(2)/2))/(LN(2)/2)*DW71*DZ71*VLOOKUP('Données projet'!$B$14,Paramètres!$A$1:$I$89,3,0)*0.475*44/12</f>
        <v>4.2254676440354731E-5</v>
      </c>
      <c r="ED71" s="22">
        <f t="shared" si="72"/>
        <v>6.4991562348376331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225.2264820414552</v>
      </c>
      <c r="EP71" s="59">
        <f t="shared" si="100"/>
        <v>249.91838548328681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1.0423442958605205</v>
      </c>
      <c r="EW71" s="21">
        <f>EXP(-LN(2)/25)*EW70+(1-EXP(-LN(2)/25))/(LN(2)/25)*Calculateur!ER71*Calculateur!ET71*VLOOKUP('Données projet'!$B$15,Paramètres!$A$1:$I$89,3,0)*0.475*44/12</f>
        <v>3.0180820548135494</v>
      </c>
      <c r="EX71" s="21">
        <f>EXP(-LN(2)/2)*EX70+(1-EXP(-LN(2)/2))/(LN(2)/2)*ER71*EU71*VLOOKUP('Données projet'!$B$15,Paramètres!$A$1:$I$89,3,0)*0.475*44/12</f>
        <v>7.7162220204867176E-6</v>
      </c>
      <c r="EY71" s="22">
        <f t="shared" si="75"/>
        <v>4.0604340668960903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15.8</v>
      </c>
      <c r="FE71" s="12">
        <f>IF('Données projet'!$A$218&gt;35,FE70+FD71-FM70,IF(A71&lt;'Données projet'!$A$218,$FB$205^A71,IF(A71='Données projet'!$A$218,'Données projet'!$B$218,FE70+FD71-FM70)))</f>
        <v>709.39999999999907</v>
      </c>
      <c r="FF71" s="17">
        <f>FE71*VLOOKUP('Données projet'!$B$16,Paramètres!$A$1:$I$89,3,0)*VLOOKUP('Données projet'!$B$16,Paramètres!$A$1:$I$89,5,0)</f>
        <v>396.55459999999948</v>
      </c>
      <c r="FG71" s="13">
        <f t="shared" si="101"/>
        <v>91.077811955600495</v>
      </c>
      <c r="FH71" s="20">
        <f t="shared" si="76"/>
        <v>849.29311748933662</v>
      </c>
      <c r="FI71" s="59">
        <f t="shared" si="77"/>
        <v>1114.7395016165556</v>
      </c>
      <c r="FJ71" s="59">
        <f ca="1">AVERAGE(OFFSET($FI$3,0,0,'Données projet'!$E$16+1,1))-AVERAGE(OFFSET($H$3,0,0,'Données projet'!$E$16+1,1))</f>
        <v>549.85684198202534</v>
      </c>
      <c r="FK71" s="59">
        <f t="shared" si="102"/>
        <v>539.63748606275431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5.3805704038694895</v>
      </c>
      <c r="FR71" s="21">
        <f>EXP(-LN(2)/25)*FR70+(1-EXP(-LN(2)/25))/(LN(2)/25)*Calculateur!FM71*Calculateur!FO71*VLOOKUP('Données projet'!$B$16,Paramètres!$A$1:$I$89,3,0)*0.475*44/12</f>
        <v>13.514860438885179</v>
      </c>
      <c r="FS71" s="21">
        <f>EXP(-LN(2)/2)*FS70+(1-EXP(-LN(2)/2))/(LN(2)/2)*FM71*FP71*VLOOKUP('Données projet'!$B$16,Paramètres!$A$1:$I$89,3,0)*0.475*44/12</f>
        <v>6.9564612112110321E-5</v>
      </c>
      <c r="FT71" s="22">
        <f t="shared" si="78"/>
        <v>18.895500407366782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13.4</v>
      </c>
      <c r="FZ71" s="12">
        <f>IF('Données projet'!$A$244&gt;35,FZ70+FY71-GH70,IF(A71&lt;'Données projet'!$A$244,$FW$205^A71,IF(A71='Données projet'!$A$244,'Données projet'!$B$244,FZ70+FY71-GH70)))</f>
        <v>599.19999999999948</v>
      </c>
      <c r="GA71" s="17">
        <f>FZ71*VLOOKUP('Données projet'!$B$17,Paramètres!$A$1:$I$89,3,0)*VLOOKUP('Données projet'!$B$17,Paramètres!$A$1:$I$89,5,0)</f>
        <v>358.32159999999971</v>
      </c>
      <c r="GB71" s="13">
        <f t="shared" si="103"/>
        <v>83.273664737467598</v>
      </c>
      <c r="GC71" s="20">
        <f t="shared" si="79"/>
        <v>769.11175275108883</v>
      </c>
      <c r="GD71" s="59">
        <f t="shared" si="80"/>
        <v>1034.5581368783078</v>
      </c>
      <c r="GE71" s="59">
        <f ca="1">AVERAGE(OFFSET($GD$3,0,0,'Données projet'!$E$17+1,1))-AVERAGE(OFFSET($H$3,0,0,'Données projet'!$E$17+1,1))</f>
        <v>495.6641415122013</v>
      </c>
      <c r="GF71" s="59">
        <f t="shared" si="104"/>
        <v>488.90534169400757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1.8837684120101212</v>
      </c>
      <c r="GM71" s="21">
        <f>EXP(-LN(2)/25)*GM70+(1-EXP(-LN(2)/25))/(LN(2)/25)*Calculateur!GH71*Calculateur!GJ71*VLOOKUP('Données projet'!$B$17,Paramètres!$A$1:$I$89,3,0)*0.475*44/12</f>
        <v>9.0676095902585221</v>
      </c>
      <c r="GN71" s="21">
        <f>EXP(-LN(2)/2)*GN70+(1-EXP(-LN(2)/2))/(LN(2)/2)*GH71*GK71*VLOOKUP('Données projet'!$B$17,Paramètres!$A$1:$I$89,3,0)*0.475*44/12</f>
        <v>6.6298167025395286E-5</v>
      </c>
      <c r="GO71" s="21">
        <f t="shared" si="81"/>
        <v>10.95144430043567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13.4</v>
      </c>
      <c r="GU71" s="12">
        <f>IF('Données projet'!$A$270&gt;35,GU70+GT71-HC70,IF(A71&lt;'Données projet'!$A$270,$GR$205^A71,IF(A71='Données projet'!$A$270,'Données projet'!$B$270,GU70+GT71-HC70)))</f>
        <v>599.19999999999948</v>
      </c>
      <c r="GV71" s="17">
        <f>GU71*VLOOKUP('Données projet'!$B$18,Paramètres!$A$1:$I$89,3,0)*VLOOKUP('Données projet'!$B$18,Paramètres!$A$1:$I$89,5,0)</f>
        <v>358.32159999999971</v>
      </c>
      <c r="GW71" s="13">
        <f t="shared" si="105"/>
        <v>83.273664737467598</v>
      </c>
      <c r="GX71" s="20">
        <f t="shared" si="82"/>
        <v>769.11175275108883</v>
      </c>
      <c r="GY71" s="59">
        <f t="shared" si="83"/>
        <v>1034.5581368783078</v>
      </c>
      <c r="GZ71" s="59">
        <f ca="1">AVERAGE(OFFSET($GY$3,0,0,'Données projet'!$E$18+1,1))-AVERAGE(OFFSET($H$3,0,0,'Données projet'!$E$18+1,1))</f>
        <v>-18.333333333333343</v>
      </c>
      <c r="HA71" s="59">
        <f t="shared" si="106"/>
        <v>-18.333333333333343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1.8837684120101212</v>
      </c>
      <c r="HH71" s="21">
        <f>EXP(-LN(2)/25)*HH70+(1-EXP(-LN(2)/25))/(LN(2)/25)*Calculateur!HC71*Calculateur!HE71*VLOOKUP('Données projet'!$B$18,Paramètres!$A$1:$I$89,3,0)*0.475*44/12</f>
        <v>9.0676095902585221</v>
      </c>
      <c r="HI71" s="21">
        <f>EXP(-LN(2)/2)*HI70+(1-EXP(-LN(2)/2))/(LN(2)/2)*HC71*HF71*VLOOKUP('Données projet'!$B$18,Paramètres!$A$1:$I$89,3,0)*0.475*44/12</f>
        <v>6.6298167025395286E-5</v>
      </c>
      <c r="HJ71" s="22">
        <f t="shared" si="84"/>
        <v>10.95144430043567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430.89999999999986</v>
      </c>
      <c r="O72" s="13">
        <f>N72*VLOOKUP('Données projet'!$B$9,Paramètres!$A$1:$I$89,3,0)*VLOOKUP('Données projet'!$B$9,Paramètres!$A$1:$I$89,5,0)</f>
        <v>201.66119999999992</v>
      </c>
      <c r="P72" s="13">
        <f t="shared" si="87"/>
        <v>50.109073265229782</v>
      </c>
      <c r="Q72" s="20">
        <f t="shared" si="54"/>
        <v>438.49989260360843</v>
      </c>
      <c r="R72" s="59">
        <f t="shared" si="55"/>
        <v>704.43005295367493</v>
      </c>
      <c r="S72" s="59">
        <f ca="1">AVERAGE(OFFSET($R$3,0,0,'Données projet'!$E$9+1,1))-AVERAGE(OFFSET($H$3,0,0,'Données projet'!$E$9+1,1))</f>
        <v>376.11581547534814</v>
      </c>
      <c r="T72" s="59">
        <f t="shared" si="88"/>
        <v>300.91675649863294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1.4479252991364533</v>
      </c>
      <c r="AA72" s="21">
        <f>EXP(-LN(2)/25)*AA71+(1-EXP(-LN(2)/25))/(LN(2)/25)*Calculateur!V72*Calculateur!X72*VLOOKUP('Données projet'!$B$9,Paramètres!$A$1:$I$89,3,0)*0.475*44/12</f>
        <v>2.6641892341845357</v>
      </c>
      <c r="AB72" s="21">
        <f>EXP(-LN(2)/2)*AB71+(1-EXP(-LN(2)/2))/(LN(2)/2)*V72*Y72*VLOOKUP('Données projet'!$B$9,Paramètres!$A$1:$I$89,3,0)*0.475*44/12</f>
        <v>1.3260648084717135E-5</v>
      </c>
      <c r="AC72" s="22">
        <f t="shared" si="57"/>
        <v>4.1121277939690737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290.89320000000004</v>
      </c>
      <c r="AK72" s="13">
        <f t="shared" si="89"/>
        <v>69.263916768293996</v>
      </c>
      <c r="AL72" s="20">
        <f t="shared" si="58"/>
        <v>627.27364503811202</v>
      </c>
      <c r="AM72" s="59">
        <f t="shared" si="59"/>
        <v>893.20380538817858</v>
      </c>
      <c r="AN72" s="59">
        <f ca="1">AVERAGE(OFFSET($AM$3,0,0,'Données projet'!$E$10+1,1))-AVERAGE(OFFSET($H$3,0,0,'Données projet'!$E$10+1,1))</f>
        <v>505.38595282220405</v>
      </c>
      <c r="AO72" s="59">
        <f t="shared" si="90"/>
        <v>351.72130415456365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1.1125582567427745</v>
      </c>
      <c r="AV72" s="21">
        <f>EXP(-LN(2)/25)*AV71+(1-EXP(-LN(2)/25))/(LN(2)/25)*Calculateur!AQ72*Calculateur!AS72*VLOOKUP('Données projet'!$B$10,Paramètres!$A$1:$I$89,3,0)*0.475*44/12</f>
        <v>3.8265800669844365</v>
      </c>
      <c r="AW72" s="21">
        <f>EXP(-LN(2)/2)*AW71+(1-EXP(-LN(2)/2))/(LN(2)/2)*AQ72*AT72*VLOOKUP('Données projet'!$B$10,Paramètres!$A$1:$I$89,3,0)*0.475*44/12</f>
        <v>2.9068967037521732E-5</v>
      </c>
      <c r="AX72" s="21">
        <f t="shared" si="60"/>
        <v>4.939167392694249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257.8539599999998</v>
      </c>
      <c r="BF72" s="13">
        <f t="shared" si="91"/>
        <v>62.26470852302274</v>
      </c>
      <c r="BG72" s="20">
        <f t="shared" si="61"/>
        <v>557.54001434426425</v>
      </c>
      <c r="BH72" s="59">
        <f t="shared" si="62"/>
        <v>823.47017469433081</v>
      </c>
      <c r="BI72" s="59">
        <f ca="1">AVERAGE(OFFSET($BH$3,0,0,'Données projet'!$E$11+1,1))-AVERAGE(OFFSET($H$3,0,0,'Données projet'!$E$11+1,1))</f>
        <v>394.14657090341535</v>
      </c>
      <c r="BJ72" s="59">
        <f t="shared" si="92"/>
        <v>424.06445894109982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1.5072398596510228</v>
      </c>
      <c r="BQ72" s="21">
        <f>EXP(-LN(2)/25)*BQ71+(1-EXP(-LN(2)/25))/(LN(2)/25)*Calculateur!BL72*Calculateur!BN72*VLOOKUP('Données projet'!$B$11,Paramètres!$A$1:$I$89,3,0)*0.475*44/12</f>
        <v>6.9592454634916612</v>
      </c>
      <c r="BR72" s="21">
        <f>EXP(-LN(2)/2)*BR71+(1-EXP(-LN(2)/2))/(LN(2)/2)*BL72*BO72*VLOOKUP('Données projet'!$B$11,Paramètres!$A$1:$I$89,3,0)*0.475*44/12</f>
        <v>3.2421425119972929E-5</v>
      </c>
      <c r="BS72" s="22">
        <f t="shared" si="63"/>
        <v>8.4665177445678044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9.8000000000000007</v>
      </c>
      <c r="BY72" s="12">
        <f>IF('Données projet'!$A$114&gt;35,BY71+BX72-CG71,IF(A72&lt;'Données projet'!$A$114,$BV$205^A72,IF(A72='Données projet'!$A$114,'Données projet'!$B$114,BY71+BX72-CG71)))</f>
        <v>454.20000000000033</v>
      </c>
      <c r="BZ72" s="13">
        <f>BY72*VLOOKUP('Données projet'!$B$12,Paramètres!$A$1:$I$89,3,0)*VLOOKUP('Données projet'!$B$12,Paramètres!$A$1:$I$89,5,0)</f>
        <v>247.99320000000017</v>
      </c>
      <c r="CA72" s="13">
        <f t="shared" si="93"/>
        <v>60.15601347301552</v>
      </c>
      <c r="CB72" s="20">
        <f t="shared" si="64"/>
        <v>536.69321346550237</v>
      </c>
      <c r="CC72" s="59">
        <f t="shared" si="65"/>
        <v>802.62337381556893</v>
      </c>
      <c r="CD72" s="59">
        <f ca="1">AVERAGE(OFFSET($CC$3,0,0,'Données projet'!$E$12+1,1))-AVERAGE(OFFSET($H$3,0,0,'Données projet'!$E$12+1,1))</f>
        <v>382.09004346384319</v>
      </c>
      <c r="CE72" s="59">
        <f t="shared" si="94"/>
        <v>410.18893995284986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3.9345484460590492</v>
      </c>
      <c r="CL72" s="21">
        <f>EXP(-LN(2)/25)*CL71+(1-EXP(-LN(2)/25))/(LN(2)/25)*Calculateur!CG72*Calculateur!CI72*VLOOKUP('Données projet'!$B$12,Paramètres!$A$1:$I$89,3,0)*0.475*44/12</f>
        <v>11.543936254116426</v>
      </c>
      <c r="CM72" s="21">
        <f>EXP(-LN(2)/2)*CM71+(1-EXP(-LN(2)/2))/(LN(2)/2)*CG72*CJ72*VLOOKUP('Données projet'!$B$12,Paramètres!$A$1:$I$89,3,0)*0.475*44/12</f>
        <v>3.3963516755201591E-5</v>
      </c>
      <c r="CN72" s="22">
        <f t="shared" si="66"/>
        <v>15.478518663692229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</v>
      </c>
      <c r="CT72" s="12">
        <f>IF('Données projet'!$A$140&gt;35,CT71+CS72-DB71,IF(A72&lt;'Données projet'!$A$140,$CQ$205^A72,IF(A72='Données projet'!$A$140,'Données projet'!$B$140,CT71+CS72-DB71)))</f>
        <v>266.39999999999998</v>
      </c>
      <c r="CU72" s="17">
        <f>CT72*VLOOKUP('Données projet'!$B$13,Paramètres!$A$1:$I$89,3,0)*VLOOKUP('Données projet'!$B$13,Paramètres!$A$1:$I$89,5,0)</f>
        <v>232.72704000000002</v>
      </c>
      <c r="CV72" s="13">
        <f t="shared" si="95"/>
        <v>56.871926227931105</v>
      </c>
      <c r="CW72" s="20">
        <f t="shared" si="67"/>
        <v>504.38486618031328</v>
      </c>
      <c r="CX72" s="59">
        <f t="shared" si="68"/>
        <v>770.31502653037978</v>
      </c>
      <c r="CY72" s="59">
        <f ca="1">AVERAGE(OFFSET($CX$3,0,0,'Données projet'!$E$13+1,1))-AVERAGE(OFFSET($H$3,0,0,'Données projet'!$E$13+1,1))</f>
        <v>363.02374534486341</v>
      </c>
      <c r="CZ72" s="59">
        <f t="shared" si="96"/>
        <v>489.00477393029598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3.37603884804704</v>
      </c>
      <c r="DG72" s="21">
        <f>EXP(-LN(2)/25)*DG71+(1-EXP(-LN(2)/25))/(LN(2)/25)*Calculateur!DB72*Calculateur!DD72*VLOOKUP('Données projet'!$B$13,Paramètres!$A$1:$I$89,3,0)*0.475*44/12</f>
        <v>6.5667885849145247</v>
      </c>
      <c r="DH72" s="21">
        <f>EXP(-LN(2)/2)*DH71+(1-EXP(-LN(2)/2))/(LN(2)/2)*DB72*DE72*VLOOKUP('Données projet'!$B$13,Paramètres!$A$1:$I$89,3,0)*0.475*44/12</f>
        <v>3.9537033667942807E-5</v>
      </c>
      <c r="DI72" s="22">
        <f t="shared" si="69"/>
        <v>9.942866969995233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>
        <f>DO72*VLOOKUP('Données projet'!$B$14,Paramètres!$A$1:$I$89,3,0)*VLOOKUP('Données projet'!$B$14,Paramètres!$A$1:$I$89,5,0)</f>
        <v>237.63011999999978</v>
      </c>
      <c r="DQ72" s="13">
        <f t="shared" si="97"/>
        <v>57.929345140756112</v>
      </c>
      <c r="DR72" s="20">
        <f t="shared" si="70"/>
        <v>514.76606845348317</v>
      </c>
      <c r="DS72" s="59">
        <f t="shared" si="71"/>
        <v>780.69622880354973</v>
      </c>
      <c r="DT72" s="59">
        <f ca="1">AVERAGE(OFFSET($DS$3,0,0,'Données projet'!$E$14+1,1))-AVERAGE(OFFSET($H$3,0,0,'Données projet'!$E$14+1,1))</f>
        <v>368.03281986807173</v>
      </c>
      <c r="DU72" s="59">
        <f t="shared" si="98"/>
        <v>395.83504504492248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1.1269447859247934</v>
      </c>
      <c r="EB72" s="21">
        <f>EXP(-LN(2)/25)*EB71+(1-EXP(-LN(2)/25))/(LN(2)/25)*Calculateur!DW72*Calculateur!DY72*VLOOKUP('Données projet'!$B$14,Paramètres!$A$1:$I$89,3,0)*0.475*44/12</f>
        <v>5.2033426125477824</v>
      </c>
      <c r="EC72" s="21">
        <f>EXP(-LN(2)/2)*EC71+(1-EXP(-LN(2)/2))/(LN(2)/2)*DW72*DZ72*VLOOKUP('Données projet'!$B$14,Paramètres!$A$1:$I$89,3,0)*0.475*44/12</f>
        <v>2.9878568247818281E-5</v>
      </c>
      <c r="ED72" s="22">
        <f t="shared" si="72"/>
        <v>6.330317277040824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225.2264820414552</v>
      </c>
      <c r="EP72" s="59">
        <f t="shared" si="100"/>
        <v>249.91838548328681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1.0219045599859393</v>
      </c>
      <c r="EW72" s="21">
        <f>EXP(-LN(2)/25)*EW71+(1-EXP(-LN(2)/25))/(LN(2)/25)*Calculateur!ER72*Calculateur!ET72*VLOOKUP('Données projet'!$B$15,Paramètres!$A$1:$I$89,3,0)*0.475*44/12</f>
        <v>2.9355524423106356</v>
      </c>
      <c r="EX72" s="21">
        <f>EXP(-LN(2)/2)*EX71+(1-EXP(-LN(2)/2))/(LN(2)/2)*ER72*EU72*VLOOKUP('Données projet'!$B$15,Paramètres!$A$1:$I$89,3,0)*0.475*44/12</f>
        <v>5.4561929158271211E-6</v>
      </c>
      <c r="EY72" s="22">
        <f t="shared" si="75"/>
        <v>3.9574624584894909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15.8</v>
      </c>
      <c r="FE72" s="12">
        <f>IF('Données projet'!$A$218&gt;35,FE71+FD72-FM71,IF(A72&lt;'Données projet'!$A$218,$FB$205^A72,IF(A72='Données projet'!$A$218,'Données projet'!$B$218,FE71+FD72-FM71)))</f>
        <v>725.19999999999902</v>
      </c>
      <c r="FF72" s="17">
        <f>FE72*VLOOKUP('Données projet'!$B$16,Paramètres!$A$1:$I$89,3,0)*VLOOKUP('Données projet'!$B$16,Paramètres!$A$1:$I$89,5,0)</f>
        <v>405.38679999999943</v>
      </c>
      <c r="FG72" s="13">
        <f t="shared" si="101"/>
        <v>92.867904553465792</v>
      </c>
      <c r="FH72" s="20">
        <f t="shared" si="76"/>
        <v>867.79361043061851</v>
      </c>
      <c r="FI72" s="59">
        <f t="shared" si="77"/>
        <v>1133.7237707806851</v>
      </c>
      <c r="FJ72" s="59">
        <f ca="1">AVERAGE(OFFSET($FI$3,0,0,'Données projet'!$E$16+1,1))-AVERAGE(OFFSET($H$3,0,0,'Données projet'!$E$16+1,1))</f>
        <v>549.85684198202534</v>
      </c>
      <c r="FK72" s="59">
        <f t="shared" si="102"/>
        <v>539.63748606275431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5.2750607000735021</v>
      </c>
      <c r="FR72" s="21">
        <f>EXP(-LN(2)/25)*FR71+(1-EXP(-LN(2)/25))/(LN(2)/25)*Calculateur!FM72*Calculateur!FO72*VLOOKUP('Données projet'!$B$16,Paramètres!$A$1:$I$89,3,0)*0.475*44/12</f>
        <v>13.145295869468242</v>
      </c>
      <c r="FS72" s="21">
        <f>EXP(-LN(2)/2)*FS71+(1-EXP(-LN(2)/2))/(LN(2)/2)*FM72*FP72*VLOOKUP('Données projet'!$B$16,Paramètres!$A$1:$I$89,3,0)*0.475*44/12</f>
        <v>4.9189608955085047E-5</v>
      </c>
      <c r="FT72" s="22">
        <f t="shared" si="78"/>
        <v>18.4204057591507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13.4</v>
      </c>
      <c r="FZ72" s="12">
        <f>IF('Données projet'!$A$244&gt;35,FZ71+FY72-GH71,IF(A72&lt;'Données projet'!$A$244,$FW$205^A72,IF(A72='Données projet'!$A$244,'Données projet'!$B$244,FZ71+FY72-GH71)))</f>
        <v>612.59999999999945</v>
      </c>
      <c r="GA72" s="17">
        <f>FZ72*VLOOKUP('Données projet'!$B$17,Paramètres!$A$1:$I$89,3,0)*VLOOKUP('Données projet'!$B$17,Paramètres!$A$1:$I$89,5,0)</f>
        <v>366.33479999999969</v>
      </c>
      <c r="GB72" s="13">
        <f t="shared" si="103"/>
        <v>84.917034969569471</v>
      </c>
      <c r="GC72" s="20">
        <f t="shared" si="79"/>
        <v>785.93027923866612</v>
      </c>
      <c r="GD72" s="59">
        <f t="shared" si="80"/>
        <v>1051.8604395887328</v>
      </c>
      <c r="GE72" s="59">
        <f ca="1">AVERAGE(OFFSET($GD$3,0,0,'Données projet'!$E$17+1,1))-AVERAGE(OFFSET($H$3,0,0,'Données projet'!$E$17+1,1))</f>
        <v>495.6641415122013</v>
      </c>
      <c r="GF72" s="59">
        <f t="shared" si="104"/>
        <v>488.90534169400757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1.8468288624358813</v>
      </c>
      <c r="GM72" s="21">
        <f>EXP(-LN(2)/25)*GM71+(1-EXP(-LN(2)/25))/(LN(2)/25)*Calculateur!GH72*Calculateur!GJ72*VLOOKUP('Données projet'!$B$17,Paramètres!$A$1:$I$89,3,0)*0.475*44/12</f>
        <v>8.8196553291680395</v>
      </c>
      <c r="GN72" s="21">
        <f>EXP(-LN(2)/2)*GN71+(1-EXP(-LN(2)/2))/(LN(2)/2)*GH72*GK72*VLOOKUP('Données projet'!$B$17,Paramètres!$A$1:$I$89,3,0)*0.475*44/12</f>
        <v>4.6879883483895366E-5</v>
      </c>
      <c r="GO72" s="21">
        <f t="shared" si="81"/>
        <v>10.666531071487405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13.4</v>
      </c>
      <c r="GU72" s="12">
        <f>IF('Données projet'!$A$270&gt;35,GU71+GT72-HC71,IF(A72&lt;'Données projet'!$A$270,$GR$205^A72,IF(A72='Données projet'!$A$270,'Données projet'!$B$270,GU71+GT72-HC71)))</f>
        <v>612.59999999999945</v>
      </c>
      <c r="GV72" s="17">
        <f>GU72*VLOOKUP('Données projet'!$B$18,Paramètres!$A$1:$I$89,3,0)*VLOOKUP('Données projet'!$B$18,Paramètres!$A$1:$I$89,5,0)</f>
        <v>366.33479999999969</v>
      </c>
      <c r="GW72" s="13">
        <f t="shared" si="105"/>
        <v>84.917034969569471</v>
      </c>
      <c r="GX72" s="20">
        <f t="shared" si="82"/>
        <v>785.93027923866612</v>
      </c>
      <c r="GY72" s="59">
        <f t="shared" si="83"/>
        <v>1051.8604395887328</v>
      </c>
      <c r="GZ72" s="59">
        <f ca="1">AVERAGE(OFFSET($GY$3,0,0,'Données projet'!$E$18+1,1))-AVERAGE(OFFSET($H$3,0,0,'Données projet'!$E$18+1,1))</f>
        <v>-18.333333333333343</v>
      </c>
      <c r="HA72" s="59">
        <f t="shared" si="106"/>
        <v>-18.333333333333343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1.8468288624358813</v>
      </c>
      <c r="HH72" s="21">
        <f>EXP(-LN(2)/25)*HH71+(1-EXP(-LN(2)/25))/(LN(2)/25)*Calculateur!HC72*Calculateur!HE72*VLOOKUP('Données projet'!$B$18,Paramètres!$A$1:$I$89,3,0)*0.475*44/12</f>
        <v>8.8196553291680395</v>
      </c>
      <c r="HI72" s="21">
        <f>EXP(-LN(2)/2)*HI71+(1-EXP(-LN(2)/2))/(LN(2)/2)*HC72*HF72*VLOOKUP('Données projet'!$B$18,Paramètres!$A$1:$I$89,3,0)*0.475*44/12</f>
        <v>4.6879883483895366E-5</v>
      </c>
      <c r="HJ72" s="22">
        <f t="shared" si="84"/>
        <v>10.666531071487405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446.4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446.39999999999986</v>
      </c>
      <c r="O73" s="13">
        <f>N73*VLOOKUP('Données projet'!$B$9,Paramètres!$A$1:$I$89,3,0)*VLOOKUP('Données projet'!$B$9,Paramètres!$A$1:$I$89,5,0)</f>
        <v>208.91519999999994</v>
      </c>
      <c r="P73" s="13">
        <f t="shared" si="87"/>
        <v>51.698458198123326</v>
      </c>
      <c r="Q73" s="20">
        <f t="shared" si="54"/>
        <v>453.90212136173136</v>
      </c>
      <c r="R73" s="59">
        <f t="shared" si="55"/>
        <v>720.30766549874079</v>
      </c>
      <c r="S73" s="59">
        <f ca="1">AVERAGE(OFFSET($R$3,0,0,'Données projet'!$E$9+1,1))-AVERAGE(OFFSET($H$3,0,0,'Données projet'!$E$9+1,1))</f>
        <v>376.11581547534814</v>
      </c>
      <c r="T73" s="59">
        <f t="shared" si="88"/>
        <v>300.91675649863294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83.4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1.4195323671676163</v>
      </c>
      <c r="AA73" s="21">
        <f>EXP(-LN(2)/25)*AA72+(1-EXP(-LN(2)/25))/(LN(2)/25)*Calculateur!V73*Calculateur!X73*VLOOKUP('Données projet'!$B$9,Paramètres!$A$1:$I$89,3,0)*0.475*44/12</f>
        <v>2.5913368394721368</v>
      </c>
      <c r="AB73" s="21">
        <f>EXP(-LN(2)/2)*AB72+(1-EXP(-LN(2)/2))/(LN(2)/2)*V73*Y73*VLOOKUP('Données projet'!$B$9,Paramètres!$A$1:$I$89,3,0)*0.475*44/12</f>
        <v>9.3766941836318892E-6</v>
      </c>
      <c r="AC73" s="22">
        <f t="shared" si="57"/>
        <v>4.0108785833339367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298.58399999999995</v>
      </c>
      <c r="AK73" s="13">
        <f t="shared" si="89"/>
        <v>70.879533797607607</v>
      </c>
      <c r="AL73" s="20">
        <f t="shared" si="58"/>
        <v>643.48232136416652</v>
      </c>
      <c r="AM73" s="59">
        <f t="shared" si="59"/>
        <v>909.88786550117607</v>
      </c>
      <c r="AN73" s="59">
        <f ca="1">AVERAGE(OFFSET($AM$3,0,0,'Données projet'!$E$10+1,1))-AVERAGE(OFFSET($H$3,0,0,'Données projet'!$E$10+1,1))</f>
        <v>505.38595282220405</v>
      </c>
      <c r="AO73" s="59">
        <f t="shared" si="90"/>
        <v>351.72130415456365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1.0907416679215798</v>
      </c>
      <c r="AV73" s="21">
        <f>EXP(-LN(2)/25)*AV72+(1-EXP(-LN(2)/25))/(LN(2)/25)*Calculateur!AQ73*Calculateur!AS73*VLOOKUP('Données projet'!$B$10,Paramètres!$A$1:$I$89,3,0)*0.475*44/12</f>
        <v>3.7219420338216471</v>
      </c>
      <c r="AW73" s="21">
        <f>EXP(-LN(2)/2)*AW72+(1-EXP(-LN(2)/2))/(LN(2)/2)*AQ73*AT73*VLOOKUP('Données projet'!$B$10,Paramètres!$A$1:$I$89,3,0)*0.475*44/12</f>
        <v>2.0554863714319843E-5</v>
      </c>
      <c r="AX73" s="21">
        <f t="shared" si="60"/>
        <v>4.8127042566069411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261.7523999999998</v>
      </c>
      <c r="BF73" s="13">
        <f t="shared" si="91"/>
        <v>63.095772658160975</v>
      </c>
      <c r="BG73" s="20">
        <f t="shared" si="61"/>
        <v>565.7772340462966</v>
      </c>
      <c r="BH73" s="59">
        <f t="shared" si="62"/>
        <v>832.18277818330603</v>
      </c>
      <c r="BI73" s="59">
        <f ca="1">AVERAGE(OFFSET($BH$3,0,0,'Données projet'!$E$11+1,1))-AVERAGE(OFFSET($H$3,0,0,'Données projet'!$E$11+1,1))</f>
        <v>394.14657090341535</v>
      </c>
      <c r="BJ73" s="59">
        <f t="shared" si="92"/>
        <v>424.06445894109982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1.4776838053288048</v>
      </c>
      <c r="BQ73" s="21">
        <f>EXP(-LN(2)/25)*BQ72+(1-EXP(-LN(2)/25))/(LN(2)/25)*Calculateur!BL73*Calculateur!BN73*VLOOKUP('Données projet'!$B$11,Paramètres!$A$1:$I$89,3,0)*0.475*44/12</f>
        <v>6.7689445303216687</v>
      </c>
      <c r="BR73" s="21">
        <f>EXP(-LN(2)/2)*BR72+(1-EXP(-LN(2)/2))/(LN(2)/2)*BL73*BO73*VLOOKUP('Données projet'!$B$11,Paramètres!$A$1:$I$89,3,0)*0.475*44/12</f>
        <v>2.2925409558064734E-5</v>
      </c>
      <c r="BS73" s="22">
        <f t="shared" si="63"/>
        <v>8.2466512610600322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464</v>
      </c>
      <c r="BW73" s="12">
        <f>VLOOKUP(A73,'Données projet'!$A$113:$I$133,9,0)</f>
        <v>9.8000000000000007</v>
      </c>
      <c r="BX73" s="12">
        <f t="array" ref="BX73">INDEX(BW:BW,MIN(IF(ISNUMBER(BW73:BW269),ROW(BW73:BW269),"")))</f>
        <v>9.8000000000000007</v>
      </c>
      <c r="BY73" s="12">
        <f>IF('Données projet'!$A$114&gt;35,BY72+BX73-CG72,IF(A73&lt;'Données projet'!$A$114,$BV$205^A73,IF(A73='Données projet'!$A$114,'Données projet'!$B$114,BY72+BX73-CG72)))</f>
        <v>464.00000000000034</v>
      </c>
      <c r="BZ73" s="13">
        <f>BY73*VLOOKUP('Données projet'!$B$12,Paramètres!$A$1:$I$89,3,0)*VLOOKUP('Données projet'!$B$12,Paramètres!$A$1:$I$89,5,0)</f>
        <v>253.34400000000019</v>
      </c>
      <c r="CA73" s="13">
        <f t="shared" si="93"/>
        <v>61.301453431926305</v>
      </c>
      <c r="CB73" s="20">
        <f t="shared" si="64"/>
        <v>548.00749806060537</v>
      </c>
      <c r="CC73" s="59">
        <f t="shared" si="65"/>
        <v>814.41304219761491</v>
      </c>
      <c r="CD73" s="59">
        <f ca="1">AVERAGE(OFFSET($CC$3,0,0,'Données projet'!$E$12+1,1))-AVERAGE(OFFSET($H$3,0,0,'Données projet'!$E$12+1,1))</f>
        <v>382.09004346384319</v>
      </c>
      <c r="CE73" s="59">
        <f t="shared" si="94"/>
        <v>410.18893995284986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63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3.8573943508694191</v>
      </c>
      <c r="CL73" s="21">
        <f>EXP(-LN(2)/25)*CL72+(1-EXP(-LN(2)/25))/(LN(2)/25)*Calculateur!CG73*Calculateur!CI73*VLOOKUP('Données projet'!$B$12,Paramètres!$A$1:$I$89,3,0)*0.475*44/12</f>
        <v>11.228266710178389</v>
      </c>
      <c r="CM73" s="21">
        <f>EXP(-LN(2)/2)*CM72+(1-EXP(-LN(2)/2))/(LN(2)/2)*CG73*CJ73*VLOOKUP('Données projet'!$B$12,Paramètres!$A$1:$I$89,3,0)*0.475*44/12</f>
        <v>2.4015833010545972E-5</v>
      </c>
      <c r="CN73" s="22">
        <f t="shared" si="66"/>
        <v>15.08568507688082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272</v>
      </c>
      <c r="CR73" s="12">
        <f>VLOOKUP(A73,'Données projet'!$A$139:$I$159,9,0)</f>
        <v>5.6</v>
      </c>
      <c r="CS73" s="12">
        <f t="array" ref="CS73">INDEX(CR:CR,MIN(IF(ISNUMBER(CR73:CR269),ROW(CR73:CR269),"")))</f>
        <v>5.6</v>
      </c>
      <c r="CT73" s="12">
        <f>IF('Données projet'!$A$140&gt;35,CT72+CS73-DB72,IF(A73&lt;'Données projet'!$A$140,$CQ$205^A73,IF(A73='Données projet'!$A$140,'Données projet'!$B$140,CT72+CS73-DB72)))</f>
        <v>272</v>
      </c>
      <c r="CU73" s="17">
        <f>CT73*VLOOKUP('Données projet'!$B$13,Paramètres!$A$1:$I$89,3,0)*VLOOKUP('Données projet'!$B$13,Paramètres!$A$1:$I$89,5,0)</f>
        <v>237.61920000000003</v>
      </c>
      <c r="CV73" s="13">
        <f t="shared" si="95"/>
        <v>57.926992927794117</v>
      </c>
      <c r="CW73" s="20">
        <f t="shared" si="67"/>
        <v>514.74295268257481</v>
      </c>
      <c r="CX73" s="59">
        <f t="shared" si="68"/>
        <v>781.14849681958435</v>
      </c>
      <c r="CY73" s="59">
        <f ca="1">AVERAGE(OFFSET($CX$3,0,0,'Données projet'!$E$13+1,1))-AVERAGE(OFFSET($H$3,0,0,'Données projet'!$E$13+1,1))</f>
        <v>363.02374534486341</v>
      </c>
      <c r="CZ73" s="59">
        <f t="shared" si="96"/>
        <v>489.00477393029598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272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3.3098367854172075</v>
      </c>
      <c r="DG73" s="21">
        <f>EXP(-LN(2)/25)*DG72+(1-EXP(-LN(2)/25))/(LN(2)/25)*Calculateur!DB73*Calculateur!DD73*VLOOKUP('Données projet'!$B$13,Paramètres!$A$1:$I$89,3,0)*0.475*44/12</f>
        <v>6.3872194057276337</v>
      </c>
      <c r="DH73" s="21">
        <f>EXP(-LN(2)/2)*DH72+(1-EXP(-LN(2)/2))/(LN(2)/2)*DB73*DE73*VLOOKUP('Données projet'!$B$13,Paramètres!$A$1:$I$89,3,0)*0.475*44/12</f>
        <v>2.7956904614603198E-5</v>
      </c>
      <c r="DI73" s="22">
        <f t="shared" si="69"/>
        <v>9.6970841480494574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>
        <f>DO73*VLOOKUP('Données projet'!$B$14,Paramètres!$A$1:$I$89,3,0)*VLOOKUP('Données projet'!$B$14,Paramètres!$A$1:$I$89,5,0)</f>
        <v>241.22279999999978</v>
      </c>
      <c r="DQ73" s="13">
        <f t="shared" si="97"/>
        <v>58.702543992248778</v>
      </c>
      <c r="DR73" s="20">
        <f t="shared" si="70"/>
        <v>522.36997411983293</v>
      </c>
      <c r="DS73" s="59">
        <f t="shared" si="71"/>
        <v>788.77551825684236</v>
      </c>
      <c r="DT73" s="59">
        <f ca="1">AVERAGE(OFFSET($DS$3,0,0,'Données projet'!$E$14+1,1))-AVERAGE(OFFSET($H$3,0,0,'Données projet'!$E$14+1,1))</f>
        <v>368.03281986807173</v>
      </c>
      <c r="DU73" s="59">
        <f t="shared" si="98"/>
        <v>395.83504504492248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26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1.1048460860412557</v>
      </c>
      <c r="EB73" s="21">
        <f>EXP(-LN(2)/25)*EB72+(1-EXP(-LN(2)/25))/(LN(2)/25)*Calculateur!DW73*Calculateur!DY73*VLOOKUP('Données projet'!$B$14,Paramètres!$A$1:$I$89,3,0)*0.475*44/12</f>
        <v>5.0610569351757677</v>
      </c>
      <c r="EC73" s="21">
        <f>EXP(-LN(2)/2)*EC72+(1-EXP(-LN(2)/2))/(LN(2)/2)*DW73*DZ73*VLOOKUP('Données projet'!$B$14,Paramètres!$A$1:$I$89,3,0)*0.475*44/12</f>
        <v>2.1127338220177369E-5</v>
      </c>
      <c r="ED73" s="22">
        <f t="shared" si="72"/>
        <v>6.1659241485552432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225.2264820414552</v>
      </c>
      <c r="EP73" s="59">
        <f t="shared" si="100"/>
        <v>249.91838548328681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1.0018656348648509</v>
      </c>
      <c r="EW73" s="21">
        <f>EXP(-LN(2)/25)*EW72+(1-EXP(-LN(2)/25))/(LN(2)/25)*Calculateur!ER73*Calculateur!ET73*VLOOKUP('Données projet'!$B$15,Paramètres!$A$1:$I$89,3,0)*0.475*44/12</f>
        <v>2.8552796064016577</v>
      </c>
      <c r="EX73" s="21">
        <f>EXP(-LN(2)/2)*EX72+(1-EXP(-LN(2)/2))/(LN(2)/2)*ER73*EU73*VLOOKUP('Données projet'!$B$15,Paramètres!$A$1:$I$89,3,0)*0.475*44/12</f>
        <v>3.8581110102433588E-6</v>
      </c>
      <c r="EY73" s="22">
        <f t="shared" si="75"/>
        <v>3.8571490993775188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741</v>
      </c>
      <c r="FC73" s="12">
        <f>VLOOKUP(A73,'Données projet'!$A$217:$I$237,9,0)</f>
        <v>15.8</v>
      </c>
      <c r="FD73" s="12">
        <f t="array" ref="FD73">INDEX(FC:FC,MIN(IF(ISNUMBER(FC73:FC269),ROW(FC73:FC269),"")))</f>
        <v>15.8</v>
      </c>
      <c r="FE73" s="12">
        <f>IF('Données projet'!$A$218&gt;35,FE72+FD73-FM72,IF(A73&lt;'Données projet'!$A$218,$FB$205^A73,IF(A73='Données projet'!$A$218,'Données projet'!$B$218,FE72+FD73-FM72)))</f>
        <v>740.99999999999898</v>
      </c>
      <c r="FF73" s="17">
        <f>FE73*VLOOKUP('Données projet'!$B$16,Paramètres!$A$1:$I$89,3,0)*VLOOKUP('Données projet'!$B$16,Paramètres!$A$1:$I$89,5,0)</f>
        <v>414.21899999999943</v>
      </c>
      <c r="FG73" s="13">
        <f t="shared" si="101"/>
        <v>94.653462817267581</v>
      </c>
      <c r="FH73" s="20">
        <f t="shared" si="76"/>
        <v>886.28620607340656</v>
      </c>
      <c r="FI73" s="59">
        <f t="shared" si="77"/>
        <v>1152.6917502104161</v>
      </c>
      <c r="FJ73" s="59">
        <f ca="1">AVERAGE(OFFSET($FI$3,0,0,'Données projet'!$E$16+1,1))-AVERAGE(OFFSET($H$3,0,0,'Données projet'!$E$16+1,1))</f>
        <v>549.85684198202534</v>
      </c>
      <c r="FK73" s="59">
        <f t="shared" si="102"/>
        <v>539.63748606275431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80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5.1716199772143892</v>
      </c>
      <c r="FR73" s="21">
        <f>EXP(-LN(2)/25)*FR72+(1-EXP(-LN(2)/25))/(LN(2)/25)*Calculateur!FM73*Calculateur!FO73*VLOOKUP('Données projet'!$B$16,Paramètres!$A$1:$I$89,3,0)*0.475*44/12</f>
        <v>12.785837062636567</v>
      </c>
      <c r="FS73" s="21">
        <f>EXP(-LN(2)/2)*FS72+(1-EXP(-LN(2)/2))/(LN(2)/2)*FM73*FP73*VLOOKUP('Données projet'!$B$16,Paramètres!$A$1:$I$89,3,0)*0.475*44/12</f>
        <v>3.478230605605516E-5</v>
      </c>
      <c r="FT73" s="22">
        <f t="shared" si="78"/>
        <v>17.957491822157014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626</v>
      </c>
      <c r="FX73" s="12">
        <f>VLOOKUP(A73,'Données projet'!$A$243:$I$263,9,0)</f>
        <v>13.4</v>
      </c>
      <c r="FY73" s="12">
        <f t="array" ref="FY73">INDEX(FX:FX,MIN(IF(ISNUMBER(FX73:FX269),ROW(FX73:FX269),"")))</f>
        <v>13.4</v>
      </c>
      <c r="FZ73" s="12">
        <f>IF('Données projet'!$A$244&gt;35,FZ72+FY73-GH72,IF(A73&lt;'Données projet'!$A$244,$FW$205^A73,IF(A73='Données projet'!$A$244,'Données projet'!$B$244,FZ72+FY73-GH72)))</f>
        <v>625.99999999999943</v>
      </c>
      <c r="GA73" s="17">
        <f>FZ73*VLOOKUP('Données projet'!$B$17,Paramètres!$A$1:$I$89,3,0)*VLOOKUP('Données projet'!$B$17,Paramètres!$A$1:$I$89,5,0)</f>
        <v>374.34799999999967</v>
      </c>
      <c r="GB73" s="13">
        <f t="shared" si="103"/>
        <v>86.556225935402523</v>
      </c>
      <c r="GC73" s="20">
        <f t="shared" si="79"/>
        <v>802.74152683749219</v>
      </c>
      <c r="GD73" s="59">
        <f t="shared" si="80"/>
        <v>1069.1470709745017</v>
      </c>
      <c r="GE73" s="59">
        <f ca="1">AVERAGE(OFFSET($GD$3,0,0,'Données projet'!$E$17+1,1))-AVERAGE(OFFSET($H$3,0,0,'Données projet'!$E$17+1,1))</f>
        <v>495.6641415122013</v>
      </c>
      <c r="GF73" s="59">
        <f t="shared" si="104"/>
        <v>488.90534169400757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60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1.8106136748978916</v>
      </c>
      <c r="GM73" s="21">
        <f>EXP(-LN(2)/25)*GM72+(1-EXP(-LN(2)/25))/(LN(2)/25)*Calculateur!GH73*Calculateur!GJ73*VLOOKUP('Données projet'!$B$17,Paramètres!$A$1:$I$89,3,0)*0.475*44/12</f>
        <v>8.5784813903864237</v>
      </c>
      <c r="GN73" s="21">
        <f>EXP(-LN(2)/2)*GN72+(1-EXP(-LN(2)/2))/(LN(2)/2)*GH73*GK73*VLOOKUP('Données projet'!$B$17,Paramètres!$A$1:$I$89,3,0)*0.475*44/12</f>
        <v>3.3149083512697643E-5</v>
      </c>
      <c r="GO73" s="21">
        <f t="shared" si="81"/>
        <v>10.389128214367828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626</v>
      </c>
      <c r="GS73" s="12">
        <f>VLOOKUP(A73,'Données projet'!$A$269:$I$289,9,0)</f>
        <v>13.4</v>
      </c>
      <c r="GT73" s="12">
        <f t="array" ref="GT73">INDEX(GS:GS,MIN(IF(ISNUMBER(GS73:GS269),ROW(GS73:GS269),"")))</f>
        <v>13.4</v>
      </c>
      <c r="GU73" s="12">
        <f>IF('Données projet'!$A$270&gt;35,GU72+GT73-HC72,IF(A73&lt;'Données projet'!$A$270,$GR$205^A73,IF(A73='Données projet'!$A$270,'Données projet'!$B$270,GU72+GT73-HC72)))</f>
        <v>625.99999999999943</v>
      </c>
      <c r="GV73" s="17">
        <f>GU73*VLOOKUP('Données projet'!$B$18,Paramètres!$A$1:$I$89,3,0)*VLOOKUP('Données projet'!$B$18,Paramètres!$A$1:$I$89,5,0)</f>
        <v>374.34799999999967</v>
      </c>
      <c r="GW73" s="13">
        <f t="shared" si="105"/>
        <v>86.556225935402523</v>
      </c>
      <c r="GX73" s="20">
        <f t="shared" si="82"/>
        <v>802.74152683749219</v>
      </c>
      <c r="GY73" s="59">
        <f t="shared" si="83"/>
        <v>1069.1470709745017</v>
      </c>
      <c r="GZ73" s="59">
        <f ca="1">AVERAGE(OFFSET($GY$3,0,0,'Données projet'!$E$18+1,1))-AVERAGE(OFFSET($H$3,0,0,'Données projet'!$E$18+1,1))</f>
        <v>-18.333333333333343</v>
      </c>
      <c r="HA73" s="59">
        <f t="shared" si="106"/>
        <v>-18.333333333333343</v>
      </c>
      <c r="HB73" s="15">
        <f>IF(ISNA(VLOOKUP(A73,'Données projet'!$A$269:$I$289,3,0)),0,VLOOKUP(A73,'Données projet'!$A$269:$I$289,3,0))</f>
        <v>6</v>
      </c>
      <c r="HC73" s="15">
        <f>IF(ISNA(VLOOKUP(A73,'Données projet'!$A$269:$I$289,4,0)),0,VLOOKUP(A73,'Données projet'!$A$269:$I$289,4,0))</f>
        <v>60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1.8106136748978916</v>
      </c>
      <c r="HH73" s="21">
        <f>EXP(-LN(2)/25)*HH72+(1-EXP(-LN(2)/25))/(LN(2)/25)*Calculateur!HC73*Calculateur!HE73*VLOOKUP('Données projet'!$B$18,Paramètres!$A$1:$I$89,3,0)*0.475*44/12</f>
        <v>8.5784813903864237</v>
      </c>
      <c r="HI73" s="21">
        <f>EXP(-LN(2)/2)*HI72+(1-EXP(-LN(2)/2))/(LN(2)/2)*HC73*HF73*VLOOKUP('Données projet'!$B$18,Paramètres!$A$1:$I$89,3,0)*0.475*44/12</f>
        <v>3.3149083512697643E-5</v>
      </c>
      <c r="HJ73" s="22">
        <f t="shared" si="84"/>
        <v>10.389128214367828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379.99999999999989</v>
      </c>
      <c r="O74" s="13">
        <f>N74*VLOOKUP('Données projet'!$B$9,Paramètres!$A$1:$I$89,3,0)*VLOOKUP('Données projet'!$B$9,Paramètres!$A$1:$I$89,5,0)</f>
        <v>177.83999999999995</v>
      </c>
      <c r="P74" s="13">
        <f t="shared" si="87"/>
        <v>44.841288830609102</v>
      </c>
      <c r="Q74" s="20">
        <f t="shared" si="54"/>
        <v>387.83657804664409</v>
      </c>
      <c r="R74" s="59">
        <f t="shared" si="55"/>
        <v>654.70925912469204</v>
      </c>
      <c r="S74" s="59">
        <f ca="1">AVERAGE(OFFSET($R$3,0,0,'Données projet'!$E$9+1,1))-AVERAGE(OFFSET($H$3,0,0,'Données projet'!$E$9+1,1))</f>
        <v>376.11581547534814</v>
      </c>
      <c r="T74" s="59">
        <f t="shared" si="88"/>
        <v>300.91675649863294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1.3916962032767097</v>
      </c>
      <c r="AA74" s="21">
        <f>EXP(-LN(2)/25)*AA73+(1-EXP(-LN(2)/25))/(LN(2)/25)*Calculateur!V74*Calculateur!X74*VLOOKUP('Données projet'!$B$9,Paramètres!$A$1:$I$89,3,0)*0.475*44/12</f>
        <v>2.5204765973242895</v>
      </c>
      <c r="AB74" s="21">
        <f>EXP(-LN(2)/2)*AB73+(1-EXP(-LN(2)/2))/(LN(2)/2)*V74*Y74*VLOOKUP('Données projet'!$B$9,Paramètres!$A$1:$I$89,3,0)*0.475*44/12</f>
        <v>6.6303240423585673E-6</v>
      </c>
      <c r="AC74" s="22">
        <f t="shared" si="57"/>
        <v>3.9121794309250415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254.61071999999999</v>
      </c>
      <c r="AK74" s="13">
        <f t="shared" si="89"/>
        <v>61.572204587965679</v>
      </c>
      <c r="AL74" s="20">
        <f t="shared" si="58"/>
        <v>550.68526032404009</v>
      </c>
      <c r="AM74" s="59">
        <f t="shared" si="59"/>
        <v>817.55794140208809</v>
      </c>
      <c r="AN74" s="59">
        <f ca="1">AVERAGE(OFFSET($AM$3,0,0,'Données projet'!$E$10+1,1))-AVERAGE(OFFSET($H$3,0,0,'Données projet'!$E$10+1,1))</f>
        <v>505.38595282220405</v>
      </c>
      <c r="AO74" s="59">
        <f t="shared" si="90"/>
        <v>351.72130415456365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1.0693528891003634</v>
      </c>
      <c r="AV74" s="21">
        <f>EXP(-LN(2)/25)*AV73+(1-EXP(-LN(2)/25))/(LN(2)/25)*Calculateur!AQ74*Calculateur!AS74*VLOOKUP('Données projet'!$B$10,Paramètres!$A$1:$I$89,3,0)*0.475*44/12</f>
        <v>3.6201653331783694</v>
      </c>
      <c r="AW74" s="21">
        <f>EXP(-LN(2)/2)*AW73+(1-EXP(-LN(2)/2))/(LN(2)/2)*AQ74*AT74*VLOOKUP('Données projet'!$B$10,Paramètres!$A$1:$I$89,3,0)*0.475*44/12</f>
        <v>1.4534483518760868E-5</v>
      </c>
      <c r="AX74" s="21">
        <f t="shared" si="60"/>
        <v>4.6895327567622518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244.16963999999976</v>
      </c>
      <c r="BF74" s="13">
        <f t="shared" si="91"/>
        <v>59.335747541340979</v>
      </c>
      <c r="BG74" s="20">
        <f t="shared" si="61"/>
        <v>528.60521663450174</v>
      </c>
      <c r="BH74" s="59">
        <f t="shared" si="62"/>
        <v>795.47789771254975</v>
      </c>
      <c r="BI74" s="59">
        <f ca="1">AVERAGE(OFFSET($BH$3,0,0,'Données projet'!$E$11+1,1))-AVERAGE(OFFSET($H$3,0,0,'Données projet'!$E$11+1,1))</f>
        <v>394.14657090341535</v>
      </c>
      <c r="BJ74" s="59">
        <f t="shared" si="92"/>
        <v>424.06445894109982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1.4487073272044324</v>
      </c>
      <c r="BQ74" s="21">
        <f>EXP(-LN(2)/25)*BQ73+(1-EXP(-LN(2)/25))/(LN(2)/25)*Calculateur!BL74*Calculateur!BN74*VLOOKUP('Données projet'!$B$11,Paramètres!$A$1:$I$89,3,0)*0.475*44/12</f>
        <v>6.5838473861767008</v>
      </c>
      <c r="BR74" s="21">
        <f>EXP(-LN(2)/2)*BR73+(1-EXP(-LN(2)/2))/(LN(2)/2)*BL74*BO74*VLOOKUP('Données projet'!$B$11,Paramètres!$A$1:$I$89,3,0)*0.475*44/12</f>
        <v>1.6210712559986465E-5</v>
      </c>
      <c r="BS74" s="22">
        <f t="shared" si="63"/>
        <v>8.0325709240936938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8.6</v>
      </c>
      <c r="BY74" s="12">
        <f>IF('Données projet'!$A$114&gt;35,BY73+BX74-CG73,IF(A74&lt;'Données projet'!$A$114,$BV$205^A74,IF(A74='Données projet'!$A$114,'Données projet'!$B$114,BY73+BX74-CG73)))</f>
        <v>409.60000000000036</v>
      </c>
      <c r="BZ74" s="13">
        <f>BY74*VLOOKUP('Données projet'!$B$12,Paramètres!$A$1:$I$89,3,0)*VLOOKUP('Données projet'!$B$12,Paramètres!$A$1:$I$89,5,0)</f>
        <v>223.64160000000021</v>
      </c>
      <c r="CA74" s="13">
        <f t="shared" si="93"/>
        <v>54.905611653539268</v>
      </c>
      <c r="CB74" s="20">
        <f t="shared" si="64"/>
        <v>485.13639362991449</v>
      </c>
      <c r="CC74" s="59">
        <f t="shared" si="65"/>
        <v>752.00907470796244</v>
      </c>
      <c r="CD74" s="59">
        <f ca="1">AVERAGE(OFFSET($CC$3,0,0,'Données projet'!$E$12+1,1))-AVERAGE(OFFSET($H$3,0,0,'Données projet'!$E$12+1,1))</f>
        <v>382.09004346384319</v>
      </c>
      <c r="CE74" s="59">
        <f t="shared" si="94"/>
        <v>410.18893995284986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3.7817532004271062</v>
      </c>
      <c r="CL74" s="21">
        <f>EXP(-LN(2)/25)*CL73+(1-EXP(-LN(2)/25))/(LN(2)/25)*Calculateur!CG74*Calculateur!CI74*VLOOKUP('Données projet'!$B$12,Paramètres!$A$1:$I$89,3,0)*0.475*44/12</f>
        <v>10.921229166519677</v>
      </c>
      <c r="CM74" s="21">
        <f>EXP(-LN(2)/2)*CM73+(1-EXP(-LN(2)/2))/(LN(2)/2)*CG74*CJ74*VLOOKUP('Données projet'!$B$12,Paramètres!$A$1:$I$89,3,0)*0.475*44/12</f>
        <v>1.6981758377600795E-5</v>
      </c>
      <c r="CN74" s="22">
        <f t="shared" si="66"/>
        <v>14.702999348705161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363.02374534486341</v>
      </c>
      <c r="CZ74" s="59">
        <f t="shared" si="96"/>
        <v>489.00477393029598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3.2449329048562752</v>
      </c>
      <c r="DG74" s="21">
        <f>EXP(-LN(2)/25)*DG73+(1-EXP(-LN(2)/25))/(LN(2)/25)*Calculateur!DB74*Calculateur!DD74*VLOOKUP('Données projet'!$B$13,Paramètres!$A$1:$I$89,3,0)*0.475*44/12</f>
        <v>6.2125605551887411</v>
      </c>
      <c r="DH74" s="21">
        <f>EXP(-LN(2)/2)*DH73+(1-EXP(-LN(2)/2))/(LN(2)/2)*DB74*DE74*VLOOKUP('Données projet'!$B$13,Paramètres!$A$1:$I$89,3,0)*0.475*44/12</f>
        <v>1.9768516833971404E-5</v>
      </c>
      <c r="DI74" s="22">
        <f t="shared" si="69"/>
        <v>9.4575132285618508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>
        <f>DO74*VLOOKUP('Données projet'!$B$14,Paramètres!$A$1:$I$89,3,0)*VLOOKUP('Données projet'!$B$14,Paramètres!$A$1:$I$89,5,0)</f>
        <v>225.01907999999978</v>
      </c>
      <c r="DQ74" s="13">
        <f t="shared" si="97"/>
        <v>55.20432167824503</v>
      </c>
      <c r="DR74" s="20">
        <f t="shared" si="70"/>
        <v>488.05575792294297</v>
      </c>
      <c r="DS74" s="59">
        <f t="shared" si="71"/>
        <v>754.92843900099092</v>
      </c>
      <c r="DT74" s="59">
        <f ca="1">AVERAGE(OFFSET($DS$3,0,0,'Données projet'!$E$14+1,1))-AVERAGE(OFFSET($H$3,0,0,'Données projet'!$E$14+1,1))</f>
        <v>368.03281986807173</v>
      </c>
      <c r="DU74" s="59">
        <f t="shared" si="98"/>
        <v>395.83504504492248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1.0831807281835582</v>
      </c>
      <c r="EB74" s="21">
        <f>EXP(-LN(2)/25)*EB73+(1-EXP(-LN(2)/25))/(LN(2)/25)*Calculateur!DW74*Calculateur!DY74*VLOOKUP('Données projet'!$B$14,Paramètres!$A$1:$I$89,3,0)*0.475*44/12</f>
        <v>4.9226620671339694</v>
      </c>
      <c r="EC74" s="21">
        <f>EXP(-LN(2)/2)*EC73+(1-EXP(-LN(2)/2))/(LN(2)/2)*DW74*DZ74*VLOOKUP('Données projet'!$B$14,Paramètres!$A$1:$I$89,3,0)*0.475*44/12</f>
        <v>1.4939284123909142E-5</v>
      </c>
      <c r="ED74" s="22">
        <f t="shared" si="72"/>
        <v>6.0058577346016513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225.2264820414552</v>
      </c>
      <c r="EP74" s="59">
        <f t="shared" si="100"/>
        <v>249.91838548328681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0.98221966084284951</v>
      </c>
      <c r="EW74" s="21">
        <f>EXP(-LN(2)/25)*EW73+(1-EXP(-LN(2)/25))/(LN(2)/25)*Calculateur!ER74*Calculateur!ET74*VLOOKUP('Données projet'!$B$15,Paramètres!$A$1:$I$89,3,0)*0.475*44/12</f>
        <v>2.7772018354119758</v>
      </c>
      <c r="EX74" s="21">
        <f>EXP(-LN(2)/2)*EX73+(1-EXP(-LN(2)/2))/(LN(2)/2)*ER74*EU74*VLOOKUP('Données projet'!$B$15,Paramètres!$A$1:$I$89,3,0)*0.475*44/12</f>
        <v>2.7280964579135605E-6</v>
      </c>
      <c r="EY74" s="22">
        <f t="shared" si="75"/>
        <v>3.7594242243512834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12.9</v>
      </c>
      <c r="FE74" s="12">
        <f>IF('Données projet'!$A$218&gt;35,FE73+FD74-FM73,IF(A74&lt;'Données projet'!$A$218,$FB$205^A74,IF(A74='Données projet'!$A$218,'Données projet'!$B$218,FE73+FD74-FM73)))</f>
        <v>673.89999999999895</v>
      </c>
      <c r="FF74" s="17">
        <f>FE74*VLOOKUP('Données projet'!$B$16,Paramètres!$A$1:$I$89,3,0)*VLOOKUP('Données projet'!$B$16,Paramètres!$A$1:$I$89,5,0)</f>
        <v>376.71009999999939</v>
      </c>
      <c r="FG74" s="13">
        <f t="shared" si="101"/>
        <v>87.038637418312646</v>
      </c>
      <c r="FH74" s="20">
        <f t="shared" si="76"/>
        <v>807.69571767022671</v>
      </c>
      <c r="FI74" s="59">
        <f t="shared" si="77"/>
        <v>1074.5683987482746</v>
      </c>
      <c r="FJ74" s="59">
        <f ca="1">AVERAGE(OFFSET($FI$3,0,0,'Données projet'!$E$16+1,1))-AVERAGE(OFFSET($H$3,0,0,'Données projet'!$E$16+1,1))</f>
        <v>549.85684198202534</v>
      </c>
      <c r="FK74" s="59">
        <f t="shared" si="102"/>
        <v>539.63748606275431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5.0702076638379321</v>
      </c>
      <c r="FR74" s="21">
        <f>EXP(-LN(2)/25)*FR73+(1-EXP(-LN(2)/25))/(LN(2)/25)*Calculateur!FM74*Calculateur!FO74*VLOOKUP('Données projet'!$B$16,Paramètres!$A$1:$I$89,3,0)*0.475*44/12</f>
        <v>12.436207675780821</v>
      </c>
      <c r="FS74" s="21">
        <f>EXP(-LN(2)/2)*FS73+(1-EXP(-LN(2)/2))/(LN(2)/2)*FM74*FP74*VLOOKUP('Données projet'!$B$16,Paramètres!$A$1:$I$89,3,0)*0.475*44/12</f>
        <v>2.4594804477542523E-5</v>
      </c>
      <c r="FT74" s="22">
        <f t="shared" si="78"/>
        <v>17.506439934423234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10.5</v>
      </c>
      <c r="FZ74" s="12">
        <f>IF('Données projet'!$A$244&gt;35,FZ73+FY74-GH73,IF(A74&lt;'Données projet'!$A$244,$FW$205^A74,IF(A74='Données projet'!$A$244,'Données projet'!$B$244,FZ73+FY74-GH73)))</f>
        <v>576.49999999999943</v>
      </c>
      <c r="GA74" s="17">
        <f>FZ74*VLOOKUP('Données projet'!$B$17,Paramètres!$A$1:$I$89,3,0)*VLOOKUP('Données projet'!$B$17,Paramètres!$A$1:$I$89,5,0)</f>
        <v>344.74699999999973</v>
      </c>
      <c r="GB74" s="13">
        <f t="shared" si="103"/>
        <v>80.479913846021418</v>
      </c>
      <c r="GC74" s="20">
        <f t="shared" si="79"/>
        <v>740.60354161515352</v>
      </c>
      <c r="GD74" s="59">
        <f t="shared" si="80"/>
        <v>1007.4762226932014</v>
      </c>
      <c r="GE74" s="59">
        <f ca="1">AVERAGE(OFFSET($GD$3,0,0,'Données projet'!$E$17+1,1))-AVERAGE(OFFSET($H$3,0,0,'Données projet'!$E$17+1,1))</f>
        <v>495.6641415122013</v>
      </c>
      <c r="GF74" s="59">
        <f t="shared" si="104"/>
        <v>488.90534169400757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1.7751086450984386</v>
      </c>
      <c r="GM74" s="21">
        <f>EXP(-LN(2)/25)*GM73+(1-EXP(-LN(2)/25))/(LN(2)/25)*Calculateur!GH74*Calculateur!GJ74*VLOOKUP('Données projet'!$B$17,Paramètres!$A$1:$I$89,3,0)*0.475*44/12</f>
        <v>8.3439023656435776</v>
      </c>
      <c r="GN74" s="21">
        <f>EXP(-LN(2)/2)*GN73+(1-EXP(-LN(2)/2))/(LN(2)/2)*GH74*GK74*VLOOKUP('Données projet'!$B$17,Paramètres!$A$1:$I$89,3,0)*0.475*44/12</f>
        <v>2.3439941741947683E-5</v>
      </c>
      <c r="GO74" s="21">
        <f t="shared" si="81"/>
        <v>10.119034450683758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10.5</v>
      </c>
      <c r="GU74" s="12">
        <f>IF('Données projet'!$A$270&gt;35,GU73+GT74-HC73,IF(A74&lt;'Données projet'!$A$270,$GR$205^A74,IF(A74='Données projet'!$A$270,'Données projet'!$B$270,GU73+GT74-HC73)))</f>
        <v>576.49999999999943</v>
      </c>
      <c r="GV74" s="17">
        <f>GU74*VLOOKUP('Données projet'!$B$18,Paramètres!$A$1:$I$89,3,0)*VLOOKUP('Données projet'!$B$18,Paramètres!$A$1:$I$89,5,0)</f>
        <v>344.74699999999973</v>
      </c>
      <c r="GW74" s="13">
        <f t="shared" si="105"/>
        <v>80.479913846021418</v>
      </c>
      <c r="GX74" s="20">
        <f t="shared" si="82"/>
        <v>740.60354161515352</v>
      </c>
      <c r="GY74" s="59">
        <f t="shared" si="83"/>
        <v>1007.4762226932014</v>
      </c>
      <c r="GZ74" s="59">
        <f ca="1">AVERAGE(OFFSET($GY$3,0,0,'Données projet'!$E$18+1,1))-AVERAGE(OFFSET($H$3,0,0,'Données projet'!$E$18+1,1))</f>
        <v>-18.333333333333343</v>
      </c>
      <c r="HA74" s="59">
        <f t="shared" si="106"/>
        <v>-18.333333333333343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1.7751086450984386</v>
      </c>
      <c r="HH74" s="21">
        <f>EXP(-LN(2)/25)*HH73+(1-EXP(-LN(2)/25))/(LN(2)/25)*Calculateur!HC74*Calculateur!HE74*VLOOKUP('Données projet'!$B$18,Paramètres!$A$1:$I$89,3,0)*0.475*44/12</f>
        <v>8.3439023656435776</v>
      </c>
      <c r="HI74" s="21">
        <f>EXP(-LN(2)/2)*HI73+(1-EXP(-LN(2)/2))/(LN(2)/2)*HC74*HF74*VLOOKUP('Données projet'!$B$18,Paramètres!$A$1:$I$89,3,0)*0.475*44/12</f>
        <v>2.3439941741947683E-5</v>
      </c>
      <c r="HJ74" s="22">
        <f t="shared" si="84"/>
        <v>10.119034450683758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396.99999999999989</v>
      </c>
      <c r="O75" s="13">
        <f>N75*VLOOKUP('Données projet'!$B$9,Paramètres!$A$1:$I$89,3,0)*VLOOKUP('Données projet'!$B$9,Paramètres!$A$1:$I$89,5,0)</f>
        <v>185.79599999999996</v>
      </c>
      <c r="P75" s="13">
        <f t="shared" si="87"/>
        <v>46.60930127448345</v>
      </c>
      <c r="Q75" s="20">
        <f t="shared" si="54"/>
        <v>404.77256638639187</v>
      </c>
      <c r="R75" s="59">
        <f t="shared" si="55"/>
        <v>672.10428062391293</v>
      </c>
      <c r="S75" s="59">
        <f ca="1">AVERAGE(OFFSET($R$3,0,0,'Données projet'!$E$9+1,1))-AVERAGE(OFFSET($H$3,0,0,'Données projet'!$E$9+1,1))</f>
        <v>376.11581547534814</v>
      </c>
      <c r="T75" s="59">
        <f t="shared" si="88"/>
        <v>300.91675649863294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1.3644058895813205</v>
      </c>
      <c r="AA75" s="21">
        <f>EXP(-LN(2)/25)*AA74+(1-EXP(-LN(2)/25))/(LN(2)/25)*Calculateur!V75*Calculateur!X75*VLOOKUP('Données projet'!$B$9,Paramètres!$A$1:$I$89,3,0)*0.475*44/12</f>
        <v>2.4515540322243532</v>
      </c>
      <c r="AB75" s="21">
        <f>EXP(-LN(2)/2)*AB74+(1-EXP(-LN(2)/2))/(LN(2)/2)*V75*Y75*VLOOKUP('Données projet'!$B$9,Paramètres!$A$1:$I$89,3,0)*0.475*44/12</f>
        <v>4.6883470918159446E-6</v>
      </c>
      <c r="AC75" s="22">
        <f t="shared" si="57"/>
        <v>3.8159646101527658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261.30623999999995</v>
      </c>
      <c r="AK75" s="13">
        <f t="shared" si="89"/>
        <v>63.000734275359598</v>
      </c>
      <c r="AL75" s="20">
        <f t="shared" si="58"/>
        <v>564.83464686291791</v>
      </c>
      <c r="AM75" s="59">
        <f t="shared" si="59"/>
        <v>832.16636110043896</v>
      </c>
      <c r="AN75" s="59">
        <f ca="1">AVERAGE(OFFSET($AM$3,0,0,'Données projet'!$E$10+1,1))-AVERAGE(OFFSET($H$3,0,0,'Données projet'!$E$10+1,1))</f>
        <v>505.38595282220405</v>
      </c>
      <c r="AO75" s="59">
        <f t="shared" si="90"/>
        <v>351.72130415456365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1.0483835311859642</v>
      </c>
      <c r="AV75" s="21">
        <f>EXP(-LN(2)/25)*AV74+(1-EXP(-LN(2)/25))/(LN(2)/25)*Calculateur!AQ75*Calculateur!AS75*VLOOKUP('Données projet'!$B$10,Paramètres!$A$1:$I$89,3,0)*0.475*44/12</f>
        <v>3.521171721766386</v>
      </c>
      <c r="AW75" s="21">
        <f>EXP(-LN(2)/2)*AW74+(1-EXP(-LN(2)/2))/(LN(2)/2)*AQ75*AT75*VLOOKUP('Données projet'!$B$10,Paramètres!$A$1:$I$89,3,0)*0.475*44/12</f>
        <v>1.0277431857159923E-5</v>
      </c>
      <c r="AX75" s="21">
        <f t="shared" si="60"/>
        <v>4.5695655303842075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247.27247999999975</v>
      </c>
      <c r="BF75" s="13">
        <f t="shared" si="91"/>
        <v>60.001511123918704</v>
      </c>
      <c r="BG75" s="20">
        <f t="shared" si="61"/>
        <v>535.16886787415797</v>
      </c>
      <c r="BH75" s="59">
        <f t="shared" si="62"/>
        <v>802.50058211167902</v>
      </c>
      <c r="BI75" s="59">
        <f ca="1">AVERAGE(OFFSET($BH$3,0,0,'Données projet'!$E$11+1,1))-AVERAGE(OFFSET($H$3,0,0,'Données projet'!$E$11+1,1))</f>
        <v>394.14657090341535</v>
      </c>
      <c r="BJ75" s="59">
        <f t="shared" si="92"/>
        <v>424.06445894109982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1.4202990601421723</v>
      </c>
      <c r="BQ75" s="21">
        <f>EXP(-LN(2)/25)*BQ74+(1-EXP(-LN(2)/25))/(LN(2)/25)*Calculateur!BL75*Calculateur!BN75*VLOOKUP('Données projet'!$B$11,Paramètres!$A$1:$I$89,3,0)*0.475*44/12</f>
        <v>6.4038117331722129</v>
      </c>
      <c r="BR75" s="21">
        <f>EXP(-LN(2)/2)*BR74+(1-EXP(-LN(2)/2))/(LN(2)/2)*BL75*BO75*VLOOKUP('Données projet'!$B$11,Paramètres!$A$1:$I$89,3,0)*0.475*44/12</f>
        <v>1.1462704779032367E-5</v>
      </c>
      <c r="BS75" s="22">
        <f t="shared" si="63"/>
        <v>7.8241222560191641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8.6</v>
      </c>
      <c r="BY75" s="12">
        <f>IF('Données projet'!$A$114&gt;35,BY74+BX75-CG74,IF(A75&lt;'Données projet'!$A$114,$BV$205^A75,IF(A75='Données projet'!$A$114,'Données projet'!$B$114,BY74+BX75-CG74)))</f>
        <v>418.20000000000039</v>
      </c>
      <c r="BZ75" s="13">
        <f>BY75*VLOOKUP('Données projet'!$B$12,Paramètres!$A$1:$I$89,3,0)*VLOOKUP('Données projet'!$B$12,Paramètres!$A$1:$I$89,5,0)</f>
        <v>228.33720000000019</v>
      </c>
      <c r="CA75" s="13">
        <f t="shared" si="93"/>
        <v>55.922993607595103</v>
      </c>
      <c r="CB75" s="20">
        <f t="shared" si="64"/>
        <v>495.08650386656171</v>
      </c>
      <c r="CC75" s="59">
        <f t="shared" si="65"/>
        <v>762.41821810408283</v>
      </c>
      <c r="CD75" s="59">
        <f ca="1">AVERAGE(OFFSET($CC$3,0,0,'Données projet'!$E$12+1,1))-AVERAGE(OFFSET($H$3,0,0,'Données projet'!$E$12+1,1))</f>
        <v>382.09004346384319</v>
      </c>
      <c r="CE75" s="59">
        <f t="shared" si="94"/>
        <v>410.18893995284986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3.7075953268084207</v>
      </c>
      <c r="CL75" s="21">
        <f>EXP(-LN(2)/25)*CL74+(1-EXP(-LN(2)/25))/(LN(2)/25)*Calculateur!CG75*Calculateur!CI75*VLOOKUP('Données projet'!$B$12,Paramètres!$A$1:$I$89,3,0)*0.475*44/12</f>
        <v>10.622587580638715</v>
      </c>
      <c r="CM75" s="21">
        <f>EXP(-LN(2)/2)*CM74+(1-EXP(-LN(2)/2))/(LN(2)/2)*CG75*CJ75*VLOOKUP('Données projet'!$B$12,Paramètres!$A$1:$I$89,3,0)*0.475*44/12</f>
        <v>1.2007916505272986E-5</v>
      </c>
      <c r="CN75" s="22">
        <f t="shared" si="66"/>
        <v>14.33019491536364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363.02374534486341</v>
      </c>
      <c r="CZ75" s="59">
        <f t="shared" si="96"/>
        <v>489.00477393029598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3.1813017498056846</v>
      </c>
      <c r="DG75" s="21">
        <f>EXP(-LN(2)/25)*DG74+(1-EXP(-LN(2)/25))/(LN(2)/25)*Calculateur!DB75*Calculateur!DD75*VLOOKUP('Données projet'!$B$13,Paramètres!$A$1:$I$89,3,0)*0.475*44/12</f>
        <v>6.0426777601027446</v>
      </c>
      <c r="DH75" s="21">
        <f>EXP(-LN(2)/2)*DH74+(1-EXP(-LN(2)/2))/(LN(2)/2)*DB75*DE75*VLOOKUP('Données projet'!$B$13,Paramètres!$A$1:$I$89,3,0)*0.475*44/12</f>
        <v>1.3978452307301599E-5</v>
      </c>
      <c r="DI75" s="22">
        <f t="shared" si="69"/>
        <v>9.2239934883607351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>
        <f>DO75*VLOOKUP('Données projet'!$B$14,Paramètres!$A$1:$I$89,3,0)*VLOOKUP('Données projet'!$B$14,Paramètres!$A$1:$I$89,5,0)</f>
        <v>227.87855999999974</v>
      </c>
      <c r="DQ75" s="13">
        <f t="shared" si="97"/>
        <v>55.823729514114589</v>
      </c>
      <c r="DR75" s="20">
        <f t="shared" si="70"/>
        <v>494.11482090374903</v>
      </c>
      <c r="DS75" s="59">
        <f t="shared" si="71"/>
        <v>761.44653514127015</v>
      </c>
      <c r="DT75" s="59">
        <f ca="1">AVERAGE(OFFSET($DS$3,0,0,'Données projet'!$E$14+1,1))-AVERAGE(OFFSET($H$3,0,0,'Données projet'!$E$14+1,1))</f>
        <v>368.03281986807173</v>
      </c>
      <c r="DU75" s="59">
        <f t="shared" si="98"/>
        <v>395.83504504492248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1.0619402147788866</v>
      </c>
      <c r="EB75" s="21">
        <f>EXP(-LN(2)/25)*EB74+(1-EXP(-LN(2)/25))/(LN(2)/25)*Calculateur!DW75*Calculateur!DY75*VLOOKUP('Données projet'!$B$14,Paramètres!$A$1:$I$89,3,0)*0.475*44/12</f>
        <v>4.788051614036644</v>
      </c>
      <c r="EC75" s="21">
        <f>EXP(-LN(2)/2)*EC74+(1-EXP(-LN(2)/2))/(LN(2)/2)*DW75*DZ75*VLOOKUP('Données projet'!$B$14,Paramètres!$A$1:$I$89,3,0)*0.475*44/12</f>
        <v>1.0563669110088686E-5</v>
      </c>
      <c r="ED75" s="22">
        <f t="shared" si="72"/>
        <v>5.8500023924846412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225.2264820414552</v>
      </c>
      <c r="EP75" s="59">
        <f t="shared" si="100"/>
        <v>249.91838548328681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0.96295893238855867</v>
      </c>
      <c r="EW75" s="21">
        <f>EXP(-LN(2)/25)*EW74+(1-EXP(-LN(2)/25))/(LN(2)/25)*Calculateur!ER75*Calculateur!ET75*VLOOKUP('Données projet'!$B$15,Paramètres!$A$1:$I$89,3,0)*0.475*44/12</f>
        <v>2.701259105175938</v>
      </c>
      <c r="EX75" s="21">
        <f>EXP(-LN(2)/2)*EX74+(1-EXP(-LN(2)/2))/(LN(2)/2)*ER75*EU75*VLOOKUP('Données projet'!$B$15,Paramètres!$A$1:$I$89,3,0)*0.475*44/12</f>
        <v>1.9290555051216794E-6</v>
      </c>
      <c r="EY75" s="22">
        <f t="shared" si="75"/>
        <v>3.6642199666200019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12.9</v>
      </c>
      <c r="FE75" s="12">
        <f>IF('Données projet'!$A$218&gt;35,FE74+FD75-FM74,IF(A75&lt;'Données projet'!$A$218,$FB$205^A75,IF(A75='Données projet'!$A$218,'Données projet'!$B$218,FE74+FD75-FM74)))</f>
        <v>686.79999999999893</v>
      </c>
      <c r="FF75" s="17">
        <f>FE75*VLOOKUP('Données projet'!$B$16,Paramètres!$A$1:$I$89,3,0)*VLOOKUP('Données projet'!$B$16,Paramètres!$A$1:$I$89,5,0)</f>
        <v>383.92119999999943</v>
      </c>
      <c r="FG75" s="13">
        <f t="shared" si="101"/>
        <v>88.509192685867021</v>
      </c>
      <c r="FH75" s="20">
        <f t="shared" si="76"/>
        <v>822.81626726121738</v>
      </c>
      <c r="FI75" s="59">
        <f t="shared" si="77"/>
        <v>1090.1479814987385</v>
      </c>
      <c r="FJ75" s="59">
        <f ca="1">AVERAGE(OFFSET($FI$3,0,0,'Données projet'!$E$16+1,1))-AVERAGE(OFFSET($H$3,0,0,'Données projet'!$E$16+1,1))</f>
        <v>549.85684198202534</v>
      </c>
      <c r="FK75" s="59">
        <f t="shared" si="102"/>
        <v>539.63748606275431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4.9707839840713843</v>
      </c>
      <c r="FR75" s="21">
        <f>EXP(-LN(2)/25)*FR74+(1-EXP(-LN(2)/25))/(LN(2)/25)*Calculateur!FM75*Calculateur!FO75*VLOOKUP('Données projet'!$B$16,Paramètres!$A$1:$I$89,3,0)*0.475*44/12</f>
        <v>12.096138922894855</v>
      </c>
      <c r="FS75" s="21">
        <f>EXP(-LN(2)/2)*FS74+(1-EXP(-LN(2)/2))/(LN(2)/2)*FM75*FP75*VLOOKUP('Données projet'!$B$16,Paramètres!$A$1:$I$89,3,0)*0.475*44/12</f>
        <v>1.739115302802758E-5</v>
      </c>
      <c r="FT75" s="22">
        <f t="shared" si="78"/>
        <v>17.06694029811927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10.5</v>
      </c>
      <c r="FZ75" s="12">
        <f>IF('Données projet'!$A$244&gt;35,FZ74+FY75-GH74,IF(A75&lt;'Données projet'!$A$244,$FW$205^A75,IF(A75='Données projet'!$A$244,'Données projet'!$B$244,FZ74+FY75-GH74)))</f>
        <v>586.99999999999943</v>
      </c>
      <c r="GA75" s="17">
        <f>FZ75*VLOOKUP('Données projet'!$B$17,Paramètres!$A$1:$I$89,3,0)*VLOOKUP('Données projet'!$B$17,Paramètres!$A$1:$I$89,5,0)</f>
        <v>351.02599999999967</v>
      </c>
      <c r="GB75" s="13">
        <f t="shared" si="103"/>
        <v>81.773739289271361</v>
      </c>
      <c r="GC75" s="20">
        <f t="shared" si="79"/>
        <v>753.79287926214704</v>
      </c>
      <c r="GD75" s="59">
        <f t="shared" si="80"/>
        <v>1021.1245934996682</v>
      </c>
      <c r="GE75" s="59">
        <f ca="1">AVERAGE(OFFSET($GD$3,0,0,'Données projet'!$E$17+1,1))-AVERAGE(OFFSET($H$3,0,0,'Données projet'!$E$17+1,1))</f>
        <v>495.6641415122013</v>
      </c>
      <c r="GF75" s="59">
        <f t="shared" si="104"/>
        <v>488.90534169400757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1.7402998472774229</v>
      </c>
      <c r="GM75" s="21">
        <f>EXP(-LN(2)/25)*GM74+(1-EXP(-LN(2)/25))/(LN(2)/25)*Calculateur!GH75*Calculateur!GJ75*VLOOKUP('Données projet'!$B$17,Paramètres!$A$1:$I$89,3,0)*0.475*44/12</f>
        <v>8.1157379166682979</v>
      </c>
      <c r="GN75" s="21">
        <f>EXP(-LN(2)/2)*GN74+(1-EXP(-LN(2)/2))/(LN(2)/2)*GH75*GK75*VLOOKUP('Données projet'!$B$17,Paramètres!$A$1:$I$89,3,0)*0.475*44/12</f>
        <v>1.6574541756348821E-5</v>
      </c>
      <c r="GO75" s="21">
        <f t="shared" si="81"/>
        <v>9.8560543384874784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10.5</v>
      </c>
      <c r="GU75" s="12">
        <f>IF('Données projet'!$A$270&gt;35,GU74+GT75-HC74,IF(A75&lt;'Données projet'!$A$270,$GR$205^A75,IF(A75='Données projet'!$A$270,'Données projet'!$B$270,GU74+GT75-HC74)))</f>
        <v>586.99999999999943</v>
      </c>
      <c r="GV75" s="17">
        <f>GU75*VLOOKUP('Données projet'!$B$18,Paramètres!$A$1:$I$89,3,0)*VLOOKUP('Données projet'!$B$18,Paramètres!$A$1:$I$89,5,0)</f>
        <v>351.02599999999967</v>
      </c>
      <c r="GW75" s="13">
        <f t="shared" si="105"/>
        <v>81.773739289271361</v>
      </c>
      <c r="GX75" s="20">
        <f t="shared" si="82"/>
        <v>753.79287926214704</v>
      </c>
      <c r="GY75" s="59">
        <f t="shared" si="83"/>
        <v>1021.1245934996682</v>
      </c>
      <c r="GZ75" s="59">
        <f ca="1">AVERAGE(OFFSET($GY$3,0,0,'Données projet'!$E$18+1,1))-AVERAGE(OFFSET($H$3,0,0,'Données projet'!$E$18+1,1))</f>
        <v>-18.333333333333343</v>
      </c>
      <c r="HA75" s="59">
        <f t="shared" si="106"/>
        <v>-18.333333333333343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1.7402998472774229</v>
      </c>
      <c r="HH75" s="21">
        <f>EXP(-LN(2)/25)*HH74+(1-EXP(-LN(2)/25))/(LN(2)/25)*Calculateur!HC75*Calculateur!HE75*VLOOKUP('Données projet'!$B$18,Paramètres!$A$1:$I$89,3,0)*0.475*44/12</f>
        <v>8.1157379166682979</v>
      </c>
      <c r="HI75" s="21">
        <f>EXP(-LN(2)/2)*HI74+(1-EXP(-LN(2)/2))/(LN(2)/2)*HC75*HF75*VLOOKUP('Données projet'!$B$18,Paramètres!$A$1:$I$89,3,0)*0.475*44/12</f>
        <v>1.6574541756348821E-5</v>
      </c>
      <c r="HJ75" s="22">
        <f t="shared" si="84"/>
        <v>9.8560543384874784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413.99999999999989</v>
      </c>
      <c r="O76" s="13">
        <f>N76*VLOOKUP('Données projet'!$B$9,Paramètres!$A$1:$I$89,3,0)*VLOOKUP('Données projet'!$B$9,Paramètres!$A$1:$I$89,5,0)</f>
        <v>193.75199999999995</v>
      </c>
      <c r="P76" s="13">
        <f t="shared" si="87"/>
        <v>48.36852035537607</v>
      </c>
      <c r="Q76" s="20">
        <f t="shared" si="54"/>
        <v>421.69323961894656</v>
      </c>
      <c r="R76" s="59">
        <f t="shared" si="55"/>
        <v>689.47602381686829</v>
      </c>
      <c r="S76" s="59">
        <f ca="1">AVERAGE(OFFSET($R$3,0,0,'Données projet'!$E$9+1,1))-AVERAGE(OFFSET($H$3,0,0,'Données projet'!$E$9+1,1))</f>
        <v>376.11581547534814</v>
      </c>
      <c r="T76" s="59">
        <f t="shared" si="88"/>
        <v>300.91675649863294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1.33765072229205</v>
      </c>
      <c r="AA76" s="21">
        <f>EXP(-LN(2)/25)*AA75+(1-EXP(-LN(2)/25))/(LN(2)/25)*Calculateur!V76*Calculateur!X76*VLOOKUP('Données projet'!$B$9,Paramètres!$A$1:$I$89,3,0)*0.475*44/12</f>
        <v>2.3845161582915546</v>
      </c>
      <c r="AB76" s="21">
        <f>EXP(-LN(2)/2)*AB75+(1-EXP(-LN(2)/2))/(LN(2)/2)*V76*Y76*VLOOKUP('Données projet'!$B$9,Paramètres!$A$1:$I$89,3,0)*0.475*44/12</f>
        <v>3.3151620211792836E-6</v>
      </c>
      <c r="AC76" s="22">
        <f t="shared" si="57"/>
        <v>3.7221701957456261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268.00175999999993</v>
      </c>
      <c r="AK76" s="13">
        <f t="shared" si="89"/>
        <v>64.425009159185578</v>
      </c>
      <c r="AL76" s="20">
        <f t="shared" si="58"/>
        <v>578.97662295224802</v>
      </c>
      <c r="AM76" s="59">
        <f t="shared" si="59"/>
        <v>846.75940715016986</v>
      </c>
      <c r="AN76" s="59">
        <f ca="1">AVERAGE(OFFSET($AM$3,0,0,'Données projet'!$E$10+1,1))-AVERAGE(OFFSET($H$3,0,0,'Données projet'!$E$10+1,1))</f>
        <v>505.38595282220405</v>
      </c>
      <c r="AO76" s="59">
        <f t="shared" si="90"/>
        <v>351.72130415456365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1.0278253695902209</v>
      </c>
      <c r="AV76" s="21">
        <f>EXP(-LN(2)/25)*AV75+(1-EXP(-LN(2)/25))/(LN(2)/25)*Calculateur!AQ76*Calculateur!AS76*VLOOKUP('Données projet'!$B$10,Paramètres!$A$1:$I$89,3,0)*0.475*44/12</f>
        <v>3.4248850958643113</v>
      </c>
      <c r="AW76" s="21">
        <f>EXP(-LN(2)/2)*AW75+(1-EXP(-LN(2)/2))/(LN(2)/2)*AQ76*AT76*VLOOKUP('Données projet'!$B$10,Paramètres!$A$1:$I$89,3,0)*0.475*44/12</f>
        <v>7.2672417593804347E-6</v>
      </c>
      <c r="AX76" s="21">
        <f t="shared" si="60"/>
        <v>4.4527177326962919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250.37531999999973</v>
      </c>
      <c r="BF76" s="13">
        <f t="shared" si="91"/>
        <v>60.666302963242082</v>
      </c>
      <c r="BG76" s="20">
        <f t="shared" si="61"/>
        <v>541.73082666097946</v>
      </c>
      <c r="BH76" s="59">
        <f t="shared" si="62"/>
        <v>809.5136108589013</v>
      </c>
      <c r="BI76" s="59">
        <f ca="1">AVERAGE(OFFSET($BH$3,0,0,'Données projet'!$E$11+1,1))-AVERAGE(OFFSET($H$3,0,0,'Données projet'!$E$11+1,1))</f>
        <v>394.14657090341535</v>
      </c>
      <c r="BJ76" s="59">
        <f t="shared" si="92"/>
        <v>424.06445894109982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1.3924478618696714</v>
      </c>
      <c r="BQ76" s="21">
        <f>EXP(-LN(2)/25)*BQ75+(1-EXP(-LN(2)/25))/(LN(2)/25)*Calculateur!BL76*Calculateur!BN76*VLOOKUP('Données projet'!$B$11,Paramètres!$A$1:$I$89,3,0)*0.475*44/12</f>
        <v>6.2286991645667955</v>
      </c>
      <c r="BR76" s="21">
        <f>EXP(-LN(2)/2)*BR75+(1-EXP(-LN(2)/2))/(LN(2)/2)*BL76*BO76*VLOOKUP('Données projet'!$B$11,Paramètres!$A$1:$I$89,3,0)*0.475*44/12</f>
        <v>8.1053562799932324E-6</v>
      </c>
      <c r="BS76" s="22">
        <f t="shared" si="63"/>
        <v>7.6211551317927473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8.6</v>
      </c>
      <c r="BY76" s="12">
        <f>IF('Données projet'!$A$114&gt;35,BY75+BX76-CG75,IF(A76&lt;'Données projet'!$A$114,$BV$205^A76,IF(A76='Données projet'!$A$114,'Données projet'!$B$114,BY75+BX76-CG75)))</f>
        <v>426.80000000000041</v>
      </c>
      <c r="BZ76" s="13">
        <f>BY76*VLOOKUP('Données projet'!$B$12,Paramètres!$A$1:$I$89,3,0)*VLOOKUP('Données projet'!$B$12,Paramètres!$A$1:$I$89,5,0)</f>
        <v>233.03280000000024</v>
      </c>
      <c r="CA76" s="13">
        <f t="shared" si="93"/>
        <v>56.937942998569035</v>
      </c>
      <c r="CB76" s="20">
        <f t="shared" si="64"/>
        <v>505.03237738917477</v>
      </c>
      <c r="CC76" s="59">
        <f t="shared" si="65"/>
        <v>772.81516158709655</v>
      </c>
      <c r="CD76" s="59">
        <f ca="1">AVERAGE(OFFSET($CC$3,0,0,'Données projet'!$E$12+1,1))-AVERAGE(OFFSET($H$3,0,0,'Données projet'!$E$12+1,1))</f>
        <v>382.09004346384319</v>
      </c>
      <c r="CE76" s="59">
        <f t="shared" si="94"/>
        <v>410.18893995284986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3.6348916438595613</v>
      </c>
      <c r="CL76" s="21">
        <f>EXP(-LN(2)/25)*CL75+(1-EXP(-LN(2)/25))/(LN(2)/25)*Calculateur!CG76*Calculateur!CI76*VLOOKUP('Données projet'!$B$12,Paramètres!$A$1:$I$89,3,0)*0.475*44/12</f>
        <v>10.332112364628546</v>
      </c>
      <c r="CM76" s="21">
        <f>EXP(-LN(2)/2)*CM75+(1-EXP(-LN(2)/2))/(LN(2)/2)*CG76*CJ76*VLOOKUP('Données projet'!$B$12,Paramètres!$A$1:$I$89,3,0)*0.475*44/12</f>
        <v>8.4908791888003976E-6</v>
      </c>
      <c r="CN76" s="22">
        <f t="shared" si="66"/>
        <v>13.967012499367296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363.02374534486341</v>
      </c>
      <c r="CZ76" s="59">
        <f t="shared" si="96"/>
        <v>489.00477393029598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3.1189183628944637</v>
      </c>
      <c r="DG76" s="21">
        <f>EXP(-LN(2)/25)*DG75+(1-EXP(-LN(2)/25))/(LN(2)/25)*Calculateur!DB76*Calculateur!DD76*VLOOKUP('Données projet'!$B$13,Paramètres!$A$1:$I$89,3,0)*0.475*44/12</f>
        <v>5.8774404189821228</v>
      </c>
      <c r="DH76" s="21">
        <f>EXP(-LN(2)/2)*DH75+(1-EXP(-LN(2)/2))/(LN(2)/2)*DB76*DE76*VLOOKUP('Données projet'!$B$13,Paramètres!$A$1:$I$89,3,0)*0.475*44/12</f>
        <v>9.8842584169857019E-6</v>
      </c>
      <c r="DI76" s="22">
        <f t="shared" si="69"/>
        <v>8.9963686661350035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>
        <f>DO76*VLOOKUP('Données projet'!$B$14,Paramètres!$A$1:$I$89,3,0)*VLOOKUP('Données projet'!$B$14,Paramètres!$A$1:$I$89,5,0)</f>
        <v>230.73803999999973</v>
      </c>
      <c r="DQ76" s="13">
        <f t="shared" si="97"/>
        <v>56.442233267210653</v>
      </c>
      <c r="DR76" s="20">
        <f t="shared" si="70"/>
        <v>500.17230927372475</v>
      </c>
      <c r="DS76" s="59">
        <f t="shared" si="71"/>
        <v>767.95509347164648</v>
      </c>
      <c r="DT76" s="59">
        <f ca="1">AVERAGE(OFFSET($DS$3,0,0,'Données projet'!$E$14+1,1))-AVERAGE(OFFSET($H$3,0,0,'Données projet'!$E$14+1,1))</f>
        <v>368.03281986807173</v>
      </c>
      <c r="DU76" s="59">
        <f t="shared" si="98"/>
        <v>395.83504504492248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1.0411162148866466</v>
      </c>
      <c r="EB76" s="21">
        <f>EXP(-LN(2)/25)*EB75+(1-EXP(-LN(2)/25))/(LN(2)/25)*Calculateur!DW76*Calculateur!DY76*VLOOKUP('Données projet'!$B$14,Paramètres!$A$1:$I$89,3,0)*0.475*44/12</f>
        <v>4.6571220908581212</v>
      </c>
      <c r="EC76" s="21">
        <f>EXP(-LN(2)/2)*EC75+(1-EXP(-LN(2)/2))/(LN(2)/2)*DW76*DZ76*VLOOKUP('Données projet'!$B$14,Paramètres!$A$1:$I$89,3,0)*0.475*44/12</f>
        <v>7.4696420619545727E-6</v>
      </c>
      <c r="ED76" s="22">
        <f t="shared" si="72"/>
        <v>5.6982457753868303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225.2264820414552</v>
      </c>
      <c r="EP76" s="59">
        <f t="shared" si="100"/>
        <v>249.91838548328681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0.94407589507137213</v>
      </c>
      <c r="EW76" s="21">
        <f>EXP(-LN(2)/25)*EW75+(1-EXP(-LN(2)/25))/(LN(2)/25)*Calculateur!ER76*Calculateur!ET76*VLOOKUP('Données projet'!$B$15,Paramètres!$A$1:$I$89,3,0)*0.475*44/12</f>
        <v>2.6273930328918595</v>
      </c>
      <c r="EX76" s="21">
        <f>EXP(-LN(2)/2)*EX75+(1-EXP(-LN(2)/2))/(LN(2)/2)*ER76*EU76*VLOOKUP('Données projet'!$B$15,Paramètres!$A$1:$I$89,3,0)*0.475*44/12</f>
        <v>1.3640482289567803E-6</v>
      </c>
      <c r="EY76" s="22">
        <f t="shared" si="75"/>
        <v>3.5714702920114609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12.9</v>
      </c>
      <c r="FE76" s="12">
        <f>IF('Données projet'!$A$218&gt;35,FE75+FD76-FM75,IF(A76&lt;'Données projet'!$A$218,$FB$205^A76,IF(A76='Données projet'!$A$218,'Données projet'!$B$218,FE75+FD76-FM75)))</f>
        <v>699.69999999999891</v>
      </c>
      <c r="FF76" s="17">
        <f>FE76*VLOOKUP('Données projet'!$B$16,Paramètres!$A$1:$I$89,3,0)*VLOOKUP('Données projet'!$B$16,Paramètres!$A$1:$I$89,5,0)</f>
        <v>391.13229999999942</v>
      </c>
      <c r="FG76" s="13">
        <f t="shared" si="101"/>
        <v>89.976536171230705</v>
      </c>
      <c r="FH76" s="20">
        <f t="shared" si="76"/>
        <v>837.93122299822573</v>
      </c>
      <c r="FI76" s="59">
        <f t="shared" si="77"/>
        <v>1105.7140071961476</v>
      </c>
      <c r="FJ76" s="59">
        <f ca="1">AVERAGE(OFFSET($FI$3,0,0,'Données projet'!$E$16+1,1))-AVERAGE(OFFSET($H$3,0,0,'Données projet'!$E$16+1,1))</f>
        <v>549.85684198202534</v>
      </c>
      <c r="FK76" s="59">
        <f t="shared" si="102"/>
        <v>539.63748606275431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4.873309942022602</v>
      </c>
      <c r="FR76" s="21">
        <f>EXP(-LN(2)/25)*FR75+(1-EXP(-LN(2)/25))/(LN(2)/25)*Calculateur!FM76*Calculateur!FO76*VLOOKUP('Données projet'!$B$16,Paramètres!$A$1:$I$89,3,0)*0.475*44/12</f>
        <v>11.765369367939996</v>
      </c>
      <c r="FS76" s="21">
        <f>EXP(-LN(2)/2)*FS75+(1-EXP(-LN(2)/2))/(LN(2)/2)*FM76*FP76*VLOOKUP('Données projet'!$B$16,Paramètres!$A$1:$I$89,3,0)*0.475*44/12</f>
        <v>1.2297402238771262E-5</v>
      </c>
      <c r="FT76" s="22">
        <f t="shared" si="78"/>
        <v>16.638691607364837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10.5</v>
      </c>
      <c r="FZ76" s="12">
        <f>IF('Données projet'!$A$244&gt;35,FZ75+FY76-GH75,IF(A76&lt;'Données projet'!$A$244,$FW$205^A76,IF(A76='Données projet'!$A$244,'Données projet'!$B$244,FZ75+FY76-GH75)))</f>
        <v>597.49999999999943</v>
      </c>
      <c r="GA76" s="17">
        <f>FZ76*VLOOKUP('Données projet'!$B$17,Paramètres!$A$1:$I$89,3,0)*VLOOKUP('Données projet'!$B$17,Paramètres!$A$1:$I$89,5,0)</f>
        <v>357.30499999999967</v>
      </c>
      <c r="GB76" s="13">
        <f t="shared" si="103"/>
        <v>83.064873493297938</v>
      </c>
      <c r="GC76" s="20">
        <f t="shared" si="79"/>
        <v>766.9775296674934</v>
      </c>
      <c r="GD76" s="59">
        <f t="shared" si="80"/>
        <v>1034.7603138654151</v>
      </c>
      <c r="GE76" s="59">
        <f ca="1">AVERAGE(OFFSET($GD$3,0,0,'Données projet'!$E$17+1,1))-AVERAGE(OFFSET($H$3,0,0,'Données projet'!$E$17+1,1))</f>
        <v>495.6641415122013</v>
      </c>
      <c r="GF76" s="59">
        <f t="shared" si="104"/>
        <v>488.90534169400757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1.7061736287504072</v>
      </c>
      <c r="GM76" s="21">
        <f>EXP(-LN(2)/25)*GM75+(1-EXP(-LN(2)/25))/(LN(2)/25)*Calculateur!GH76*Calculateur!GJ76*VLOOKUP('Données projet'!$B$17,Paramètres!$A$1:$I$89,3,0)*0.475*44/12</f>
        <v>7.893812636548895</v>
      </c>
      <c r="GN76" s="21">
        <f>EXP(-LN(2)/2)*GN75+(1-EXP(-LN(2)/2))/(LN(2)/2)*GH76*GK76*VLOOKUP('Données projet'!$B$17,Paramètres!$A$1:$I$89,3,0)*0.475*44/12</f>
        <v>1.1719970870973841E-5</v>
      </c>
      <c r="GO76" s="21">
        <f t="shared" si="81"/>
        <v>9.5999979852701731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10.5</v>
      </c>
      <c r="GU76" s="12">
        <f>IF('Données projet'!$A$270&gt;35,GU75+GT76-HC75,IF(A76&lt;'Données projet'!$A$270,$GR$205^A76,IF(A76='Données projet'!$A$270,'Données projet'!$B$270,GU75+GT76-HC75)))</f>
        <v>597.49999999999943</v>
      </c>
      <c r="GV76" s="17">
        <f>GU76*VLOOKUP('Données projet'!$B$18,Paramètres!$A$1:$I$89,3,0)*VLOOKUP('Données projet'!$B$18,Paramètres!$A$1:$I$89,5,0)</f>
        <v>357.30499999999967</v>
      </c>
      <c r="GW76" s="13">
        <f t="shared" si="105"/>
        <v>83.064873493297938</v>
      </c>
      <c r="GX76" s="20">
        <f t="shared" si="82"/>
        <v>766.9775296674934</v>
      </c>
      <c r="GY76" s="59">
        <f t="shared" si="83"/>
        <v>1034.7603138654151</v>
      </c>
      <c r="GZ76" s="59">
        <f ca="1">AVERAGE(OFFSET($GY$3,0,0,'Données projet'!$E$18+1,1))-AVERAGE(OFFSET($H$3,0,0,'Données projet'!$E$18+1,1))</f>
        <v>-18.333333333333343</v>
      </c>
      <c r="HA76" s="59">
        <f t="shared" si="106"/>
        <v>-18.333333333333343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1.7061736287504072</v>
      </c>
      <c r="HH76" s="21">
        <f>EXP(-LN(2)/25)*HH75+(1-EXP(-LN(2)/25))/(LN(2)/25)*Calculateur!HC76*Calculateur!HE76*VLOOKUP('Données projet'!$B$18,Paramètres!$A$1:$I$89,3,0)*0.475*44/12</f>
        <v>7.893812636548895</v>
      </c>
      <c r="HI76" s="21">
        <f>EXP(-LN(2)/2)*HI75+(1-EXP(-LN(2)/2))/(LN(2)/2)*HC76*HF76*VLOOKUP('Données projet'!$B$18,Paramètres!$A$1:$I$89,3,0)*0.475*44/12</f>
        <v>1.1719970870973841E-5</v>
      </c>
      <c r="HJ76" s="22">
        <f t="shared" si="84"/>
        <v>9.5999979852701731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430.99999999999989</v>
      </c>
      <c r="O77" s="13">
        <f>N77*VLOOKUP('Données projet'!$B$9,Paramètres!$A$1:$I$89,3,0)*VLOOKUP('Données projet'!$B$9,Paramètres!$A$1:$I$89,5,0)</f>
        <v>201.70799999999994</v>
      </c>
      <c r="P77" s="13">
        <f t="shared" si="87"/>
        <v>50.119348451854243</v>
      </c>
      <c r="Q77" s="20">
        <f t="shared" si="54"/>
        <v>438.59929855364607</v>
      </c>
      <c r="R77" s="59">
        <f t="shared" si="55"/>
        <v>706.82532765659698</v>
      </c>
      <c r="S77" s="59">
        <f ca="1">AVERAGE(OFFSET($R$3,0,0,'Données projet'!$E$9+1,1))-AVERAGE(OFFSET($H$3,0,0,'Données projet'!$E$9+1,1))</f>
        <v>376.11581547534814</v>
      </c>
      <c r="T77" s="59">
        <f t="shared" si="88"/>
        <v>300.91675649863294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1.3114202075142813</v>
      </c>
      <c r="AA77" s="21">
        <f>EXP(-LN(2)/25)*AA76+(1-EXP(-LN(2)/25))/(LN(2)/25)*Calculateur!V77*Calculateur!X77*VLOOKUP('Données projet'!$B$9,Paramètres!$A$1:$I$89,3,0)*0.475*44/12</f>
        <v>2.319311438546817</v>
      </c>
      <c r="AB77" s="21">
        <f>EXP(-LN(2)/2)*AB76+(1-EXP(-LN(2)/2))/(LN(2)/2)*V77*Y77*VLOOKUP('Données projet'!$B$9,Paramètres!$A$1:$I$89,3,0)*0.475*44/12</f>
        <v>2.3441735459079723E-6</v>
      </c>
      <c r="AC77" s="22">
        <f t="shared" si="57"/>
        <v>3.6307339902346443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274.69727999999992</v>
      </c>
      <c r="AK77" s="13">
        <f t="shared" si="89"/>
        <v>65.845147763387502</v>
      </c>
      <c r="AL77" s="20">
        <f t="shared" si="58"/>
        <v>593.11139502123308</v>
      </c>
      <c r="AM77" s="59">
        <f t="shared" si="59"/>
        <v>861.33742412418394</v>
      </c>
      <c r="AN77" s="59">
        <f ca="1">AVERAGE(OFFSET($AM$3,0,0,'Données projet'!$E$10+1,1))-AVERAGE(OFFSET($H$3,0,0,'Données projet'!$E$10+1,1))</f>
        <v>505.38595282220405</v>
      </c>
      <c r="AO77" s="59">
        <f t="shared" si="90"/>
        <v>351.72130415456365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1.0076703410041297</v>
      </c>
      <c r="AV77" s="21">
        <f>EXP(-LN(2)/25)*AV76+(1-EXP(-LN(2)/25))/(LN(2)/25)*Calculateur!AQ77*Calculateur!AS77*VLOOKUP('Données projet'!$B$10,Paramètres!$A$1:$I$89,3,0)*0.475*44/12</f>
        <v>3.3312314328110224</v>
      </c>
      <c r="AW77" s="21">
        <f>EXP(-LN(2)/2)*AW76+(1-EXP(-LN(2)/2))/(LN(2)/2)*AQ77*AT77*VLOOKUP('Données projet'!$B$10,Paramètres!$A$1:$I$89,3,0)*0.475*44/12</f>
        <v>5.1387159285799624E-6</v>
      </c>
      <c r="AX77" s="21">
        <f t="shared" si="60"/>
        <v>4.3389069125310806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253.47815999999972</v>
      </c>
      <c r="BF77" s="13">
        <f t="shared" si="91"/>
        <v>61.330136494642396</v>
      </c>
      <c r="BG77" s="20">
        <f t="shared" si="61"/>
        <v>548.29111639483494</v>
      </c>
      <c r="BH77" s="59">
        <f t="shared" si="62"/>
        <v>816.5171454977858</v>
      </c>
      <c r="BI77" s="59">
        <f ca="1">AVERAGE(OFFSET($BH$3,0,0,'Données projet'!$E$11+1,1))-AVERAGE(OFFSET($H$3,0,0,'Données projet'!$E$11+1,1))</f>
        <v>394.14657090341535</v>
      </c>
      <c r="BJ77" s="59">
        <f t="shared" si="92"/>
        <v>424.06445894109982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1.3651428086077406</v>
      </c>
      <c r="BQ77" s="21">
        <f>EXP(-LN(2)/25)*BQ76+(1-EXP(-LN(2)/25))/(LN(2)/25)*Calculateur!BL77*Calculateur!BN77*VLOOKUP('Données projet'!$B$11,Paramètres!$A$1:$I$89,3,0)*0.475*44/12</f>
        <v>6.0583750583586635</v>
      </c>
      <c r="BR77" s="21">
        <f>EXP(-LN(2)/2)*BR76+(1-EXP(-LN(2)/2))/(LN(2)/2)*BL77*BO77*VLOOKUP('Données projet'!$B$11,Paramètres!$A$1:$I$89,3,0)*0.475*44/12</f>
        <v>5.7313523895161834E-6</v>
      </c>
      <c r="BS77" s="22">
        <f t="shared" si="63"/>
        <v>7.423523598318793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8.6</v>
      </c>
      <c r="BY77" s="12">
        <f>IF('Données projet'!$A$114&gt;35,BY76+BX77-CG76,IF(A77&lt;'Données projet'!$A$114,$BV$205^A77,IF(A77='Données projet'!$A$114,'Données projet'!$B$114,BY76+BX77-CG76)))</f>
        <v>435.40000000000043</v>
      </c>
      <c r="BZ77" s="13">
        <f>BY77*VLOOKUP('Données projet'!$B$12,Paramètres!$A$1:$I$89,3,0)*VLOOKUP('Données projet'!$B$12,Paramètres!$A$1:$I$89,5,0)</f>
        <v>237.72840000000022</v>
      </c>
      <c r="CA77" s="13">
        <f t="shared" si="93"/>
        <v>57.950514491302194</v>
      </c>
      <c r="CB77" s="20">
        <f t="shared" si="64"/>
        <v>514.974109405685</v>
      </c>
      <c r="CC77" s="59">
        <f t="shared" si="65"/>
        <v>783.20013850863586</v>
      </c>
      <c r="CD77" s="59">
        <f ca="1">AVERAGE(OFFSET($CC$3,0,0,'Données projet'!$E$12+1,1))-AVERAGE(OFFSET($H$3,0,0,'Données projet'!$E$12+1,1))</f>
        <v>382.09004346384319</v>
      </c>
      <c r="CE77" s="59">
        <f t="shared" si="94"/>
        <v>410.18893995284986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3.5636136357884611</v>
      </c>
      <c r="CL77" s="21">
        <f>EXP(-LN(2)/25)*CL76+(1-EXP(-LN(2)/25))/(LN(2)/25)*Calculateur!CG77*Calculateur!CI77*VLOOKUP('Données projet'!$B$12,Paramètres!$A$1:$I$89,3,0)*0.475*44/12</f>
        <v>10.049580208675604</v>
      </c>
      <c r="CM77" s="21">
        <f>EXP(-LN(2)/2)*CM76+(1-EXP(-LN(2)/2))/(LN(2)/2)*CG77*CJ77*VLOOKUP('Données projet'!$B$12,Paramètres!$A$1:$I$89,3,0)*0.475*44/12</f>
        <v>6.003958252636493E-6</v>
      </c>
      <c r="CN77" s="22">
        <f t="shared" si="66"/>
        <v>13.613199848422317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363.02374534486341</v>
      </c>
      <c r="CZ77" s="59">
        <f t="shared" si="96"/>
        <v>489.00477393029598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3.0577582761504627</v>
      </c>
      <c r="DG77" s="21">
        <f>EXP(-LN(2)/25)*DG76+(1-EXP(-LN(2)/25))/(LN(2)/25)*Calculateur!DB77*Calculateur!DD77*VLOOKUP('Données projet'!$B$13,Paramètres!$A$1:$I$89,3,0)*0.475*44/12</f>
        <v>5.7167215016438977</v>
      </c>
      <c r="DH77" s="21">
        <f>EXP(-LN(2)/2)*DH76+(1-EXP(-LN(2)/2))/(LN(2)/2)*DB77*DE77*VLOOKUP('Données projet'!$B$13,Paramètres!$A$1:$I$89,3,0)*0.475*44/12</f>
        <v>6.9892261536507994E-6</v>
      </c>
      <c r="DI77" s="22">
        <f t="shared" si="69"/>
        <v>8.7744867670205142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>
        <f>DO77*VLOOKUP('Données projet'!$B$14,Paramètres!$A$1:$I$89,3,0)*VLOOKUP('Données projet'!$B$14,Paramètres!$A$1:$I$89,5,0)</f>
        <v>233.59751999999972</v>
      </c>
      <c r="DQ77" s="13">
        <f t="shared" si="97"/>
        <v>57.059845437390116</v>
      </c>
      <c r="DR77" s="20">
        <f t="shared" si="70"/>
        <v>506.22824480345389</v>
      </c>
      <c r="DS77" s="59">
        <f t="shared" si="71"/>
        <v>774.45427390640475</v>
      </c>
      <c r="DT77" s="59">
        <f ca="1">AVERAGE(OFFSET($DS$3,0,0,'Données projet'!$E$14+1,1))-AVERAGE(OFFSET($H$3,0,0,'Données projet'!$E$14+1,1))</f>
        <v>368.03281986807173</v>
      </c>
      <c r="DU77" s="59">
        <f t="shared" si="98"/>
        <v>395.83504504492248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1.0207005609309077</v>
      </c>
      <c r="EB77" s="21">
        <f>EXP(-LN(2)/25)*EB76+(1-EXP(-LN(2)/25))/(LN(2)/25)*Calculateur!DW77*Calculateur!DY77*VLOOKUP('Données projet'!$B$14,Paramètres!$A$1:$I$89,3,0)*0.475*44/12</f>
        <v>4.5297728423761994</v>
      </c>
      <c r="EC77" s="21">
        <f>EXP(-LN(2)/2)*EC76+(1-EXP(-LN(2)/2))/(LN(2)/2)*DW77*DZ77*VLOOKUP('Données projet'!$B$14,Paramètres!$A$1:$I$89,3,0)*0.475*44/12</f>
        <v>5.2818345550443439E-6</v>
      </c>
      <c r="ED77" s="22">
        <f t="shared" si="72"/>
        <v>5.5504786851416616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225.2264820414552</v>
      </c>
      <c r="EP77" s="59">
        <f t="shared" si="100"/>
        <v>249.91838548328681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0.92556314259846006</v>
      </c>
      <c r="EW77" s="21">
        <f>EXP(-LN(2)/25)*EW76+(1-EXP(-LN(2)/25))/(LN(2)/25)*Calculateur!ER77*Calculateur!ET77*VLOOKUP('Données projet'!$B$15,Paramètres!$A$1:$I$89,3,0)*0.475*44/12</f>
        <v>2.5555468322388371</v>
      </c>
      <c r="EX77" s="21">
        <f>EXP(-LN(2)/2)*EX76+(1-EXP(-LN(2)/2))/(LN(2)/2)*ER77*EU77*VLOOKUP('Données projet'!$B$15,Paramètres!$A$1:$I$89,3,0)*0.475*44/12</f>
        <v>9.645277525608397E-7</v>
      </c>
      <c r="EY77" s="22">
        <f t="shared" si="75"/>
        <v>3.4811109393650499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12.9</v>
      </c>
      <c r="FE77" s="12">
        <f>IF('Données projet'!$A$218&gt;35,FE76+FD77-FM76,IF(A77&lt;'Données projet'!$A$218,$FB$205^A77,IF(A77='Données projet'!$A$218,'Données projet'!$B$218,FE76+FD77-FM76)))</f>
        <v>712.59999999999889</v>
      </c>
      <c r="FF77" s="17">
        <f>FE77*VLOOKUP('Données projet'!$B$16,Paramètres!$A$1:$I$89,3,0)*VLOOKUP('Données projet'!$B$16,Paramètres!$A$1:$I$89,5,0)</f>
        <v>398.34339999999935</v>
      </c>
      <c r="FG77" s="13">
        <f t="shared" si="101"/>
        <v>91.440733917504517</v>
      </c>
      <c r="FH77" s="20">
        <f t="shared" si="76"/>
        <v>853.04069990631922</v>
      </c>
      <c r="FI77" s="59">
        <f t="shared" si="77"/>
        <v>1121.26672900927</v>
      </c>
      <c r="FJ77" s="59">
        <f ca="1">AVERAGE(OFFSET($FI$3,0,0,'Données projet'!$E$16+1,1))-AVERAGE(OFFSET($H$3,0,0,'Données projet'!$E$16+1,1))</f>
        <v>549.85684198202534</v>
      </c>
      <c r="FK77" s="59">
        <f t="shared" si="102"/>
        <v>539.63748606275431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4.777747306485101</v>
      </c>
      <c r="FR77" s="21">
        <f>EXP(-LN(2)/25)*FR76+(1-EXP(-LN(2)/25))/(LN(2)/25)*Calculateur!FM77*Calculateur!FO77*VLOOKUP('Données projet'!$B$16,Paramètres!$A$1:$I$89,3,0)*0.475*44/12</f>
        <v>11.443644723859792</v>
      </c>
      <c r="FS77" s="21">
        <f>EXP(-LN(2)/2)*FS76+(1-EXP(-LN(2)/2))/(LN(2)/2)*FM77*FP77*VLOOKUP('Données projet'!$B$16,Paramètres!$A$1:$I$89,3,0)*0.475*44/12</f>
        <v>8.6955765140137901E-6</v>
      </c>
      <c r="FT77" s="22">
        <f t="shared" si="78"/>
        <v>16.221400725921409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10.5</v>
      </c>
      <c r="FZ77" s="12">
        <f>IF('Données projet'!$A$244&gt;35,FZ76+FY77-GH76,IF(A77&lt;'Données projet'!$A$244,$FW$205^A77,IF(A77='Données projet'!$A$244,'Données projet'!$B$244,FZ76+FY77-GH76)))</f>
        <v>607.99999999999943</v>
      </c>
      <c r="GA77" s="17">
        <f>FZ77*VLOOKUP('Données projet'!$B$17,Paramètres!$A$1:$I$89,3,0)*VLOOKUP('Données projet'!$B$17,Paramètres!$A$1:$I$89,5,0)</f>
        <v>363.58399999999966</v>
      </c>
      <c r="GB77" s="13">
        <f t="shared" si="103"/>
        <v>84.353369208346209</v>
      </c>
      <c r="GC77" s="20">
        <f t="shared" si="79"/>
        <v>780.15758470453568</v>
      </c>
      <c r="GD77" s="59">
        <f t="shared" si="80"/>
        <v>1048.3836138074867</v>
      </c>
      <c r="GE77" s="59">
        <f ca="1">AVERAGE(OFFSET($GD$3,0,0,'Données projet'!$E$17+1,1))-AVERAGE(OFFSET($H$3,0,0,'Données projet'!$E$17+1,1))</f>
        <v>495.6641415122013</v>
      </c>
      <c r="GF77" s="59">
        <f t="shared" si="104"/>
        <v>488.90534169400757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1.6727166045537682</v>
      </c>
      <c r="GM77" s="21">
        <f>EXP(-LN(2)/25)*GM76+(1-EXP(-LN(2)/25))/(LN(2)/25)*Calculateur!GH77*Calculateur!GJ77*VLOOKUP('Données projet'!$B$17,Paramètres!$A$1:$I$89,3,0)*0.475*44/12</f>
        <v>7.6779559148849001</v>
      </c>
      <c r="GN77" s="21">
        <f>EXP(-LN(2)/2)*GN76+(1-EXP(-LN(2)/2))/(LN(2)/2)*GH77*GK77*VLOOKUP('Données projet'!$B$17,Paramètres!$A$1:$I$89,3,0)*0.475*44/12</f>
        <v>8.2872708781744107E-6</v>
      </c>
      <c r="GO77" s="21">
        <f t="shared" si="81"/>
        <v>9.3506808067095459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10.5</v>
      </c>
      <c r="GU77" s="12">
        <f>IF('Données projet'!$A$270&gt;35,GU76+GT77-HC76,IF(A77&lt;'Données projet'!$A$270,$GR$205^A77,IF(A77='Données projet'!$A$270,'Données projet'!$B$270,GU76+GT77-HC76)))</f>
        <v>607.99999999999943</v>
      </c>
      <c r="GV77" s="17">
        <f>GU77*VLOOKUP('Données projet'!$B$18,Paramètres!$A$1:$I$89,3,0)*VLOOKUP('Données projet'!$B$18,Paramètres!$A$1:$I$89,5,0)</f>
        <v>363.58399999999966</v>
      </c>
      <c r="GW77" s="13">
        <f t="shared" si="105"/>
        <v>84.353369208346209</v>
      </c>
      <c r="GX77" s="20">
        <f t="shared" si="82"/>
        <v>780.15758470453568</v>
      </c>
      <c r="GY77" s="59">
        <f t="shared" si="83"/>
        <v>1048.3836138074867</v>
      </c>
      <c r="GZ77" s="59">
        <f ca="1">AVERAGE(OFFSET($GY$3,0,0,'Données projet'!$E$18+1,1))-AVERAGE(OFFSET($H$3,0,0,'Données projet'!$E$18+1,1))</f>
        <v>-18.333333333333343</v>
      </c>
      <c r="HA77" s="59">
        <f t="shared" si="106"/>
        <v>-18.333333333333343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1.6727166045537682</v>
      </c>
      <c r="HH77" s="21">
        <f>EXP(-LN(2)/25)*HH76+(1-EXP(-LN(2)/25))/(LN(2)/25)*Calculateur!HC77*Calculateur!HE77*VLOOKUP('Données projet'!$B$18,Paramètres!$A$1:$I$89,3,0)*0.475*44/12</f>
        <v>7.6779559148849001</v>
      </c>
      <c r="HI77" s="21">
        <f>EXP(-LN(2)/2)*HI76+(1-EXP(-LN(2)/2))/(LN(2)/2)*HC77*HF77*VLOOKUP('Données projet'!$B$18,Paramètres!$A$1:$I$89,3,0)*0.475*44/12</f>
        <v>8.2872708781744107E-6</v>
      </c>
      <c r="HJ77" s="22">
        <f t="shared" si="84"/>
        <v>9.3506808067095459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447.99999999999989</v>
      </c>
      <c r="O78" s="13">
        <f>N78*VLOOKUP('Données projet'!$B$9,Paramètres!$A$1:$I$89,3,0)*VLOOKUP('Données projet'!$B$9,Paramètres!$A$1:$I$89,5,0)</f>
        <v>209.66399999999993</v>
      </c>
      <c r="P78" s="13">
        <f t="shared" si="87"/>
        <v>51.862154403304487</v>
      </c>
      <c r="Q78" s="20">
        <f t="shared" si="54"/>
        <v>455.49138558575515</v>
      </c>
      <c r="R78" s="59">
        <f t="shared" si="55"/>
        <v>724.15297028557995</v>
      </c>
      <c r="S78" s="59">
        <f ca="1">AVERAGE(OFFSET($R$3,0,0,'Données projet'!$E$9+1,1))-AVERAGE(OFFSET($H$3,0,0,'Données projet'!$E$9+1,1))</f>
        <v>376.11581547534814</v>
      </c>
      <c r="T78" s="59">
        <f t="shared" si="88"/>
        <v>300.91675649863294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1.2857040571322707</v>
      </c>
      <c r="AA78" s="21">
        <f>EXP(-LN(2)/25)*AA77+(1-EXP(-LN(2)/25))/(LN(2)/25)*Calculateur!V78*Calculateur!X78*VLOOKUP('Données projet'!$B$9,Paramètres!$A$1:$I$89,3,0)*0.475*44/12</f>
        <v>2.2558897452924667</v>
      </c>
      <c r="AB78" s="21">
        <f>EXP(-LN(2)/2)*AB77+(1-EXP(-LN(2)/2))/(LN(2)/2)*V78*Y78*VLOOKUP('Données projet'!$B$9,Paramètres!$A$1:$I$89,3,0)*0.475*44/12</f>
        <v>1.6575810105896418E-6</v>
      </c>
      <c r="AC78" s="22">
        <f t="shared" si="57"/>
        <v>3.5415954600057478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281.39279999999985</v>
      </c>
      <c r="AK78" s="13">
        <f t="shared" si="89"/>
        <v>67.261262504634658</v>
      </c>
      <c r="AL78" s="20">
        <f t="shared" si="58"/>
        <v>607.23915886223847</v>
      </c>
      <c r="AM78" s="59">
        <f t="shared" si="59"/>
        <v>875.90074356206333</v>
      </c>
      <c r="AN78" s="59">
        <f ca="1">AVERAGE(OFFSET($AM$3,0,0,'Données projet'!$E$10+1,1))-AVERAGE(OFFSET($H$3,0,0,'Données projet'!$E$10+1,1))</f>
        <v>505.38595282220405</v>
      </c>
      <c r="AO78" s="59">
        <f t="shared" si="90"/>
        <v>351.72130415456365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0.98791054023525815</v>
      </c>
      <c r="AV78" s="21">
        <f>EXP(-LN(2)/25)*AV77+(1-EXP(-LN(2)/25))/(LN(2)/25)*Calculateur!AQ78*Calculateur!AS78*VLOOKUP('Données projet'!$B$10,Paramètres!$A$1:$I$89,3,0)*0.475*44/12</f>
        <v>3.2401387340989576</v>
      </c>
      <c r="AW78" s="21">
        <f>EXP(-LN(2)/2)*AW77+(1-EXP(-LN(2)/2))/(LN(2)/2)*AQ78*AT78*VLOOKUP('Données projet'!$B$10,Paramètres!$A$1:$I$89,3,0)*0.475*44/12</f>
        <v>3.6336208796902182E-6</v>
      </c>
      <c r="AX78" s="21">
        <f t="shared" si="60"/>
        <v>4.2280529079550959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256.58099999999968</v>
      </c>
      <c r="BF78" s="13">
        <f t="shared" si="91"/>
        <v>61.993024805604399</v>
      </c>
      <c r="BG78" s="20">
        <f t="shared" si="61"/>
        <v>554.84975986976053</v>
      </c>
      <c r="BH78" s="59">
        <f t="shared" si="62"/>
        <v>823.51134456958539</v>
      </c>
      <c r="BI78" s="59">
        <f ca="1">AVERAGE(OFFSET($BH$3,0,0,'Données projet'!$E$11+1,1))-AVERAGE(OFFSET($H$3,0,0,'Données projet'!$E$11+1,1))</f>
        <v>394.14657090341535</v>
      </c>
      <c r="BJ78" s="59">
        <f t="shared" si="92"/>
        <v>424.06445894109982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1.3383731907858383</v>
      </c>
      <c r="BQ78" s="21">
        <f>EXP(-LN(2)/25)*BQ77+(1-EXP(-LN(2)/25))/(LN(2)/25)*Calculateur!BL78*Calculateur!BN78*VLOOKUP('Données projet'!$B$11,Paramètres!$A$1:$I$89,3,0)*0.475*44/12</f>
        <v>5.8927084737917479</v>
      </c>
      <c r="BR78" s="21">
        <f>EXP(-LN(2)/2)*BR77+(1-EXP(-LN(2)/2))/(LN(2)/2)*BL78*BO78*VLOOKUP('Données projet'!$B$11,Paramètres!$A$1:$I$89,3,0)*0.475*44/12</f>
        <v>4.0526781399966162E-6</v>
      </c>
      <c r="BS78" s="22">
        <f t="shared" si="63"/>
        <v>7.2310857172557261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</v>
      </c>
      <c r="BY78" s="12">
        <f>IF('Données projet'!$A$114&gt;35,BY77+BX78-CG77,IF(A78&lt;'Données projet'!$A$114,$BV$205^A78,IF(A78='Données projet'!$A$114,'Données projet'!$B$114,BY77+BX78-CG77)))</f>
        <v>444.00000000000045</v>
      </c>
      <c r="BZ78" s="13">
        <f>BY78*VLOOKUP('Données projet'!$B$12,Paramètres!$A$1:$I$89,3,0)*VLOOKUP('Données projet'!$B$12,Paramètres!$A$1:$I$89,5,0)</f>
        <v>242.42400000000026</v>
      </c>
      <c r="CA78" s="13">
        <f t="shared" si="93"/>
        <v>58.960760467659817</v>
      </c>
      <c r="CB78" s="20">
        <f t="shared" si="64"/>
        <v>524.91179114784131</v>
      </c>
      <c r="CC78" s="59">
        <f t="shared" si="65"/>
        <v>793.57337584766606</v>
      </c>
      <c r="CD78" s="59">
        <f ca="1">AVERAGE(OFFSET($CC$3,0,0,'Données projet'!$E$12+1,1))-AVERAGE(OFFSET($H$3,0,0,'Données projet'!$E$12+1,1))</f>
        <v>382.09004346384319</v>
      </c>
      <c r="CE78" s="59">
        <f t="shared" si="94"/>
        <v>410.18893995284986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3.4937333459803432</v>
      </c>
      <c r="CL78" s="21">
        <f>EXP(-LN(2)/25)*CL77+(1-EXP(-LN(2)/25))/(LN(2)/25)*Calculateur!CG78*Calculateur!CI78*VLOOKUP('Données projet'!$B$12,Paramètres!$A$1:$I$89,3,0)*0.475*44/12</f>
        <v>9.7747739093849155</v>
      </c>
      <c r="CM78" s="21">
        <f>EXP(-LN(2)/2)*CM77+(1-EXP(-LN(2)/2))/(LN(2)/2)*CG78*CJ78*VLOOKUP('Données projet'!$B$12,Paramètres!$A$1:$I$89,3,0)*0.475*44/12</f>
        <v>4.2454395944001988E-6</v>
      </c>
      <c r="CN78" s="22">
        <f t="shared" si="66"/>
        <v>13.268511500804854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363.02374534486341</v>
      </c>
      <c r="CZ78" s="59">
        <f t="shared" si="96"/>
        <v>489.00477393029598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2.9977975014035425</v>
      </c>
      <c r="DG78" s="21">
        <f>EXP(-LN(2)/25)*DG77+(1-EXP(-LN(2)/25))/(LN(2)/25)*Calculateur!DB78*Calculateur!DD78*VLOOKUP('Données projet'!$B$13,Paramètres!$A$1:$I$89,3,0)*0.475*44/12</f>
        <v>5.5603974515521273</v>
      </c>
      <c r="DH78" s="21">
        <f>EXP(-LN(2)/2)*DH77+(1-EXP(-LN(2)/2))/(LN(2)/2)*DB78*DE78*VLOOKUP('Données projet'!$B$13,Paramètres!$A$1:$I$89,3,0)*0.475*44/12</f>
        <v>4.9421292084928509E-6</v>
      </c>
      <c r="DI78" s="22">
        <f t="shared" si="69"/>
        <v>8.5581998950848792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>
        <f>DO78*VLOOKUP('Données projet'!$B$14,Paramètres!$A$1:$I$89,3,0)*VLOOKUP('Données projet'!$B$14,Paramètres!$A$1:$I$89,5,0)</f>
        <v>236.45699999999974</v>
      </c>
      <c r="DQ78" s="13">
        <f t="shared" si="97"/>
        <v>57.676578200883128</v>
      </c>
      <c r="DR78" s="20">
        <f t="shared" si="70"/>
        <v>512.28264869987095</v>
      </c>
      <c r="DS78" s="59">
        <f t="shared" si="71"/>
        <v>780.9442333996958</v>
      </c>
      <c r="DT78" s="59">
        <f ca="1">AVERAGE(OFFSET($DS$3,0,0,'Données projet'!$E$14+1,1))-AVERAGE(OFFSET($H$3,0,0,'Données projet'!$E$14+1,1))</f>
        <v>368.03281986807173</v>
      </c>
      <c r="DU78" s="59">
        <f t="shared" si="98"/>
        <v>395.83504504492248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1.0006852454969215</v>
      </c>
      <c r="EB78" s="21">
        <f>EXP(-LN(2)/25)*EB77+(1-EXP(-LN(2)/25))/(LN(2)/25)*Calculateur!DW78*Calculateur!DY78*VLOOKUP('Données projet'!$B$14,Paramètres!$A$1:$I$89,3,0)*0.475*44/12</f>
        <v>4.4059059657910211</v>
      </c>
      <c r="EC78" s="21">
        <f>EXP(-LN(2)/2)*EC77+(1-EXP(-LN(2)/2))/(LN(2)/2)*DW78*DZ78*VLOOKUP('Données projet'!$B$14,Paramètres!$A$1:$I$89,3,0)*0.475*44/12</f>
        <v>3.7348210309772868E-6</v>
      </c>
      <c r="ED78" s="22">
        <f t="shared" si="72"/>
        <v>5.4065949461089735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225.2264820414552</v>
      </c>
      <c r="EP78" s="59">
        <f t="shared" si="100"/>
        <v>249.91838548328681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0.90741341390987773</v>
      </c>
      <c r="EW78" s="21">
        <f>EXP(-LN(2)/25)*EW77+(1-EXP(-LN(2)/25))/(LN(2)/25)*Calculateur!ER78*Calculateur!ET78*VLOOKUP('Données projet'!$B$15,Paramètres!$A$1:$I$89,3,0)*0.475*44/12</f>
        <v>2.485665269720899</v>
      </c>
      <c r="EX78" s="21">
        <f>EXP(-LN(2)/2)*EX77+(1-EXP(-LN(2)/2))/(LN(2)/2)*ER78*EU78*VLOOKUP('Données projet'!$B$15,Paramètres!$A$1:$I$89,3,0)*0.475*44/12</f>
        <v>6.8202411447839014E-7</v>
      </c>
      <c r="EY78" s="22">
        <f t="shared" si="75"/>
        <v>3.3930793656548914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12.9</v>
      </c>
      <c r="FE78" s="12">
        <f>IF('Données projet'!$A$218&gt;35,FE77+FD78-FM77,IF(A78&lt;'Données projet'!$A$218,$FB$205^A78,IF(A78='Données projet'!$A$218,'Données projet'!$B$218,FE77+FD78-FM77)))</f>
        <v>725.49999999999886</v>
      </c>
      <c r="FF78" s="17">
        <f>FE78*VLOOKUP('Données projet'!$B$16,Paramètres!$A$1:$I$89,3,0)*VLOOKUP('Données projet'!$B$16,Paramètres!$A$1:$I$89,5,0)</f>
        <v>405.55449999999939</v>
      </c>
      <c r="FG78" s="13">
        <f t="shared" si="101"/>
        <v>92.901849439756845</v>
      </c>
      <c r="FH78" s="20">
        <f t="shared" si="76"/>
        <v>868.14480860757533</v>
      </c>
      <c r="FI78" s="59">
        <f t="shared" si="77"/>
        <v>1136.8063933074002</v>
      </c>
      <c r="FJ78" s="59">
        <f ca="1">AVERAGE(OFFSET($FI$3,0,0,'Données projet'!$E$16+1,1))-AVERAGE(OFFSET($H$3,0,0,'Données projet'!$E$16+1,1))</f>
        <v>549.85684198202534</v>
      </c>
      <c r="FK78" s="59">
        <f t="shared" si="102"/>
        <v>539.63748606275431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4.6840585959430383</v>
      </c>
      <c r="FR78" s="21">
        <f>EXP(-LN(2)/25)*FR77+(1-EXP(-LN(2)/25))/(LN(2)/25)*Calculateur!FM78*Calculateur!FO78*VLOOKUP('Données projet'!$B$16,Paramètres!$A$1:$I$89,3,0)*0.475*44/12</f>
        <v>11.130717657090726</v>
      </c>
      <c r="FS78" s="21">
        <f>EXP(-LN(2)/2)*FS77+(1-EXP(-LN(2)/2))/(LN(2)/2)*FM78*FP78*VLOOKUP('Données projet'!$B$16,Paramètres!$A$1:$I$89,3,0)*0.475*44/12</f>
        <v>6.1487011193856308E-6</v>
      </c>
      <c r="FT78" s="22">
        <f t="shared" si="78"/>
        <v>15.814782401734883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10.5</v>
      </c>
      <c r="FZ78" s="12">
        <f>IF('Données projet'!$A$244&gt;35,FZ77+FY78-GH77,IF(A78&lt;'Données projet'!$A$244,$FW$205^A78,IF(A78='Données projet'!$A$244,'Données projet'!$B$244,FZ77+FY78-GH77)))</f>
        <v>618.49999999999943</v>
      </c>
      <c r="GA78" s="17">
        <f>FZ78*VLOOKUP('Données projet'!$B$17,Paramètres!$A$1:$I$89,3,0)*VLOOKUP('Données projet'!$B$17,Paramètres!$A$1:$I$89,5,0)</f>
        <v>369.86299999999972</v>
      </c>
      <c r="GB78" s="13">
        <f t="shared" si="103"/>
        <v>85.639277258307303</v>
      </c>
      <c r="GC78" s="20">
        <f t="shared" si="79"/>
        <v>793.33313289155137</v>
      </c>
      <c r="GD78" s="59">
        <f t="shared" si="80"/>
        <v>1061.9947175913762</v>
      </c>
      <c r="GE78" s="59">
        <f ca="1">AVERAGE(OFFSET($GD$3,0,0,'Données projet'!$E$17+1,1))-AVERAGE(OFFSET($H$3,0,0,'Données projet'!$E$17+1,1))</f>
        <v>495.6641415122013</v>
      </c>
      <c r="GF78" s="59">
        <f t="shared" si="104"/>
        <v>488.90534169400757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1.6399156521948557</v>
      </c>
      <c r="GM78" s="21">
        <f>EXP(-LN(2)/25)*GM77+(1-EXP(-LN(2)/25))/(LN(2)/25)*Calculateur!GH78*Calculateur!GJ78*VLOOKUP('Données projet'!$B$17,Paramètres!$A$1:$I$89,3,0)*0.475*44/12</f>
        <v>7.4680018066262193</v>
      </c>
      <c r="GN78" s="21">
        <f>EXP(-LN(2)/2)*GN77+(1-EXP(-LN(2)/2))/(LN(2)/2)*GH78*GK78*VLOOKUP('Données projet'!$B$17,Paramètres!$A$1:$I$89,3,0)*0.475*44/12</f>
        <v>5.8599854354869207E-6</v>
      </c>
      <c r="GO78" s="21">
        <f t="shared" si="81"/>
        <v>9.1079233188065096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10.5</v>
      </c>
      <c r="GU78" s="12">
        <f>IF('Données projet'!$A$270&gt;35,GU77+GT78-HC77,IF(A78&lt;'Données projet'!$A$270,$GR$205^A78,IF(A78='Données projet'!$A$270,'Données projet'!$B$270,GU77+GT78-HC77)))</f>
        <v>618.49999999999943</v>
      </c>
      <c r="GV78" s="17">
        <f>GU78*VLOOKUP('Données projet'!$B$18,Paramètres!$A$1:$I$89,3,0)*VLOOKUP('Données projet'!$B$18,Paramètres!$A$1:$I$89,5,0)</f>
        <v>369.86299999999972</v>
      </c>
      <c r="GW78" s="13">
        <f t="shared" si="105"/>
        <v>85.639277258307303</v>
      </c>
      <c r="GX78" s="20">
        <f t="shared" si="82"/>
        <v>793.33313289155137</v>
      </c>
      <c r="GY78" s="59">
        <f t="shared" si="83"/>
        <v>1061.9947175913762</v>
      </c>
      <c r="GZ78" s="59">
        <f ca="1">AVERAGE(OFFSET($GY$3,0,0,'Données projet'!$E$18+1,1))-AVERAGE(OFFSET($H$3,0,0,'Données projet'!$E$18+1,1))</f>
        <v>-18.333333333333343</v>
      </c>
      <c r="HA78" s="59">
        <f t="shared" si="106"/>
        <v>-18.333333333333343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1.6399156521948557</v>
      </c>
      <c r="HH78" s="21">
        <f>EXP(-LN(2)/25)*HH77+(1-EXP(-LN(2)/25))/(LN(2)/25)*Calculateur!HC78*Calculateur!HE78*VLOOKUP('Données projet'!$B$18,Paramètres!$A$1:$I$89,3,0)*0.475*44/12</f>
        <v>7.4680018066262193</v>
      </c>
      <c r="HI78" s="21">
        <f>EXP(-LN(2)/2)*HI77+(1-EXP(-LN(2)/2))/(LN(2)/2)*HC78*HF78*VLOOKUP('Données projet'!$B$18,Paramètres!$A$1:$I$89,3,0)*0.475*44/12</f>
        <v>5.8599854354869207E-6</v>
      </c>
      <c r="HJ78" s="22">
        <f t="shared" si="84"/>
        <v>9.1079233188065096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464.99999999999989</v>
      </c>
      <c r="O79" s="13">
        <f>N79*VLOOKUP('Données projet'!$B$9,Paramètres!$A$1:$I$89,3,0)*VLOOKUP('Données projet'!$B$9,Paramètres!$A$1:$I$89,5,0)</f>
        <v>217.61999999999995</v>
      </c>
      <c r="P79" s="13">
        <f t="shared" si="87"/>
        <v>53.597277471320098</v>
      </c>
      <c r="Q79" s="20">
        <f t="shared" si="54"/>
        <v>472.37009159588234</v>
      </c>
      <c r="R79" s="59">
        <f t="shared" si="55"/>
        <v>741.45967597673177</v>
      </c>
      <c r="S79" s="59">
        <f ca="1">AVERAGE(OFFSET($R$3,0,0,'Données projet'!$E$9+1,1))-AVERAGE(OFFSET($H$3,0,0,'Données projet'!$E$9+1,1))</f>
        <v>376.11581547534814</v>
      </c>
      <c r="T79" s="59">
        <f t="shared" si="88"/>
        <v>300.91675649863294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1.2604921847739481</v>
      </c>
      <c r="AA79" s="21">
        <f>EXP(-LN(2)/25)*AA78+(1-EXP(-LN(2)/25))/(LN(2)/25)*Calculateur!V79*Calculateur!X79*VLOOKUP('Données projet'!$B$9,Paramètres!$A$1:$I$89,3,0)*0.475*44/12</f>
        <v>2.1942023215753585</v>
      </c>
      <c r="AB79" s="21">
        <f>EXP(-LN(2)/2)*AB78+(1-EXP(-LN(2)/2))/(LN(2)/2)*V79*Y79*VLOOKUP('Données projet'!$B$9,Paramètres!$A$1:$I$89,3,0)*0.475*44/12</f>
        <v>1.1720867729539862E-6</v>
      </c>
      <c r="AC79" s="22">
        <f t="shared" si="57"/>
        <v>3.4546956784360794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288.0883199999999</v>
      </c>
      <c r="AK79" s="13">
        <f t="shared" si="89"/>
        <v>68.673460144735557</v>
      </c>
      <c r="AL79" s="20">
        <f t="shared" si="58"/>
        <v>621.36010041874761</v>
      </c>
      <c r="AM79" s="59">
        <f t="shared" si="59"/>
        <v>890.44968479959698</v>
      </c>
      <c r="AN79" s="59">
        <f ca="1">AVERAGE(OFFSET($AM$3,0,0,'Données projet'!$E$10+1,1))-AVERAGE(OFFSET($H$3,0,0,'Données projet'!$E$10+1,1))</f>
        <v>505.38595282220405</v>
      </c>
      <c r="AO79" s="59">
        <f t="shared" si="90"/>
        <v>351.72130415456365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0.9685382171071758</v>
      </c>
      <c r="AV79" s="21">
        <f>EXP(-LN(2)/25)*AV78+(1-EXP(-LN(2)/25))/(LN(2)/25)*Calculateur!AQ79*Calculateur!AS79*VLOOKUP('Données projet'!$B$10,Paramètres!$A$1:$I$89,3,0)*0.475*44/12</f>
        <v>3.1515369700235309</v>
      </c>
      <c r="AW79" s="21">
        <f>EXP(-LN(2)/2)*AW78+(1-EXP(-LN(2)/2))/(LN(2)/2)*AQ79*AT79*VLOOKUP('Données projet'!$B$10,Paramètres!$A$1:$I$89,3,0)*0.475*44/12</f>
        <v>2.5693579642899816E-6</v>
      </c>
      <c r="AX79" s="21">
        <f t="shared" si="60"/>
        <v>4.120077756488671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259.68383999999969</v>
      </c>
      <c r="BF79" s="13">
        <f t="shared" si="91"/>
        <v>62.654980648867301</v>
      </c>
      <c r="BG79" s="20">
        <f t="shared" si="61"/>
        <v>561.40677929677668</v>
      </c>
      <c r="BH79" s="59">
        <f t="shared" si="62"/>
        <v>830.49636367762605</v>
      </c>
      <c r="BI79" s="59">
        <f ca="1">AVERAGE(OFFSET($BH$3,0,0,'Données projet'!$E$11+1,1))-AVERAGE(OFFSET($H$3,0,0,'Données projet'!$E$11+1,1))</f>
        <v>394.14657090341535</v>
      </c>
      <c r="BJ79" s="59">
        <f t="shared" si="92"/>
        <v>424.06445894109982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1.3121285088415688</v>
      </c>
      <c r="BQ79" s="21">
        <f>EXP(-LN(2)/25)*BQ78+(1-EXP(-LN(2)/25))/(LN(2)/25)*Calculateur!BL79*Calculateur!BN79*VLOOKUP('Données projet'!$B$11,Paramètres!$A$1:$I$89,3,0)*0.475*44/12</f>
        <v>5.7315720506918417</v>
      </c>
      <c r="BR79" s="21">
        <f>EXP(-LN(2)/2)*BR78+(1-EXP(-LN(2)/2))/(LN(2)/2)*BL79*BO79*VLOOKUP('Données projet'!$B$11,Paramètres!$A$1:$I$89,3,0)*0.475*44/12</f>
        <v>2.8656761947580917E-6</v>
      </c>
      <c r="BS79" s="22">
        <f t="shared" si="63"/>
        <v>7.043703425209606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</v>
      </c>
      <c r="BY79" s="12">
        <f>IF('Données projet'!$A$114&gt;35,BY78+BX79-CG78,IF(A79&lt;'Données projet'!$A$114,$BV$205^A79,IF(A79='Données projet'!$A$114,'Données projet'!$B$114,BY78+BX79-CG78)))</f>
        <v>452.60000000000048</v>
      </c>
      <c r="BZ79" s="13">
        <f>BY79*VLOOKUP('Données projet'!$B$12,Paramètres!$A$1:$I$89,3,0)*VLOOKUP('Données projet'!$B$12,Paramètres!$A$1:$I$89,5,0)</f>
        <v>247.11960000000025</v>
      </c>
      <c r="CA79" s="13">
        <f t="shared" si="93"/>
        <v>59.968731164216315</v>
      </c>
      <c r="CB79" s="20">
        <f t="shared" si="64"/>
        <v>534.84551011101053</v>
      </c>
      <c r="CC79" s="59">
        <f t="shared" si="65"/>
        <v>803.9350944918599</v>
      </c>
      <c r="CD79" s="59">
        <f ca="1">AVERAGE(OFFSET($CC$3,0,0,'Données projet'!$E$12+1,1))-AVERAGE(OFFSET($H$3,0,0,'Données projet'!$E$12+1,1))</f>
        <v>382.09004346384319</v>
      </c>
      <c r="CE79" s="59">
        <f t="shared" si="94"/>
        <v>410.18893995284986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3.4252233660325944</v>
      </c>
      <c r="CL79" s="21">
        <f>EXP(-LN(2)/25)*CL78+(1-EXP(-LN(2)/25))/(LN(2)/25)*Calculateur!CG79*Calculateur!CI79*VLOOKUP('Données projet'!$B$12,Paramètres!$A$1:$I$89,3,0)*0.475*44/12</f>
        <v>9.5074822027997659</v>
      </c>
      <c r="CM79" s="21">
        <f>EXP(-LN(2)/2)*CM78+(1-EXP(-LN(2)/2))/(LN(2)/2)*CG79*CJ79*VLOOKUP('Données projet'!$B$12,Paramètres!$A$1:$I$89,3,0)*0.475*44/12</f>
        <v>3.0019791263182465E-6</v>
      </c>
      <c r="CN79" s="22">
        <f t="shared" si="66"/>
        <v>12.932708570811487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363.02374534486341</v>
      </c>
      <c r="CZ79" s="59">
        <f t="shared" si="96"/>
        <v>489.00477393029598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2.9390125208769478</v>
      </c>
      <c r="DG79" s="21">
        <f>EXP(-LN(2)/25)*DG78+(1-EXP(-LN(2)/25))/(LN(2)/25)*Calculateur!DB79*Calculateur!DD79*VLOOKUP('Données projet'!$B$13,Paramètres!$A$1:$I$89,3,0)*0.475*44/12</f>
        <v>5.4083480908308408</v>
      </c>
      <c r="DH79" s="21">
        <f>EXP(-LN(2)/2)*DH78+(1-EXP(-LN(2)/2))/(LN(2)/2)*DB79*DE79*VLOOKUP('Données projet'!$B$13,Paramètres!$A$1:$I$89,3,0)*0.475*44/12</f>
        <v>3.4946130768253997E-6</v>
      </c>
      <c r="DI79" s="22">
        <f t="shared" si="69"/>
        <v>8.3473641063208657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>
        <f>DO79*VLOOKUP('Données projet'!$B$14,Paramètres!$A$1:$I$89,3,0)*VLOOKUP('Données projet'!$B$14,Paramètres!$A$1:$I$89,5,0)</f>
        <v>239.31647999999967</v>
      </c>
      <c r="DQ79" s="13">
        <f t="shared" si="97"/>
        <v>58.292443422481945</v>
      </c>
      <c r="DR79" s="20">
        <f t="shared" si="70"/>
        <v>518.33554162748874</v>
      </c>
      <c r="DS79" s="59">
        <f t="shared" si="71"/>
        <v>787.42512600833811</v>
      </c>
      <c r="DT79" s="59">
        <f ca="1">AVERAGE(OFFSET($DS$3,0,0,'Données projet'!$E$14+1,1))-AVERAGE(OFFSET($H$3,0,0,'Données projet'!$E$14+1,1))</f>
        <v>368.03281986807173</v>
      </c>
      <c r="DU79" s="59">
        <f t="shared" si="98"/>
        <v>395.83504504492248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0.98106241819045881</v>
      </c>
      <c r="EB79" s="21">
        <f>EXP(-LN(2)/25)*EB78+(1-EXP(-LN(2)/25))/(LN(2)/25)*Calculateur!DW79*Calculateur!DY79*VLOOKUP('Données projet'!$B$14,Paramètres!$A$1:$I$89,3,0)*0.475*44/12</f>
        <v>4.2854262354599406</v>
      </c>
      <c r="EC79" s="21">
        <f>EXP(-LN(2)/2)*EC78+(1-EXP(-LN(2)/2))/(LN(2)/2)*DW79*DZ79*VLOOKUP('Données projet'!$B$14,Paramètres!$A$1:$I$89,3,0)*0.475*44/12</f>
        <v>2.6409172775221724E-6</v>
      </c>
      <c r="ED79" s="22">
        <f t="shared" si="72"/>
        <v>5.2664912945676772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225.2264820414552</v>
      </c>
      <c r="EP79" s="59">
        <f t="shared" si="100"/>
        <v>249.91838548328681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0.88961959033063709</v>
      </c>
      <c r="EW79" s="21">
        <f>EXP(-LN(2)/25)*EW78+(1-EXP(-LN(2)/25))/(LN(2)/25)*Calculateur!ER79*Calculateur!ET79*VLOOKUP('Données projet'!$B$15,Paramètres!$A$1:$I$89,3,0)*0.475*44/12</f>
        <v>2.4176946222049254</v>
      </c>
      <c r="EX79" s="21">
        <f>EXP(-LN(2)/2)*EX78+(1-EXP(-LN(2)/2))/(LN(2)/2)*ER79*EU79*VLOOKUP('Données projet'!$B$15,Paramètres!$A$1:$I$89,3,0)*0.475*44/12</f>
        <v>4.8226387628041985E-7</v>
      </c>
      <c r="EY79" s="22">
        <f t="shared" si="75"/>
        <v>3.3073146947994387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12.9</v>
      </c>
      <c r="FE79" s="12">
        <f>IF('Données projet'!$A$218&gt;35,FE78+FD79-FM78,IF(A79&lt;'Données projet'!$A$218,$FB$205^A79,IF(A79='Données projet'!$A$218,'Données projet'!$B$218,FE78+FD79-FM78)))</f>
        <v>738.39999999999884</v>
      </c>
      <c r="FF79" s="17">
        <f>FE79*VLOOKUP('Données projet'!$B$16,Paramètres!$A$1:$I$89,3,0)*VLOOKUP('Données projet'!$B$16,Paramètres!$A$1:$I$89,5,0)</f>
        <v>412.76559999999932</v>
      </c>
      <c r="FG79" s="13">
        <f t="shared" si="101"/>
        <v>94.359943864992076</v>
      </c>
      <c r="FH79" s="20">
        <f t="shared" si="76"/>
        <v>883.24365556486009</v>
      </c>
      <c r="FI79" s="59">
        <f t="shared" si="77"/>
        <v>1152.3332399457095</v>
      </c>
      <c r="FJ79" s="59">
        <f ca="1">AVERAGE(OFFSET($FI$3,0,0,'Données projet'!$E$16+1,1))-AVERAGE(OFFSET($H$3,0,0,'Données projet'!$E$16+1,1))</f>
        <v>549.85684198202534</v>
      </c>
      <c r="FK79" s="59">
        <f t="shared" si="102"/>
        <v>539.63748606275431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4.5922070638702346</v>
      </c>
      <c r="FR79" s="21">
        <f>EXP(-LN(2)/25)*FR78+(1-EXP(-LN(2)/25))/(LN(2)/25)*Calculateur!FM79*Calculateur!FO79*VLOOKUP('Données projet'!$B$16,Paramètres!$A$1:$I$89,3,0)*0.475*44/12</f>
        <v>10.826347597418577</v>
      </c>
      <c r="FS79" s="21">
        <f>EXP(-LN(2)/2)*FS78+(1-EXP(-LN(2)/2))/(LN(2)/2)*FM79*FP79*VLOOKUP('Données projet'!$B$16,Paramètres!$A$1:$I$89,3,0)*0.475*44/12</f>
        <v>4.347788257006895E-6</v>
      </c>
      <c r="FT79" s="22">
        <f t="shared" si="78"/>
        <v>15.41855900907707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10.5</v>
      </c>
      <c r="FZ79" s="12">
        <f>IF('Données projet'!$A$244&gt;35,FZ78+FY79-GH78,IF(A79&lt;'Données projet'!$A$244,$FW$205^A79,IF(A79='Données projet'!$A$244,'Données projet'!$B$244,FZ78+FY79-GH78)))</f>
        <v>628.99999999999943</v>
      </c>
      <c r="GA79" s="17">
        <f>FZ79*VLOOKUP('Données projet'!$B$17,Paramètres!$A$1:$I$89,3,0)*VLOOKUP('Données projet'!$B$17,Paramètres!$A$1:$I$89,5,0)</f>
        <v>376.14199999999971</v>
      </c>
      <c r="GB79" s="13">
        <f t="shared" si="103"/>
        <v>86.922646642552508</v>
      </c>
      <c r="GC79" s="20">
        <f t="shared" si="79"/>
        <v>806.5042595691117</v>
      </c>
      <c r="GD79" s="59">
        <f t="shared" si="80"/>
        <v>1075.5938439499612</v>
      </c>
      <c r="GE79" s="59">
        <f ca="1">AVERAGE(OFFSET($GD$3,0,0,'Données projet'!$E$17+1,1))-AVERAGE(OFFSET($H$3,0,0,'Données projet'!$E$17+1,1))</f>
        <v>495.6641415122013</v>
      </c>
      <c r="GF79" s="59">
        <f t="shared" si="104"/>
        <v>488.90534169400757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1.607757906505096</v>
      </c>
      <c r="GM79" s="21">
        <f>EXP(-LN(2)/25)*GM78+(1-EXP(-LN(2)/25))/(LN(2)/25)*Calculateur!GH79*Calculateur!GJ79*VLOOKUP('Données projet'!$B$17,Paramètres!$A$1:$I$89,3,0)*0.475*44/12</f>
        <v>7.2637889044988784</v>
      </c>
      <c r="GN79" s="21">
        <f>EXP(-LN(2)/2)*GN78+(1-EXP(-LN(2)/2))/(LN(2)/2)*GH79*GK79*VLOOKUP('Données projet'!$B$17,Paramètres!$A$1:$I$89,3,0)*0.475*44/12</f>
        <v>4.1436354390872054E-6</v>
      </c>
      <c r="GO79" s="21">
        <f t="shared" si="81"/>
        <v>8.871550954639412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10.5</v>
      </c>
      <c r="GU79" s="12">
        <f>IF('Données projet'!$A$270&gt;35,GU78+GT79-HC78,IF(A79&lt;'Données projet'!$A$270,$GR$205^A79,IF(A79='Données projet'!$A$270,'Données projet'!$B$270,GU78+GT79-HC78)))</f>
        <v>628.99999999999943</v>
      </c>
      <c r="GV79" s="17">
        <f>GU79*VLOOKUP('Données projet'!$B$18,Paramètres!$A$1:$I$89,3,0)*VLOOKUP('Données projet'!$B$18,Paramètres!$A$1:$I$89,5,0)</f>
        <v>376.14199999999971</v>
      </c>
      <c r="GW79" s="13">
        <f t="shared" si="105"/>
        <v>86.922646642552508</v>
      </c>
      <c r="GX79" s="20">
        <f t="shared" si="82"/>
        <v>806.5042595691117</v>
      </c>
      <c r="GY79" s="59">
        <f t="shared" si="83"/>
        <v>1075.5938439499612</v>
      </c>
      <c r="GZ79" s="59">
        <f ca="1">AVERAGE(OFFSET($GY$3,0,0,'Données projet'!$E$18+1,1))-AVERAGE(OFFSET($H$3,0,0,'Données projet'!$E$18+1,1))</f>
        <v>-18.333333333333343</v>
      </c>
      <c r="HA79" s="59">
        <f t="shared" si="106"/>
        <v>-18.333333333333343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1.607757906505096</v>
      </c>
      <c r="HH79" s="21">
        <f>EXP(-LN(2)/25)*HH78+(1-EXP(-LN(2)/25))/(LN(2)/25)*Calculateur!HC79*Calculateur!HE79*VLOOKUP('Données projet'!$B$18,Paramètres!$A$1:$I$89,3,0)*0.475*44/12</f>
        <v>7.2637889044988784</v>
      </c>
      <c r="HI79" s="21">
        <f>EXP(-LN(2)/2)*HI78+(1-EXP(-LN(2)/2))/(LN(2)/2)*HC79*HF79*VLOOKUP('Données projet'!$B$18,Paramètres!$A$1:$I$89,3,0)*0.475*44/12</f>
        <v>4.1436354390872054E-6</v>
      </c>
      <c r="HJ79" s="22">
        <f t="shared" si="84"/>
        <v>8.871550954639412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481.99999999999989</v>
      </c>
      <c r="O80" s="13">
        <f>N80*VLOOKUP('Données projet'!$B$9,Paramètres!$A$1:$I$89,3,0)*VLOOKUP('Données projet'!$B$9,Paramètres!$A$1:$I$89,5,0)</f>
        <v>225.57599999999994</v>
      </c>
      <c r="P80" s="13">
        <f t="shared" si="87"/>
        <v>55.325030705505945</v>
      </c>
      <c r="Q80" s="20">
        <f t="shared" si="54"/>
        <v>489.23596181208933</v>
      </c>
      <c r="R80" s="59">
        <f t="shared" si="55"/>
        <v>758.74612103636161</v>
      </c>
      <c r="S80" s="59">
        <f ca="1">AVERAGE(OFFSET($R$3,0,0,'Données projet'!$E$9+1,1))-AVERAGE(OFFSET($H$3,0,0,'Données projet'!$E$9+1,1))</f>
        <v>376.11581547534814</v>
      </c>
      <c r="T80" s="59">
        <f t="shared" si="88"/>
        <v>300.91675649863294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1.2357747018548486</v>
      </c>
      <c r="AA80" s="21">
        <f>EXP(-LN(2)/25)*AA79+(1-EXP(-LN(2)/25))/(LN(2)/25)*Calculateur!V80*Calculateur!X80*VLOOKUP('Données projet'!$B$9,Paramètres!$A$1:$I$89,3,0)*0.475*44/12</f>
        <v>2.134201743703795</v>
      </c>
      <c r="AB80" s="21">
        <f>EXP(-LN(2)/2)*AB79+(1-EXP(-LN(2)/2))/(LN(2)/2)*V80*Y80*VLOOKUP('Données projet'!$B$9,Paramètres!$A$1:$I$89,3,0)*0.475*44/12</f>
        <v>8.2879050529482091E-7</v>
      </c>
      <c r="AC80" s="22">
        <f t="shared" si="57"/>
        <v>3.3699772743491487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294.78383999999983</v>
      </c>
      <c r="AK80" s="13">
        <f t="shared" si="89"/>
        <v>70.081842199807596</v>
      </c>
      <c r="AL80" s="20">
        <f t="shared" si="58"/>
        <v>635.47439649799799</v>
      </c>
      <c r="AM80" s="59">
        <f t="shared" si="59"/>
        <v>904.98455572227022</v>
      </c>
      <c r="AN80" s="59">
        <f ca="1">AVERAGE(OFFSET($AM$3,0,0,'Données projet'!$E$10+1,1))-AVERAGE(OFFSET($H$3,0,0,'Données projet'!$E$10+1,1))</f>
        <v>505.38595282220405</v>
      </c>
      <c r="AO80" s="59">
        <f t="shared" si="90"/>
        <v>351.72130415456365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0.94954577341968482</v>
      </c>
      <c r="AV80" s="21">
        <f>EXP(-LN(2)/25)*AV79+(1-EXP(-LN(2)/25))/(LN(2)/25)*Calculateur!AQ80*Calculateur!AS80*VLOOKUP('Données projet'!$B$10,Paramètres!$A$1:$I$89,3,0)*0.475*44/12</f>
        <v>3.0653580258461113</v>
      </c>
      <c r="AW80" s="21">
        <f>EXP(-LN(2)/2)*AW79+(1-EXP(-LN(2)/2))/(LN(2)/2)*AQ80*AT80*VLOOKUP('Données projet'!$B$10,Paramètres!$A$1:$I$89,3,0)*0.475*44/12</f>
        <v>1.8168104398451093E-6</v>
      </c>
      <c r="AX80" s="21">
        <f t="shared" si="60"/>
        <v>4.014905616076236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262.78667999999965</v>
      </c>
      <c r="BF80" s="13">
        <f t="shared" si="91"/>
        <v>63.316016454882053</v>
      </c>
      <c r="BG80" s="20">
        <f t="shared" si="61"/>
        <v>567.96219632558564</v>
      </c>
      <c r="BH80" s="59">
        <f t="shared" si="62"/>
        <v>837.47235554985787</v>
      </c>
      <c r="BI80" s="59">
        <f ca="1">AVERAGE(OFFSET($BH$3,0,0,'Données projet'!$E$11+1,1))-AVERAGE(OFFSET($H$3,0,0,'Données projet'!$E$11+1,1))</f>
        <v>394.14657090341535</v>
      </c>
      <c r="BJ80" s="59">
        <f t="shared" si="92"/>
        <v>424.06445894109982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1.2863984691025512</v>
      </c>
      <c r="BQ80" s="21">
        <f>EXP(-LN(2)/25)*BQ79+(1-EXP(-LN(2)/25))/(LN(2)/25)*Calculateur!BL80*Calculateur!BN80*VLOOKUP('Données projet'!$B$11,Paramètres!$A$1:$I$89,3,0)*0.475*44/12</f>
        <v>5.5748419115553984</v>
      </c>
      <c r="BR80" s="21">
        <f>EXP(-LN(2)/2)*BR79+(1-EXP(-LN(2)/2))/(LN(2)/2)*BL80*BO80*VLOOKUP('Données projet'!$B$11,Paramètres!$A$1:$I$89,3,0)*0.475*44/12</f>
        <v>2.0263390699983081E-6</v>
      </c>
      <c r="BS80" s="22">
        <f t="shared" si="63"/>
        <v>6.8612424069970199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</v>
      </c>
      <c r="BY80" s="12">
        <f>IF('Données projet'!$A$114&gt;35,BY79+BX80-CG79,IF(A80&lt;'Données projet'!$A$114,$BV$205^A80,IF(A80='Données projet'!$A$114,'Données projet'!$B$114,BY79+BX80-CG79)))</f>
        <v>461.2000000000005</v>
      </c>
      <c r="BZ80" s="13">
        <f>BY80*VLOOKUP('Données projet'!$B$12,Paramètres!$A$1:$I$89,3,0)*VLOOKUP('Données projet'!$B$12,Paramètres!$A$1:$I$89,5,0)</f>
        <v>251.81520000000029</v>
      </c>
      <c r="CA80" s="13">
        <f t="shared" si="93"/>
        <v>60.974474799180804</v>
      </c>
      <c r="CB80" s="20">
        <f t="shared" si="64"/>
        <v>544.77535027524038</v>
      </c>
      <c r="CC80" s="59">
        <f t="shared" si="65"/>
        <v>814.28550949951273</v>
      </c>
      <c r="CD80" s="59">
        <f ca="1">AVERAGE(OFFSET($CC$3,0,0,'Données projet'!$E$12+1,1))-AVERAGE(OFFSET($H$3,0,0,'Données projet'!$E$12+1,1))</f>
        <v>382.09004346384319</v>
      </c>
      <c r="CE80" s="59">
        <f t="shared" si="94"/>
        <v>410.18893995284986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3.3580568250046592</v>
      </c>
      <c r="CL80" s="21">
        <f>EXP(-LN(2)/25)*CL79+(1-EXP(-LN(2)/25))/(LN(2)/25)*Calculateur!CG80*Calculateur!CI80*VLOOKUP('Données projet'!$B$12,Paramètres!$A$1:$I$89,3,0)*0.475*44/12</f>
        <v>9.247499601987446</v>
      </c>
      <c r="CM80" s="21">
        <f>EXP(-LN(2)/2)*CM79+(1-EXP(-LN(2)/2))/(LN(2)/2)*CG80*CJ80*VLOOKUP('Données projet'!$B$12,Paramètres!$A$1:$I$89,3,0)*0.475*44/12</f>
        <v>2.1227197972000994E-6</v>
      </c>
      <c r="CN80" s="22">
        <f t="shared" si="66"/>
        <v>12.605558549711903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363.02374534486341</v>
      </c>
      <c r="CZ80" s="59">
        <f t="shared" si="96"/>
        <v>489.00477393029598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2.8813802779631819</v>
      </c>
      <c r="DG80" s="21">
        <f>EXP(-LN(2)/25)*DG79+(1-EXP(-LN(2)/25))/(LN(2)/25)*Calculateur!DB80*Calculateur!DD80*VLOOKUP('Données projet'!$B$13,Paramètres!$A$1:$I$89,3,0)*0.475*44/12</f>
        <v>5.260456527874406</v>
      </c>
      <c r="DH80" s="21">
        <f>EXP(-LN(2)/2)*DH79+(1-EXP(-LN(2)/2))/(LN(2)/2)*DB80*DE80*VLOOKUP('Données projet'!$B$13,Paramètres!$A$1:$I$89,3,0)*0.475*44/12</f>
        <v>2.4710646042464255E-6</v>
      </c>
      <c r="DI80" s="22">
        <f t="shared" si="69"/>
        <v>8.1418392769021928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>
        <f>DO80*VLOOKUP('Données projet'!$B$14,Paramètres!$A$1:$I$89,3,0)*VLOOKUP('Données projet'!$B$14,Paramètres!$A$1:$I$89,5,0)</f>
        <v>242.17595999999966</v>
      </c>
      <c r="DQ80" s="13">
        <f t="shared" si="97"/>
        <v>58.907452667130812</v>
      </c>
      <c r="DR80" s="20">
        <f t="shared" si="70"/>
        <v>524.38694372858561</v>
      </c>
      <c r="DS80" s="59">
        <f t="shared" si="71"/>
        <v>793.89710295285795</v>
      </c>
      <c r="DT80" s="59">
        <f ca="1">AVERAGE(OFFSET($DS$3,0,0,'Données projet'!$E$14+1,1))-AVERAGE(OFFSET($H$3,0,0,'Données projet'!$E$14+1,1))</f>
        <v>368.03281986807173</v>
      </c>
      <c r="DU80" s="59">
        <f t="shared" si="98"/>
        <v>395.83504504492248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0.96182438255873304</v>
      </c>
      <c r="EB80" s="21">
        <f>EXP(-LN(2)/25)*EB79+(1-EXP(-LN(2)/25))/(LN(2)/25)*Calculateur!DW80*Calculateur!DY80*VLOOKUP('Données projet'!$B$14,Paramètres!$A$1:$I$89,3,0)*0.475*44/12</f>
        <v>4.1682410296905177</v>
      </c>
      <c r="EC80" s="21">
        <f>EXP(-LN(2)/2)*EC79+(1-EXP(-LN(2)/2))/(LN(2)/2)*DW80*DZ80*VLOOKUP('Données projet'!$B$14,Paramètres!$A$1:$I$89,3,0)*0.475*44/12</f>
        <v>1.8674105154886436E-6</v>
      </c>
      <c r="ED80" s="22">
        <f t="shared" si="72"/>
        <v>5.1300672796597659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225.2264820414552</v>
      </c>
      <c r="EP80" s="59">
        <f t="shared" si="100"/>
        <v>249.91838548328681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0.87217469277862469</v>
      </c>
      <c r="EW80" s="21">
        <f>EXP(-LN(2)/25)*EW79+(1-EXP(-LN(2)/25))/(LN(2)/25)*Calculateur!ER80*Calculateur!ET80*VLOOKUP('Données projet'!$B$15,Paramètres!$A$1:$I$89,3,0)*0.475*44/12</f>
        <v>2.3515826356196974</v>
      </c>
      <c r="EX80" s="21">
        <f>EXP(-LN(2)/2)*EX79+(1-EXP(-LN(2)/2))/(LN(2)/2)*ER80*EU80*VLOOKUP('Données projet'!$B$15,Paramètres!$A$1:$I$89,3,0)*0.475*44/12</f>
        <v>3.4101205723919507E-7</v>
      </c>
      <c r="EY80" s="22">
        <f t="shared" si="75"/>
        <v>3.2237576694103791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12.9</v>
      </c>
      <c r="FE80" s="12">
        <f>IF('Données projet'!$A$218&gt;35,FE79+FD80-FM79,IF(A80&lt;'Données projet'!$A$218,$FB$205^A80,IF(A80='Données projet'!$A$218,'Données projet'!$B$218,FE79+FD80-FM79)))</f>
        <v>751.29999999999882</v>
      </c>
      <c r="FF80" s="17">
        <f>FE80*VLOOKUP('Données projet'!$B$16,Paramètres!$A$1:$I$89,3,0)*VLOOKUP('Données projet'!$B$16,Paramètres!$A$1:$I$89,5,0)</f>
        <v>419.97669999999937</v>
      </c>
      <c r="FG80" s="13">
        <f t="shared" si="101"/>
        <v>95.815076062060939</v>
      </c>
      <c r="FH80" s="20">
        <f t="shared" si="76"/>
        <v>898.33734330808841</v>
      </c>
      <c r="FI80" s="59">
        <f t="shared" si="77"/>
        <v>1167.8475025323607</v>
      </c>
      <c r="FJ80" s="59">
        <f ca="1">AVERAGE(OFFSET($FI$3,0,0,'Données projet'!$E$16+1,1))-AVERAGE(OFFSET($H$3,0,0,'Données projet'!$E$16+1,1))</f>
        <v>549.85684198202534</v>
      </c>
      <c r="FK80" s="59">
        <f t="shared" si="102"/>
        <v>539.63748606275431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4.5021566843174758</v>
      </c>
      <c r="FR80" s="21">
        <f>EXP(-LN(2)/25)*FR79+(1-EXP(-LN(2)/25))/(LN(2)/25)*Calculateur!FM80*Calculateur!FO80*VLOOKUP('Données projet'!$B$16,Paramètres!$A$1:$I$89,3,0)*0.475*44/12</f>
        <v>10.530300553034289</v>
      </c>
      <c r="FS80" s="21">
        <f>EXP(-LN(2)/2)*FS79+(1-EXP(-LN(2)/2))/(LN(2)/2)*FM80*FP80*VLOOKUP('Données projet'!$B$16,Paramètres!$A$1:$I$89,3,0)*0.475*44/12</f>
        <v>3.0743505596928154E-6</v>
      </c>
      <c r="FT80" s="22">
        <f t="shared" si="78"/>
        <v>15.032460311702323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10.5</v>
      </c>
      <c r="FZ80" s="12">
        <f>IF('Données projet'!$A$244&gt;35,FZ79+FY80-GH79,IF(A80&lt;'Données projet'!$A$244,$FW$205^A80,IF(A80='Données projet'!$A$244,'Données projet'!$B$244,FZ79+FY80-GH79)))</f>
        <v>639.49999999999943</v>
      </c>
      <c r="GA80" s="17">
        <f>FZ80*VLOOKUP('Données projet'!$B$17,Paramètres!$A$1:$I$89,3,0)*VLOOKUP('Données projet'!$B$17,Paramètres!$A$1:$I$89,5,0)</f>
        <v>382.42099999999965</v>
      </c>
      <c r="GB80" s="13">
        <f t="shared" si="103"/>
        <v>88.203524630774581</v>
      </c>
      <c r="GC80" s="20">
        <f t="shared" si="79"/>
        <v>819.67104706526504</v>
      </c>
      <c r="GD80" s="59">
        <f t="shared" si="80"/>
        <v>1089.1812062895374</v>
      </c>
      <c r="GE80" s="59">
        <f ca="1">AVERAGE(OFFSET($GD$3,0,0,'Données projet'!$E$17+1,1))-AVERAGE(OFFSET($H$3,0,0,'Données projet'!$E$17+1,1))</f>
        <v>495.6641415122013</v>
      </c>
      <c r="GF80" s="59">
        <f t="shared" si="104"/>
        <v>488.90534169400757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1.5762307545940244</v>
      </c>
      <c r="GM80" s="21">
        <f>EXP(-LN(2)/25)*GM79+(1-EXP(-LN(2)/25))/(LN(2)/25)*Calculateur!GH80*Calculateur!GJ80*VLOOKUP('Données projet'!$B$17,Paramètres!$A$1:$I$89,3,0)*0.475*44/12</f>
        <v>7.0651602149192998</v>
      </c>
      <c r="GN80" s="21">
        <f>EXP(-LN(2)/2)*GN79+(1-EXP(-LN(2)/2))/(LN(2)/2)*GH80*GK80*VLOOKUP('Données projet'!$B$17,Paramètres!$A$1:$I$89,3,0)*0.475*44/12</f>
        <v>2.9299927177434604E-6</v>
      </c>
      <c r="GO80" s="21">
        <f t="shared" si="81"/>
        <v>8.641393899506042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10.5</v>
      </c>
      <c r="GU80" s="12">
        <f>IF('Données projet'!$A$270&gt;35,GU79+GT80-HC79,IF(A80&lt;'Données projet'!$A$270,$GR$205^A80,IF(A80='Données projet'!$A$270,'Données projet'!$B$270,GU79+GT80-HC79)))</f>
        <v>639.49999999999943</v>
      </c>
      <c r="GV80" s="17">
        <f>GU80*VLOOKUP('Données projet'!$B$18,Paramètres!$A$1:$I$89,3,0)*VLOOKUP('Données projet'!$B$18,Paramètres!$A$1:$I$89,5,0)</f>
        <v>382.42099999999965</v>
      </c>
      <c r="GW80" s="13">
        <f t="shared" si="105"/>
        <v>88.203524630774581</v>
      </c>
      <c r="GX80" s="20">
        <f t="shared" si="82"/>
        <v>819.67104706526504</v>
      </c>
      <c r="GY80" s="59">
        <f t="shared" si="83"/>
        <v>1089.1812062895374</v>
      </c>
      <c r="GZ80" s="59">
        <f ca="1">AVERAGE(OFFSET($GY$3,0,0,'Données projet'!$E$18+1,1))-AVERAGE(OFFSET($H$3,0,0,'Données projet'!$E$18+1,1))</f>
        <v>-18.333333333333343</v>
      </c>
      <c r="HA80" s="59">
        <f t="shared" si="106"/>
        <v>-18.333333333333343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1.5762307545940244</v>
      </c>
      <c r="HH80" s="21">
        <f>EXP(-LN(2)/25)*HH79+(1-EXP(-LN(2)/25))/(LN(2)/25)*Calculateur!HC80*Calculateur!HE80*VLOOKUP('Données projet'!$B$18,Paramètres!$A$1:$I$89,3,0)*0.475*44/12</f>
        <v>7.0651602149192998</v>
      </c>
      <c r="HI80" s="21">
        <f>EXP(-LN(2)/2)*HI79+(1-EXP(-LN(2)/2))/(LN(2)/2)*HC80*HF80*VLOOKUP('Données projet'!$B$18,Paramètres!$A$1:$I$89,3,0)*0.475*44/12</f>
        <v>2.9299927177434604E-6</v>
      </c>
      <c r="HJ80" s="22">
        <f t="shared" si="84"/>
        <v>8.641393899506042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498.99999999999989</v>
      </c>
      <c r="O81" s="13">
        <f>N81*VLOOKUP('Données projet'!$B$9,Paramètres!$A$1:$I$89,3,0)*VLOOKUP('Données projet'!$B$9,Paramètres!$A$1:$I$89,5,0)</f>
        <v>233.53199999999995</v>
      </c>
      <c r="P81" s="13">
        <f t="shared" si="87"/>
        <v>57.04570382109808</v>
      </c>
      <c r="Q81" s="20">
        <f t="shared" si="54"/>
        <v>506.08950082174573</v>
      </c>
      <c r="R81" s="59">
        <f t="shared" si="55"/>
        <v>776.01293885617201</v>
      </c>
      <c r="S81" s="59">
        <f ca="1">AVERAGE(OFFSET($R$3,0,0,'Données projet'!$E$9+1,1))-AVERAGE(OFFSET($H$3,0,0,'Données projet'!$E$9+1,1))</f>
        <v>376.11581547534814</v>
      </c>
      <c r="T81" s="59">
        <f t="shared" si="88"/>
        <v>300.91675649863294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1.2115419136996166</v>
      </c>
      <c r="AA81" s="21">
        <f>EXP(-LN(2)/25)*AA80+(1-EXP(-LN(2)/25))/(LN(2)/25)*Calculateur!V81*Calculateur!X81*VLOOKUP('Données projet'!$B$9,Paramètres!$A$1:$I$89,3,0)*0.475*44/12</f>
        <v>2.0758418847894227</v>
      </c>
      <c r="AB81" s="21">
        <f>EXP(-LN(2)/2)*AB80+(1-EXP(-LN(2)/2))/(LN(2)/2)*V81*Y81*VLOOKUP('Données projet'!$B$9,Paramètres!$A$1:$I$89,3,0)*0.475*44/12</f>
        <v>5.8604338647699308E-7</v>
      </c>
      <c r="AC81" s="22">
        <f t="shared" si="57"/>
        <v>3.2873843845324258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301.47935999999982</v>
      </c>
      <c r="AK81" s="13">
        <f t="shared" si="89"/>
        <v>71.486505311225272</v>
      </c>
      <c r="AL81" s="20">
        <f t="shared" si="58"/>
        <v>649.58221541705041</v>
      </c>
      <c r="AM81" s="59">
        <f t="shared" si="59"/>
        <v>919.50565345147663</v>
      </c>
      <c r="AN81" s="59">
        <f ca="1">AVERAGE(OFFSET($AM$3,0,0,'Données projet'!$E$10+1,1))-AVERAGE(OFFSET($H$3,0,0,'Données projet'!$E$10+1,1))</f>
        <v>505.38595282220405</v>
      </c>
      <c r="AO81" s="59">
        <f t="shared" si="90"/>
        <v>351.72130415456365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0.93092575996865867</v>
      </c>
      <c r="AV81" s="21">
        <f>EXP(-LN(2)/25)*AV80+(1-EXP(-LN(2)/25))/(LN(2)/25)*Calculateur!AQ81*Calculateur!AS81*VLOOKUP('Données projet'!$B$10,Paramètres!$A$1:$I$89,3,0)*0.475*44/12</f>
        <v>2.9815356494291767</v>
      </c>
      <c r="AW81" s="21">
        <f>EXP(-LN(2)/2)*AW80+(1-EXP(-LN(2)/2))/(LN(2)/2)*AQ81*AT81*VLOOKUP('Données projet'!$B$10,Paramètres!$A$1:$I$89,3,0)*0.475*44/12</f>
        <v>1.284678982144991E-6</v>
      </c>
      <c r="AX81" s="21">
        <f t="shared" si="60"/>
        <v>3.9124626940768175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265.88951999999961</v>
      </c>
      <c r="BF81" s="13">
        <f t="shared" si="91"/>
        <v>63.97614434366357</v>
      </c>
      <c r="BG81" s="20">
        <f t="shared" si="61"/>
        <v>574.51603206521338</v>
      </c>
      <c r="BH81" s="59">
        <f t="shared" si="62"/>
        <v>844.43947009963961</v>
      </c>
      <c r="BI81" s="59">
        <f ca="1">AVERAGE(OFFSET($BH$3,0,0,'Données projet'!$E$11+1,1))-AVERAGE(OFFSET($H$3,0,0,'Données projet'!$E$11+1,1))</f>
        <v>394.14657090341535</v>
      </c>
      <c r="BJ81" s="59">
        <f t="shared" si="92"/>
        <v>424.06445894109982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1.261172979749041</v>
      </c>
      <c r="BQ81" s="21">
        <f>EXP(-LN(2)/25)*BQ80+(1-EXP(-LN(2)/25))/(LN(2)/25)*Calculateur!BL81*Calculateur!BN81*VLOOKUP('Données projet'!$B$11,Paramètres!$A$1:$I$89,3,0)*0.475*44/12</f>
        <v>5.4223975663157216</v>
      </c>
      <c r="BR81" s="21">
        <f>EXP(-LN(2)/2)*BR80+(1-EXP(-LN(2)/2))/(LN(2)/2)*BL81*BO81*VLOOKUP('Données projet'!$B$11,Paramètres!$A$1:$I$89,3,0)*0.475*44/12</f>
        <v>1.4328380973790459E-6</v>
      </c>
      <c r="BS81" s="22">
        <f t="shared" si="63"/>
        <v>6.6835719789028598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</v>
      </c>
      <c r="BY81" s="12">
        <f>IF('Données projet'!$A$114&gt;35,BY80+BX81-CG80,IF(A81&lt;'Données projet'!$A$114,$BV$205^A81,IF(A81='Données projet'!$A$114,'Données projet'!$B$114,BY80+BX81-CG80)))</f>
        <v>469.80000000000052</v>
      </c>
      <c r="BZ81" s="13">
        <f>BY81*VLOOKUP('Données projet'!$B$12,Paramètres!$A$1:$I$89,3,0)*VLOOKUP('Données projet'!$B$12,Paramètres!$A$1:$I$89,5,0)</f>
        <v>256.51080000000024</v>
      </c>
      <c r="CA81" s="13">
        <f t="shared" si="93"/>
        <v>61.978037689587218</v>
      </c>
      <c r="CB81" s="20">
        <f t="shared" si="64"/>
        <v>554.70139230936479</v>
      </c>
      <c r="CC81" s="59">
        <f t="shared" si="65"/>
        <v>824.62483034379102</v>
      </c>
      <c r="CD81" s="59">
        <f ca="1">AVERAGE(OFFSET($CC$3,0,0,'Données projet'!$E$12+1,1))-AVERAGE(OFFSET($H$3,0,0,'Données projet'!$E$12+1,1))</f>
        <v>382.09004346384319</v>
      </c>
      <c r="CE81" s="59">
        <f t="shared" si="94"/>
        <v>410.18893995284986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3.2922073788787367</v>
      </c>
      <c r="CL81" s="21">
        <f>EXP(-LN(2)/25)*CL80+(1-EXP(-LN(2)/25))/(LN(2)/25)*Calculateur!CG81*Calculateur!CI81*VLOOKUP('Données projet'!$B$12,Paramètres!$A$1:$I$89,3,0)*0.475*44/12</f>
        <v>8.9946262390662302</v>
      </c>
      <c r="CM81" s="21">
        <f>EXP(-LN(2)/2)*CM80+(1-EXP(-LN(2)/2))/(LN(2)/2)*CG81*CJ81*VLOOKUP('Données projet'!$B$12,Paramètres!$A$1:$I$89,3,0)*0.475*44/12</f>
        <v>1.5009895631591232E-6</v>
      </c>
      <c r="CN81" s="22">
        <f t="shared" si="66"/>
        <v>12.286835118934532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363.02374534486341</v>
      </c>
      <c r="CZ81" s="59">
        <f t="shared" si="96"/>
        <v>489.00477393029598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2.8248781681807578</v>
      </c>
      <c r="DG81" s="21">
        <f>EXP(-LN(2)/25)*DG80+(1-EXP(-LN(2)/25))/(LN(2)/25)*Calculateur!DB81*Calculateur!DD81*VLOOKUP('Données projet'!$B$13,Paramètres!$A$1:$I$89,3,0)*0.475*44/12</f>
        <v>5.1166090674842941</v>
      </c>
      <c r="DH81" s="21">
        <f>EXP(-LN(2)/2)*DH80+(1-EXP(-LN(2)/2))/(LN(2)/2)*DB81*DE81*VLOOKUP('Données projet'!$B$13,Paramètres!$A$1:$I$89,3,0)*0.475*44/12</f>
        <v>1.7473065384126998E-6</v>
      </c>
      <c r="DI81" s="22">
        <f t="shared" si="69"/>
        <v>7.9414889829715909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>
        <f>DO81*VLOOKUP('Données projet'!$B$14,Paramètres!$A$1:$I$89,3,0)*VLOOKUP('Données projet'!$B$14,Paramètres!$A$1:$I$89,5,0)</f>
        <v>245.03543999999968</v>
      </c>
      <c r="DQ81" s="13">
        <f t="shared" si="97"/>
        <v>59.521617210952996</v>
      </c>
      <c r="DR81" s="20">
        <f t="shared" si="70"/>
        <v>530.43687464240918</v>
      </c>
      <c r="DS81" s="59">
        <f t="shared" si="71"/>
        <v>800.36031267683541</v>
      </c>
      <c r="DT81" s="59">
        <f ca="1">AVERAGE(OFFSET($DS$3,0,0,'Données projet'!$E$14+1,1))-AVERAGE(OFFSET($H$3,0,0,'Données projet'!$E$14+1,1))</f>
        <v>368.03281986807173</v>
      </c>
      <c r="DU81" s="59">
        <f t="shared" si="98"/>
        <v>395.83504504492248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0.9429635930717023</v>
      </c>
      <c r="EB81" s="21">
        <f>EXP(-LN(2)/25)*EB80+(1-EXP(-LN(2)/25))/(LN(2)/25)*Calculateur!DW81*Calculateur!DY81*VLOOKUP('Données projet'!$B$14,Paramètres!$A$1:$I$89,3,0)*0.475*44/12</f>
        <v>4.0542602595353614</v>
      </c>
      <c r="EC81" s="21">
        <f>EXP(-LN(2)/2)*EC80+(1-EXP(-LN(2)/2))/(LN(2)/2)*DW81*DZ81*VLOOKUP('Données projet'!$B$14,Paramètres!$A$1:$I$89,3,0)*0.475*44/12</f>
        <v>1.3204586387610864E-6</v>
      </c>
      <c r="ED81" s="22">
        <f t="shared" si="72"/>
        <v>4.9972251730657025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225.2264820414552</v>
      </c>
      <c r="EP81" s="59">
        <f t="shared" si="100"/>
        <v>249.91838548328681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0.85507187902727033</v>
      </c>
      <c r="EW81" s="21">
        <f>EXP(-LN(2)/25)*EW80+(1-EXP(-LN(2)/25))/(LN(2)/25)*Calculateur!ER81*Calculateur!ET81*VLOOKUP('Données projet'!$B$15,Paramètres!$A$1:$I$89,3,0)*0.475*44/12</f>
        <v>2.2872784847843204</v>
      </c>
      <c r="EX81" s="21">
        <f>EXP(-LN(2)/2)*EX80+(1-EXP(-LN(2)/2))/(LN(2)/2)*ER81*EU81*VLOOKUP('Données projet'!$B$15,Paramètres!$A$1:$I$89,3,0)*0.475*44/12</f>
        <v>2.4113193814020992E-7</v>
      </c>
      <c r="EY81" s="22">
        <f t="shared" si="75"/>
        <v>3.1423506049435286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12.9</v>
      </c>
      <c r="FE81" s="12">
        <f>IF('Données projet'!$A$218&gt;35,FE80+FD81-FM80,IF(A81&lt;'Données projet'!$A$218,$FB$205^A81,IF(A81='Données projet'!$A$218,'Données projet'!$B$218,FE80+FD81-FM80)))</f>
        <v>764.19999999999879</v>
      </c>
      <c r="FF81" s="17">
        <f>FE81*VLOOKUP('Données projet'!$B$16,Paramètres!$A$1:$I$89,3,0)*VLOOKUP('Données projet'!$B$16,Paramètres!$A$1:$I$89,5,0)</f>
        <v>427.18779999999936</v>
      </c>
      <c r="FG81" s="13">
        <f t="shared" si="101"/>
        <v>97.267302762395772</v>
      </c>
      <c r="FH81" s="20">
        <f t="shared" si="76"/>
        <v>913.42597064450467</v>
      </c>
      <c r="FI81" s="59">
        <f t="shared" si="77"/>
        <v>1183.349408678931</v>
      </c>
      <c r="FJ81" s="59">
        <f ca="1">AVERAGE(OFFSET($FI$3,0,0,'Données projet'!$E$16+1,1))-AVERAGE(OFFSET($H$3,0,0,'Données projet'!$E$16+1,1))</f>
        <v>549.85684198202534</v>
      </c>
      <c r="FK81" s="59">
        <f t="shared" si="102"/>
        <v>539.63748606275431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4.4138721377824384</v>
      </c>
      <c r="FR81" s="21">
        <f>EXP(-LN(2)/25)*FR80+(1-EXP(-LN(2)/25))/(LN(2)/25)*Calculateur!FM81*Calculateur!FO81*VLOOKUP('Données projet'!$B$16,Paramètres!$A$1:$I$89,3,0)*0.475*44/12</f>
        <v>10.242348930647127</v>
      </c>
      <c r="FS81" s="21">
        <f>EXP(-LN(2)/2)*FS80+(1-EXP(-LN(2)/2))/(LN(2)/2)*FM81*FP81*VLOOKUP('Données projet'!$B$16,Paramètres!$A$1:$I$89,3,0)*0.475*44/12</f>
        <v>2.1738941285034475E-6</v>
      </c>
      <c r="FT81" s="22">
        <f t="shared" si="78"/>
        <v>14.656223242323694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10.5</v>
      </c>
      <c r="FZ81" s="12">
        <f>IF('Données projet'!$A$244&gt;35,FZ80+FY81-GH80,IF(A81&lt;'Données projet'!$A$244,$FW$205^A81,IF(A81='Données projet'!$A$244,'Données projet'!$B$244,FZ80+FY81-GH80)))</f>
        <v>649.99999999999943</v>
      </c>
      <c r="GA81" s="17">
        <f>FZ81*VLOOKUP('Données projet'!$B$17,Paramètres!$A$1:$I$89,3,0)*VLOOKUP('Données projet'!$B$17,Paramètres!$A$1:$I$89,5,0)</f>
        <v>388.6999999999997</v>
      </c>
      <c r="GB81" s="13">
        <f t="shared" si="103"/>
        <v>89.481956851424115</v>
      </c>
      <c r="GC81" s="20">
        <f t="shared" si="79"/>
        <v>832.83357484956321</v>
      </c>
      <c r="GD81" s="59">
        <f t="shared" si="80"/>
        <v>1102.7570128839893</v>
      </c>
      <c r="GE81" s="59">
        <f ca="1">AVERAGE(OFFSET($GD$3,0,0,'Données projet'!$E$17+1,1))-AVERAGE(OFFSET($H$3,0,0,'Données projet'!$E$17+1,1))</f>
        <v>495.6641415122013</v>
      </c>
      <c r="GF81" s="59">
        <f t="shared" si="104"/>
        <v>488.90534169400757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1.5453218309022649</v>
      </c>
      <c r="GM81" s="21">
        <f>EXP(-LN(2)/25)*GM80+(1-EXP(-LN(2)/25))/(LN(2)/25)*Calculateur!GH81*Calculateur!GJ81*VLOOKUP('Données projet'!$B$17,Paramètres!$A$1:$I$89,3,0)*0.475*44/12</f>
        <v>6.8719630373017031</v>
      </c>
      <c r="GN81" s="21">
        <f>EXP(-LN(2)/2)*GN80+(1-EXP(-LN(2)/2))/(LN(2)/2)*GH81*GK81*VLOOKUP('Données projet'!$B$17,Paramètres!$A$1:$I$89,3,0)*0.475*44/12</f>
        <v>2.0718177195436027E-6</v>
      </c>
      <c r="GO81" s="21">
        <f t="shared" si="81"/>
        <v>8.4172869400216879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10.5</v>
      </c>
      <c r="GU81" s="12">
        <f>IF('Données projet'!$A$270&gt;35,GU80+GT81-HC80,IF(A81&lt;'Données projet'!$A$270,$GR$205^A81,IF(A81='Données projet'!$A$270,'Données projet'!$B$270,GU80+GT81-HC80)))</f>
        <v>649.99999999999943</v>
      </c>
      <c r="GV81" s="17">
        <f>GU81*VLOOKUP('Données projet'!$B$18,Paramètres!$A$1:$I$89,3,0)*VLOOKUP('Données projet'!$B$18,Paramètres!$A$1:$I$89,5,0)</f>
        <v>388.6999999999997</v>
      </c>
      <c r="GW81" s="13">
        <f t="shared" si="105"/>
        <v>89.481956851424115</v>
      </c>
      <c r="GX81" s="20">
        <f t="shared" si="82"/>
        <v>832.83357484956321</v>
      </c>
      <c r="GY81" s="59">
        <f t="shared" si="83"/>
        <v>1102.7570128839893</v>
      </c>
      <c r="GZ81" s="59">
        <f ca="1">AVERAGE(OFFSET($GY$3,0,0,'Données projet'!$E$18+1,1))-AVERAGE(OFFSET($H$3,0,0,'Données projet'!$E$18+1,1))</f>
        <v>-18.333333333333343</v>
      </c>
      <c r="HA81" s="59">
        <f t="shared" si="106"/>
        <v>-18.333333333333343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1.5453218309022649</v>
      </c>
      <c r="HH81" s="21">
        <f>EXP(-LN(2)/25)*HH80+(1-EXP(-LN(2)/25))/(LN(2)/25)*Calculateur!HC81*Calculateur!HE81*VLOOKUP('Données projet'!$B$18,Paramètres!$A$1:$I$89,3,0)*0.475*44/12</f>
        <v>6.8719630373017031</v>
      </c>
      <c r="HI81" s="21">
        <f>EXP(-LN(2)/2)*HI80+(1-EXP(-LN(2)/2))/(LN(2)/2)*HC81*HF81*VLOOKUP('Données projet'!$B$18,Paramètres!$A$1:$I$89,3,0)*0.475*44/12</f>
        <v>2.0718177195436027E-6</v>
      </c>
      <c r="HJ81" s="22">
        <f t="shared" si="84"/>
        <v>8.4172869400216879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515.99999999999989</v>
      </c>
      <c r="O82" s="13">
        <f>N82*VLOOKUP('Données projet'!$B$9,Paramètres!$A$1:$I$89,3,0)*VLOOKUP('Données projet'!$B$9,Paramètres!$A$1:$I$89,5,0)</f>
        <v>241.48799999999997</v>
      </c>
      <c r="P82" s="13">
        <f t="shared" si="87"/>
        <v>58.759565673424916</v>
      </c>
      <c r="Q82" s="20">
        <f t="shared" si="54"/>
        <v>522.93117688121504</v>
      </c>
      <c r="R82" s="59">
        <f t="shared" si="55"/>
        <v>793.26072426239193</v>
      </c>
      <c r="S82" s="59">
        <f ca="1">AVERAGE(OFFSET($R$3,0,0,'Données projet'!$E$9+1,1))-AVERAGE(OFFSET($H$3,0,0,'Données projet'!$E$9+1,1))</f>
        <v>376.11581547534814</v>
      </c>
      <c r="T82" s="59">
        <f t="shared" si="88"/>
        <v>300.91675649863294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1.1877843157395676</v>
      </c>
      <c r="AA82" s="21">
        <f>EXP(-LN(2)/25)*AA81+(1-EXP(-LN(2)/25))/(LN(2)/25)*Calculateur!V82*Calculateur!X82*VLOOKUP('Données projet'!$B$9,Paramètres!$A$1:$I$89,3,0)*0.475*44/12</f>
        <v>2.0190778792860757</v>
      </c>
      <c r="AB82" s="21">
        <f>EXP(-LN(2)/2)*AB81+(1-EXP(-LN(2)/2))/(LN(2)/2)*V82*Y82*VLOOKUP('Données projet'!$B$9,Paramètres!$A$1:$I$89,3,0)*0.475*44/12</f>
        <v>4.1439525264741046E-7</v>
      </c>
      <c r="AC82" s="22">
        <f t="shared" si="57"/>
        <v>3.2068626094208961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308.1748799999998</v>
      </c>
      <c r="AK82" s="13">
        <f t="shared" si="89"/>
        <v>72.887541582684676</v>
      </c>
      <c r="AL82" s="20">
        <f t="shared" si="58"/>
        <v>663.6837175898421</v>
      </c>
      <c r="AM82" s="59">
        <f t="shared" si="59"/>
        <v>934.013264971019</v>
      </c>
      <c r="AN82" s="59">
        <f ca="1">AVERAGE(OFFSET($AM$3,0,0,'Données projet'!$E$10+1,1))-AVERAGE(OFFSET($H$3,0,0,'Données projet'!$E$10+1,1))</f>
        <v>505.38595282220405</v>
      </c>
      <c r="AO82" s="59">
        <f t="shared" si="90"/>
        <v>351.72130415456365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0.91267087362432042</v>
      </c>
      <c r="AV82" s="21">
        <f>EXP(-LN(2)/25)*AV81+(1-EXP(-LN(2)/25))/(LN(2)/25)*Calculateur!AQ82*Calculateur!AS82*VLOOKUP('Données projet'!$B$10,Paramètres!$A$1:$I$89,3,0)*0.475*44/12</f>
        <v>2.9000054003033906</v>
      </c>
      <c r="AW82" s="21">
        <f>EXP(-LN(2)/2)*AW81+(1-EXP(-LN(2)/2))/(LN(2)/2)*AQ82*AT82*VLOOKUP('Données projet'!$B$10,Paramètres!$A$1:$I$89,3,0)*0.475*44/12</f>
        <v>9.0840521992255487E-7</v>
      </c>
      <c r="AX82" s="21">
        <f t="shared" si="60"/>
        <v>3.8126771823329308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268.99235999999962</v>
      </c>
      <c r="BF82" s="13">
        <f t="shared" si="91"/>
        <v>64.63537613607356</v>
      </c>
      <c r="BG82" s="20">
        <f t="shared" si="61"/>
        <v>581.06830710366069</v>
      </c>
      <c r="BH82" s="59">
        <f t="shared" si="62"/>
        <v>851.39785448483758</v>
      </c>
      <c r="BI82" s="59">
        <f ca="1">AVERAGE(OFFSET($BH$3,0,0,'Données projet'!$E$11+1,1))-AVERAGE(OFFSET($H$3,0,0,'Données projet'!$E$11+1,1))</f>
        <v>394.14657090341535</v>
      </c>
      <c r="BJ82" s="59">
        <f t="shared" si="92"/>
        <v>424.06445894109982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1.2364421468557238</v>
      </c>
      <c r="BQ82" s="21">
        <f>EXP(-LN(2)/25)*BQ81+(1-EXP(-LN(2)/25))/(LN(2)/25)*Calculateur!BL82*Calculateur!BN82*VLOOKUP('Données projet'!$B$11,Paramètres!$A$1:$I$89,3,0)*0.475*44/12</f>
        <v>5.2741218197133231</v>
      </c>
      <c r="BR82" s="21">
        <f>EXP(-LN(2)/2)*BR81+(1-EXP(-LN(2)/2))/(LN(2)/2)*BL82*BO82*VLOOKUP('Données projet'!$B$11,Paramètres!$A$1:$I$89,3,0)*0.475*44/12</f>
        <v>1.013169534999154E-6</v>
      </c>
      <c r="BS82" s="22">
        <f t="shared" si="63"/>
        <v>6.5105649797385814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</v>
      </c>
      <c r="BY82" s="12">
        <f>IF('Données projet'!$A$114&gt;35,BY81+BX82-CG81,IF(A82&lt;'Données projet'!$A$114,$BV$205^A82,IF(A82='Données projet'!$A$114,'Données projet'!$B$114,BY81+BX82-CG81)))</f>
        <v>478.40000000000055</v>
      </c>
      <c r="BZ82" s="13">
        <f>BY82*VLOOKUP('Données projet'!$B$12,Paramètres!$A$1:$I$89,3,0)*VLOOKUP('Données projet'!$B$12,Paramètres!$A$1:$I$89,5,0)</f>
        <v>261.20640000000031</v>
      </c>
      <c r="CA82" s="13">
        <f t="shared" si="93"/>
        <v>62.979464359660597</v>
      </c>
      <c r="CB82" s="20">
        <f t="shared" si="64"/>
        <v>564.62371375974271</v>
      </c>
      <c r="CC82" s="59">
        <f t="shared" si="65"/>
        <v>834.95326114091972</v>
      </c>
      <c r="CD82" s="59">
        <f ca="1">AVERAGE(OFFSET($CC$3,0,0,'Données projet'!$E$12+1,1))-AVERAGE(OFFSET($H$3,0,0,'Données projet'!$E$12+1,1))</f>
        <v>382.09004346384319</v>
      </c>
      <c r="CE82" s="59">
        <f t="shared" si="94"/>
        <v>410.18893995284986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3.2276492002271473</v>
      </c>
      <c r="CL82" s="21">
        <f>EXP(-LN(2)/25)*CL81+(1-EXP(-LN(2)/25))/(LN(2)/25)*Calculateur!CG82*Calculateur!CI82*VLOOKUP('Données projet'!$B$12,Paramètres!$A$1:$I$89,3,0)*0.475*44/12</f>
        <v>8.7486677115521285</v>
      </c>
      <c r="CM82" s="21">
        <f>EXP(-LN(2)/2)*CM81+(1-EXP(-LN(2)/2))/(LN(2)/2)*CG82*CJ82*VLOOKUP('Données projet'!$B$12,Paramètres!$A$1:$I$89,3,0)*0.475*44/12</f>
        <v>1.0613598986000497E-6</v>
      </c>
      <c r="CN82" s="22">
        <f t="shared" si="66"/>
        <v>11.976317973139173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363.02374534486341</v>
      </c>
      <c r="CZ82" s="59">
        <f t="shared" si="96"/>
        <v>489.00477393029598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2.7694840303082828</v>
      </c>
      <c r="DG82" s="21">
        <f>EXP(-LN(2)/25)*DG81+(1-EXP(-LN(2)/25))/(LN(2)/25)*Calculateur!DB82*Calculateur!DD82*VLOOKUP('Données projet'!$B$13,Paramètres!$A$1:$I$89,3,0)*0.475*44/12</f>
        <v>4.9766951234631591</v>
      </c>
      <c r="DH82" s="21">
        <f>EXP(-LN(2)/2)*DH81+(1-EXP(-LN(2)/2))/(LN(2)/2)*DB82*DE82*VLOOKUP('Données projet'!$B$13,Paramètres!$A$1:$I$89,3,0)*0.475*44/12</f>
        <v>1.2355323021232127E-6</v>
      </c>
      <c r="DI82" s="22">
        <f t="shared" si="69"/>
        <v>7.7461803893037438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>
        <f>DO82*VLOOKUP('Données projet'!$B$14,Paramètres!$A$1:$I$89,3,0)*VLOOKUP('Données projet'!$B$14,Paramètres!$A$1:$I$89,5,0)</f>
        <v>247.89491999999962</v>
      </c>
      <c r="DQ82" s="13">
        <f t="shared" si="97"/>
        <v>60.134948051747941</v>
      </c>
      <c r="DR82" s="20">
        <f t="shared" si="70"/>
        <v>536.48535352346028</v>
      </c>
      <c r="DS82" s="59">
        <f t="shared" si="71"/>
        <v>806.81490090463717</v>
      </c>
      <c r="DT82" s="59">
        <f ca="1">AVERAGE(OFFSET($DS$3,0,0,'Données projet'!$E$14+1,1))-AVERAGE(OFFSET($H$3,0,0,'Données projet'!$E$14+1,1))</f>
        <v>368.03281986807173</v>
      </c>
      <c r="DU82" s="59">
        <f t="shared" si="98"/>
        <v>395.83504504492248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0.92447265216256658</v>
      </c>
      <c r="EB82" s="21">
        <f>EXP(-LN(2)/25)*EB81+(1-EXP(-LN(2)/25))/(LN(2)/25)*Calculateur!DW82*Calculateur!DY82*VLOOKUP('Données projet'!$B$14,Paramètres!$A$1:$I$89,3,0)*0.475*44/12</f>
        <v>3.9433962995340859</v>
      </c>
      <c r="EC82" s="21">
        <f>EXP(-LN(2)/2)*EC81+(1-EXP(-LN(2)/2))/(LN(2)/2)*DW82*DZ82*VLOOKUP('Données projet'!$B$14,Paramètres!$A$1:$I$89,3,0)*0.475*44/12</f>
        <v>9.3370525774432201E-7</v>
      </c>
      <c r="ED82" s="22">
        <f t="shared" si="72"/>
        <v>4.8678698854019107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225.2264820414552</v>
      </c>
      <c r="EP82" s="59">
        <f t="shared" si="100"/>
        <v>249.91838548328681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0.83830444102189372</v>
      </c>
      <c r="EW82" s="21">
        <f>EXP(-LN(2)/25)*EW81+(1-EXP(-LN(2)/25))/(LN(2)/25)*Calculateur!ER82*Calculateur!ET82*VLOOKUP('Données projet'!$B$15,Paramètres!$A$1:$I$89,3,0)*0.475*44/12</f>
        <v>2.2247327343351451</v>
      </c>
      <c r="EX82" s="21">
        <f>EXP(-LN(2)/2)*EX81+(1-EXP(-LN(2)/2))/(LN(2)/2)*ER82*EU82*VLOOKUP('Données projet'!$B$15,Paramètres!$A$1:$I$89,3,0)*0.475*44/12</f>
        <v>1.7050602861959753E-7</v>
      </c>
      <c r="EY82" s="22">
        <f t="shared" si="75"/>
        <v>3.0630373458630671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12.9</v>
      </c>
      <c r="FE82" s="12">
        <f>IF('Données projet'!$A$218&gt;35,FE81+FD82-FM81,IF(A82&lt;'Données projet'!$A$218,$FB$205^A82,IF(A82='Données projet'!$A$218,'Données projet'!$B$218,FE81+FD82-FM81)))</f>
        <v>777.09999999999877</v>
      </c>
      <c r="FF82" s="17">
        <f>FE82*VLOOKUP('Données projet'!$B$16,Paramètres!$A$1:$I$89,3,0)*VLOOKUP('Données projet'!$B$16,Paramètres!$A$1:$I$89,5,0)</f>
        <v>434.39889999999929</v>
      </c>
      <c r="FG82" s="13">
        <f t="shared" si="101"/>
        <v>98.716678672362434</v>
      </c>
      <c r="FH82" s="20">
        <f t="shared" si="76"/>
        <v>928.50963285436319</v>
      </c>
      <c r="FI82" s="59">
        <f t="shared" si="77"/>
        <v>1198.8391802355402</v>
      </c>
      <c r="FJ82" s="59">
        <f ca="1">AVERAGE(OFFSET($FI$3,0,0,'Données projet'!$E$16+1,1))-AVERAGE(OFFSET($H$3,0,0,'Données projet'!$E$16+1,1))</f>
        <v>549.85684198202534</v>
      </c>
      <c r="FK82" s="59">
        <f t="shared" si="102"/>
        <v>539.63748606275431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4.3273187973566962</v>
      </c>
      <c r="FR82" s="21">
        <f>EXP(-LN(2)/25)*FR81+(1-EXP(-LN(2)/25))/(LN(2)/25)*Calculateur!FM82*Calculateur!FO82*VLOOKUP('Données projet'!$B$16,Paramètres!$A$1:$I$89,3,0)*0.475*44/12</f>
        <v>9.9622713605168602</v>
      </c>
      <c r="FS82" s="21">
        <f>EXP(-LN(2)/2)*FS81+(1-EXP(-LN(2)/2))/(LN(2)/2)*FM82*FP82*VLOOKUP('Données projet'!$B$16,Paramètres!$A$1:$I$89,3,0)*0.475*44/12</f>
        <v>1.5371752798464077E-6</v>
      </c>
      <c r="FT82" s="22">
        <f t="shared" si="78"/>
        <v>14.289591695048836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10.5</v>
      </c>
      <c r="FZ82" s="12">
        <f>IF('Données projet'!$A$244&gt;35,FZ81+FY82-GH81,IF(A82&lt;'Données projet'!$A$244,$FW$205^A82,IF(A82='Données projet'!$A$244,'Données projet'!$B$244,FZ81+FY82-GH81)))</f>
        <v>660.49999999999943</v>
      </c>
      <c r="GA82" s="17">
        <f>FZ82*VLOOKUP('Données projet'!$B$17,Paramètres!$A$1:$I$89,3,0)*VLOOKUP('Données projet'!$B$17,Paramètres!$A$1:$I$89,5,0)</f>
        <v>394.9789999999997</v>
      </c>
      <c r="GB82" s="13">
        <f t="shared" si="103"/>
        <v>90.757987374269575</v>
      </c>
      <c r="GC82" s="20">
        <f t="shared" si="79"/>
        <v>845.99191967685238</v>
      </c>
      <c r="GD82" s="59">
        <f t="shared" si="80"/>
        <v>1116.3214670580294</v>
      </c>
      <c r="GE82" s="59">
        <f ca="1">AVERAGE(OFFSET($GD$3,0,0,'Données projet'!$E$17+1,1))-AVERAGE(OFFSET($H$3,0,0,'Données projet'!$E$17+1,1))</f>
        <v>495.6641415122013</v>
      </c>
      <c r="GF82" s="59">
        <f t="shared" si="104"/>
        <v>488.90534169400757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1.515019012351519</v>
      </c>
      <c r="GM82" s="21">
        <f>EXP(-LN(2)/25)*GM81+(1-EXP(-LN(2)/25))/(LN(2)/25)*Calculateur!GH82*Calculateur!GJ82*VLOOKUP('Données projet'!$B$17,Paramètres!$A$1:$I$89,3,0)*0.475*44/12</f>
        <v>6.6840488466658581</v>
      </c>
      <c r="GN82" s="21">
        <f>EXP(-LN(2)/2)*GN81+(1-EXP(-LN(2)/2))/(LN(2)/2)*GH82*GK82*VLOOKUP('Données projet'!$B$17,Paramètres!$A$1:$I$89,3,0)*0.475*44/12</f>
        <v>1.4649963588717302E-6</v>
      </c>
      <c r="GO82" s="21">
        <f t="shared" si="81"/>
        <v>8.1990693240137364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10.5</v>
      </c>
      <c r="GU82" s="12">
        <f>IF('Données projet'!$A$270&gt;35,GU81+GT82-HC81,IF(A82&lt;'Données projet'!$A$270,$GR$205^A82,IF(A82='Données projet'!$A$270,'Données projet'!$B$270,GU81+GT82-HC81)))</f>
        <v>660.49999999999943</v>
      </c>
      <c r="GV82" s="17">
        <f>GU82*VLOOKUP('Données projet'!$B$18,Paramètres!$A$1:$I$89,3,0)*VLOOKUP('Données projet'!$B$18,Paramètres!$A$1:$I$89,5,0)</f>
        <v>394.9789999999997</v>
      </c>
      <c r="GW82" s="13">
        <f t="shared" si="105"/>
        <v>90.757987374269575</v>
      </c>
      <c r="GX82" s="20">
        <f t="shared" si="82"/>
        <v>845.99191967685238</v>
      </c>
      <c r="GY82" s="59">
        <f t="shared" si="83"/>
        <v>1116.3214670580294</v>
      </c>
      <c r="GZ82" s="59">
        <f ca="1">AVERAGE(OFFSET($GY$3,0,0,'Données projet'!$E$18+1,1))-AVERAGE(OFFSET($H$3,0,0,'Données projet'!$E$18+1,1))</f>
        <v>-18.333333333333343</v>
      </c>
      <c r="HA82" s="59">
        <f t="shared" si="106"/>
        <v>-18.333333333333343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1.515019012351519</v>
      </c>
      <c r="HH82" s="21">
        <f>EXP(-LN(2)/25)*HH81+(1-EXP(-LN(2)/25))/(LN(2)/25)*Calculateur!HC82*Calculateur!HE82*VLOOKUP('Données projet'!$B$18,Paramètres!$A$1:$I$89,3,0)*0.475*44/12</f>
        <v>6.6840488466658581</v>
      </c>
      <c r="HI82" s="21">
        <f>EXP(-LN(2)/2)*HI81+(1-EXP(-LN(2)/2))/(LN(2)/2)*HC82*HF82*VLOOKUP('Données projet'!$B$18,Paramètres!$A$1:$I$89,3,0)*0.475*44/12</f>
        <v>1.4649963588717302E-6</v>
      </c>
      <c r="HJ82" s="22">
        <f t="shared" si="84"/>
        <v>8.1990693240137364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533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532.99999999999989</v>
      </c>
      <c r="O83" s="13">
        <f>N83*VLOOKUP('Données projet'!$B$9,Paramètres!$A$1:$I$89,3,0)*VLOOKUP('Données projet'!$B$9,Paramètres!$A$1:$I$89,5,0)</f>
        <v>249.44399999999993</v>
      </c>
      <c r="P83" s="13">
        <f t="shared" si="87"/>
        <v>60.466866397117599</v>
      </c>
      <c r="Q83" s="20">
        <f t="shared" si="54"/>
        <v>539.76142564164627</v>
      </c>
      <c r="R83" s="59">
        <f t="shared" si="55"/>
        <v>810.49003728033244</v>
      </c>
      <c r="S83" s="59">
        <f ca="1">AVERAGE(OFFSET($R$3,0,0,'Données projet'!$E$9+1,1))-AVERAGE(OFFSET($H$3,0,0,'Données projet'!$E$9+1,1))</f>
        <v>376.11581547534814</v>
      </c>
      <c r="T83" s="59">
        <f t="shared" si="88"/>
        <v>300.91675649863294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83.4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1.1644925897848111</v>
      </c>
      <c r="AA83" s="21">
        <f>EXP(-LN(2)/25)*AA82+(1-EXP(-LN(2)/25))/(LN(2)/25)*Calculateur!V83*Calculateur!X83*VLOOKUP('Données projet'!$B$9,Paramètres!$A$1:$I$89,3,0)*0.475*44/12</f>
        <v>1.963866088498307</v>
      </c>
      <c r="AB83" s="21">
        <f>EXP(-LN(2)/2)*AB82+(1-EXP(-LN(2)/2))/(LN(2)/2)*V83*Y83*VLOOKUP('Données projet'!$B$9,Paramètres!$A$1:$I$89,3,0)*0.475*44/12</f>
        <v>2.9302169323849654E-7</v>
      </c>
      <c r="AC83" s="22">
        <f t="shared" si="57"/>
        <v>3.1283589713048112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314.87039999999979</v>
      </c>
      <c r="AK83" s="13">
        <f t="shared" si="89"/>
        <v>74.285038887149881</v>
      </c>
      <c r="AL83" s="20">
        <f t="shared" si="58"/>
        <v>677.7790560617857</v>
      </c>
      <c r="AM83" s="59">
        <f t="shared" si="59"/>
        <v>948.50766770047176</v>
      </c>
      <c r="AN83" s="59">
        <f ca="1">AVERAGE(OFFSET($AM$3,0,0,'Données projet'!$E$10+1,1))-AVERAGE(OFFSET($H$3,0,0,'Données projet'!$E$10+1,1))</f>
        <v>505.38595282220405</v>
      </c>
      <c r="AO83" s="59">
        <f t="shared" si="90"/>
        <v>351.72130415456365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0.8947739544668134</v>
      </c>
      <c r="AV83" s="21">
        <f>EXP(-LN(2)/25)*AV82+(1-EXP(-LN(2)/25))/(LN(2)/25)*Calculateur!AQ83*Calculateur!AS83*VLOOKUP('Données projet'!$B$10,Paramètres!$A$1:$I$89,3,0)*0.475*44/12</f>
        <v>2.8207046001274385</v>
      </c>
      <c r="AW83" s="21">
        <f>EXP(-LN(2)/2)*AW82+(1-EXP(-LN(2)/2))/(LN(2)/2)*AQ83*AT83*VLOOKUP('Données projet'!$B$10,Paramètres!$A$1:$I$89,3,0)*0.475*44/12</f>
        <v>6.4233949107249562E-7</v>
      </c>
      <c r="AX83" s="21">
        <f t="shared" si="60"/>
        <v>3.7154791969337428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272.09519999999958</v>
      </c>
      <c r="BF83" s="13">
        <f t="shared" si="91"/>
        <v>65.293723364568322</v>
      </c>
      <c r="BG83" s="20">
        <f t="shared" si="61"/>
        <v>587.61904152662237</v>
      </c>
      <c r="BH83" s="59">
        <f t="shared" si="62"/>
        <v>858.34765316530843</v>
      </c>
      <c r="BI83" s="59">
        <f ca="1">AVERAGE(OFFSET($BH$3,0,0,'Données projet'!$E$11+1,1))-AVERAGE(OFFSET($H$3,0,0,'Données projet'!$E$11+1,1))</f>
        <v>394.14657090341535</v>
      </c>
      <c r="BJ83" s="59">
        <f t="shared" si="92"/>
        <v>424.06445894109982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1.212196270511126</v>
      </c>
      <c r="BQ83" s="21">
        <f>EXP(-LN(2)/25)*BQ82+(1-EXP(-LN(2)/25))/(LN(2)/25)*Calculateur!BL83*Calculateur!BN83*VLOOKUP('Données projet'!$B$11,Paramètres!$A$1:$I$89,3,0)*0.475*44/12</f>
        <v>5.12990068119925</v>
      </c>
      <c r="BR83" s="21">
        <f>EXP(-LN(2)/2)*BR82+(1-EXP(-LN(2)/2))/(LN(2)/2)*BL83*BO83*VLOOKUP('Données projet'!$B$11,Paramètres!$A$1:$I$89,3,0)*0.475*44/12</f>
        <v>7.1641904868952293E-7</v>
      </c>
      <c r="BS83" s="22">
        <f t="shared" si="63"/>
        <v>6.3420976681294245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487</v>
      </c>
      <c r="BW83" s="12">
        <f>VLOOKUP(A83,'Données projet'!$A$113:$I$133,9,0)</f>
        <v>8.6</v>
      </c>
      <c r="BX83" s="12">
        <f t="array" ref="BX83">INDEX(BW:BW,MIN(IF(ISNUMBER(BW83:BW279),ROW(BW83:BW279),"")))</f>
        <v>8.6</v>
      </c>
      <c r="BY83" s="12">
        <f>IF('Données projet'!$A$114&gt;35,BY82+BX83-CG82,IF(A83&lt;'Données projet'!$A$114,$BV$205^A83,IF(A83='Données projet'!$A$114,'Données projet'!$B$114,BY82+BX83-CG82)))</f>
        <v>487.00000000000057</v>
      </c>
      <c r="BZ83" s="13">
        <f>BY83*VLOOKUP('Données projet'!$B$12,Paramètres!$A$1:$I$89,3,0)*VLOOKUP('Données projet'!$B$12,Paramètres!$A$1:$I$89,5,0)</f>
        <v>265.90200000000027</v>
      </c>
      <c r="CA83" s="13">
        <f t="shared" si="93"/>
        <v>63.978797641171262</v>
      </c>
      <c r="CB83" s="20">
        <f t="shared" si="64"/>
        <v>574.54238922504044</v>
      </c>
      <c r="CC83" s="59">
        <f t="shared" si="65"/>
        <v>845.27100086372661</v>
      </c>
      <c r="CD83" s="59">
        <f ca="1">AVERAGE(OFFSET($CC$3,0,0,'Données projet'!$E$12+1,1))-AVERAGE(OFFSET($H$3,0,0,'Données projet'!$E$12+1,1))</f>
        <v>382.09004346384319</v>
      </c>
      <c r="CE83" s="59">
        <f t="shared" si="94"/>
        <v>410.18893995284986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487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3.1643569680823149</v>
      </c>
      <c r="CL83" s="21">
        <f>EXP(-LN(2)/25)*CL82+(1-EXP(-LN(2)/25))/(LN(2)/25)*Calculateur!CG83*Calculateur!CI83*VLOOKUP('Données projet'!$B$12,Paramètres!$A$1:$I$89,3,0)*0.475*44/12</f>
        <v>8.5094349329072951</v>
      </c>
      <c r="CM83" s="21">
        <f>EXP(-LN(2)/2)*CM82+(1-EXP(-LN(2)/2))/(LN(2)/2)*CG83*CJ83*VLOOKUP('Données projet'!$B$12,Paramètres!$A$1:$I$89,3,0)*0.475*44/12</f>
        <v>7.5049478157956162E-7</v>
      </c>
      <c r="CN83" s="22">
        <f t="shared" si="66"/>
        <v>11.673792651484391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363.02374534486341</v>
      </c>
      <c r="CZ83" s="59">
        <f t="shared" si="96"/>
        <v>489.00477393029598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2.7151761376923993</v>
      </c>
      <c r="DG83" s="21">
        <f>EXP(-LN(2)/25)*DG82+(1-EXP(-LN(2)/25))/(LN(2)/25)*Calculateur!DB83*Calculateur!DD83*VLOOKUP('Données projet'!$B$13,Paramètres!$A$1:$I$89,3,0)*0.475*44/12</f>
        <v>4.840607133599037</v>
      </c>
      <c r="DH83" s="21">
        <f>EXP(-LN(2)/2)*DH82+(1-EXP(-LN(2)/2))/(LN(2)/2)*DB83*DE83*VLOOKUP('Données projet'!$B$13,Paramètres!$A$1:$I$89,3,0)*0.475*44/12</f>
        <v>8.7365326920634992E-7</v>
      </c>
      <c r="DI83" s="22">
        <f t="shared" si="69"/>
        <v>7.5557841449447052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>
        <f>DO83*VLOOKUP('Données projet'!$B$14,Paramètres!$A$1:$I$89,3,0)*VLOOKUP('Données projet'!$B$14,Paramètres!$A$1:$I$89,5,0)</f>
        <v>250.75439999999963</v>
      </c>
      <c r="DQ83" s="13">
        <f t="shared" si="97"/>
        <v>60.747455918990774</v>
      </c>
      <c r="DR83" s="20">
        <f t="shared" si="70"/>
        <v>542.53239905890825</v>
      </c>
      <c r="DS83" s="59">
        <f t="shared" si="71"/>
        <v>813.26101069759443</v>
      </c>
      <c r="DT83" s="59">
        <f ca="1">AVERAGE(OFFSET($DS$3,0,0,'Données projet'!$E$14+1,1))-AVERAGE(OFFSET($H$3,0,0,'Données projet'!$E$14+1,1))</f>
        <v>368.03281986807173</v>
      </c>
      <c r="DU83" s="59">
        <f t="shared" si="98"/>
        <v>395.83504504492248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342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0.90634430732629867</v>
      </c>
      <c r="EB83" s="21">
        <f>EXP(-LN(2)/25)*EB82+(1-EXP(-LN(2)/25))/(LN(2)/25)*Calculateur!DW83*Calculateur!DY83*VLOOKUP('Données projet'!$B$14,Paramètres!$A$1:$I$89,3,0)*0.475*44/12</f>
        <v>3.8355639203491276</v>
      </c>
      <c r="EC83" s="21">
        <f>EXP(-LN(2)/2)*EC82+(1-EXP(-LN(2)/2))/(LN(2)/2)*DW83*DZ83*VLOOKUP('Données projet'!$B$14,Paramètres!$A$1:$I$89,3,0)*0.475*44/12</f>
        <v>6.6022931938054331E-7</v>
      </c>
      <c r="ED83" s="22">
        <f t="shared" si="72"/>
        <v>4.7419088879047457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225.2264820414552</v>
      </c>
      <c r="EP83" s="59">
        <f t="shared" si="100"/>
        <v>249.91838548328681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0.82186580224867523</v>
      </c>
      <c r="EW83" s="21">
        <f>EXP(-LN(2)/25)*EW82+(1-EXP(-LN(2)/25))/(LN(2)/25)*Calculateur!ER83*Calculateur!ET83*VLOOKUP('Données projet'!$B$15,Paramètres!$A$1:$I$89,3,0)*0.475*44/12</f>
        <v>2.1638973007211408</v>
      </c>
      <c r="EX83" s="21">
        <f>EXP(-LN(2)/2)*EX82+(1-EXP(-LN(2)/2))/(LN(2)/2)*ER83*EU83*VLOOKUP('Données projet'!$B$15,Paramètres!$A$1:$I$89,3,0)*0.475*44/12</f>
        <v>1.2056596907010496E-7</v>
      </c>
      <c r="EY83" s="22">
        <f t="shared" si="75"/>
        <v>2.9857632235357854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790</v>
      </c>
      <c r="FC83" s="12">
        <f>VLOOKUP(A83,'Données projet'!$A$217:$I$237,9,0)</f>
        <v>12.9</v>
      </c>
      <c r="FD83" s="12">
        <f t="array" ref="FD83">INDEX(FC:FC,MIN(IF(ISNUMBER(FC83:FC279),ROW(FC83:FC279),"")))</f>
        <v>12.9</v>
      </c>
      <c r="FE83" s="12">
        <f>IF('Données projet'!$A$218&gt;35,FE82+FD83-FM82,IF(A83&lt;'Données projet'!$A$218,$FB$205^A83,IF(A83='Données projet'!$A$218,'Données projet'!$B$218,FE82+FD83-FM82)))</f>
        <v>789.99999999999875</v>
      </c>
      <c r="FF83" s="17">
        <f>FE83*VLOOKUP('Données projet'!$B$16,Paramètres!$A$1:$I$89,3,0)*VLOOKUP('Données projet'!$B$16,Paramètres!$A$1:$I$89,5,0)</f>
        <v>441.60999999999933</v>
      </c>
      <c r="FG83" s="13">
        <f t="shared" si="101"/>
        <v>100.16325657794113</v>
      </c>
      <c r="FH83" s="20">
        <f t="shared" si="76"/>
        <v>943.58842187324615</v>
      </c>
      <c r="FI83" s="59">
        <f t="shared" si="77"/>
        <v>1214.3170335119323</v>
      </c>
      <c r="FJ83" s="59">
        <f ca="1">AVERAGE(OFFSET($FI$3,0,0,'Données projet'!$E$16+1,1))-AVERAGE(OFFSET($H$3,0,0,'Données projet'!$E$16+1,1))</f>
        <v>549.85684198202534</v>
      </c>
      <c r="FK83" s="59">
        <f t="shared" si="102"/>
        <v>539.63748606275431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790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4.2424627151443781</v>
      </c>
      <c r="FR83" s="21">
        <f>EXP(-LN(2)/25)*FR82+(1-EXP(-LN(2)/25))/(LN(2)/25)*Calculateur!FM83*Calculateur!FO83*VLOOKUP('Données projet'!$B$16,Paramètres!$A$1:$I$89,3,0)*0.475*44/12</f>
        <v>9.6898525262704442</v>
      </c>
      <c r="FS83" s="21">
        <f>EXP(-LN(2)/2)*FS82+(1-EXP(-LN(2)/2))/(LN(2)/2)*FM83*FP83*VLOOKUP('Données projet'!$B$16,Paramètres!$A$1:$I$89,3,0)*0.475*44/12</f>
        <v>1.0869470642517238E-6</v>
      </c>
      <c r="FT83" s="22">
        <f t="shared" si="78"/>
        <v>13.932316328361887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671</v>
      </c>
      <c r="FX83" s="12">
        <f>VLOOKUP(A83,'Données projet'!$A$243:$I$263,9,0)</f>
        <v>10.5</v>
      </c>
      <c r="FY83" s="12">
        <f t="array" ref="FY83">INDEX(FX:FX,MIN(IF(ISNUMBER(FX83:FX279),ROW(FX83:FX279),"")))</f>
        <v>10.5</v>
      </c>
      <c r="FZ83" s="12">
        <f>IF('Données projet'!$A$244&gt;35,FZ82+FY83-GH82,IF(A83&lt;'Données projet'!$A$244,$FW$205^A83,IF(A83='Données projet'!$A$244,'Données projet'!$B$244,FZ82+FY83-GH82)))</f>
        <v>670.99999999999943</v>
      </c>
      <c r="GA83" s="17">
        <f>FZ83*VLOOKUP('Données projet'!$B$17,Paramètres!$A$1:$I$89,3,0)*VLOOKUP('Données projet'!$B$17,Paramètres!$A$1:$I$89,5,0)</f>
        <v>401.2579999999997</v>
      </c>
      <c r="GB83" s="13">
        <f t="shared" si="103"/>
        <v>92.03165878755776</v>
      </c>
      <c r="GC83" s="20">
        <f t="shared" si="79"/>
        <v>859.14615572166258</v>
      </c>
      <c r="GD83" s="59">
        <f t="shared" si="80"/>
        <v>1129.8747673603486</v>
      </c>
      <c r="GE83" s="59">
        <f ca="1">AVERAGE(OFFSET($GD$3,0,0,'Données projet'!$E$17+1,1))-AVERAGE(OFFSET($H$3,0,0,'Données projet'!$E$17+1,1))</f>
        <v>495.6641415122013</v>
      </c>
      <c r="GF83" s="59">
        <f t="shared" si="104"/>
        <v>488.90534169400757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671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1.4853104135896589</v>
      </c>
      <c r="GM83" s="21">
        <f>EXP(-LN(2)/25)*GM82+(1-EXP(-LN(2)/25))/(LN(2)/25)*Calculateur!GH83*Calculateur!GJ83*VLOOKUP('Données projet'!$B$17,Paramètres!$A$1:$I$89,3,0)*0.475*44/12</f>
        <v>6.5012731794549277</v>
      </c>
      <c r="GN83" s="21">
        <f>EXP(-LN(2)/2)*GN82+(1-EXP(-LN(2)/2))/(LN(2)/2)*GH83*GK83*VLOOKUP('Données projet'!$B$17,Paramètres!$A$1:$I$89,3,0)*0.475*44/12</f>
        <v>1.0359088597718013E-6</v>
      </c>
      <c r="GO83" s="21">
        <f t="shared" si="81"/>
        <v>7.9865846289534463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671</v>
      </c>
      <c r="GS83" s="12">
        <f>VLOOKUP(A83,'Données projet'!$A$269:$I$289,9,0)</f>
        <v>10.5</v>
      </c>
      <c r="GT83" s="12">
        <f t="array" ref="GT83">INDEX(GS:GS,MIN(IF(ISNUMBER(GS83:GS279),ROW(GS83:GS279),"")))</f>
        <v>10.5</v>
      </c>
      <c r="GU83" s="12">
        <f>IF('Données projet'!$A$270&gt;35,GU82+GT83-HC82,IF(A83&lt;'Données projet'!$A$270,$GR$205^A83,IF(A83='Données projet'!$A$270,'Données projet'!$B$270,GU82+GT83-HC82)))</f>
        <v>670.99999999999943</v>
      </c>
      <c r="GV83" s="17">
        <f>GU83*VLOOKUP('Données projet'!$B$18,Paramètres!$A$1:$I$89,3,0)*VLOOKUP('Données projet'!$B$18,Paramètres!$A$1:$I$89,5,0)</f>
        <v>401.2579999999997</v>
      </c>
      <c r="GW83" s="13">
        <f t="shared" si="105"/>
        <v>92.03165878755776</v>
      </c>
      <c r="GX83" s="20">
        <f t="shared" si="82"/>
        <v>859.14615572166258</v>
      </c>
      <c r="GY83" s="59">
        <f t="shared" si="83"/>
        <v>1129.8747673603486</v>
      </c>
      <c r="GZ83" s="59">
        <f ca="1">AVERAGE(OFFSET($GY$3,0,0,'Données projet'!$E$18+1,1))-AVERAGE(OFFSET($H$3,0,0,'Données projet'!$E$18+1,1))</f>
        <v>-18.333333333333343</v>
      </c>
      <c r="HA83" s="59">
        <f t="shared" si="106"/>
        <v>-18.333333333333343</v>
      </c>
      <c r="HB83" s="15">
        <f>IF(ISNA(VLOOKUP(A83,'Données projet'!$A$269:$I$289,3,0)),0,VLOOKUP(A83,'Données projet'!$A$269:$I$289,3,0))</f>
        <v>7</v>
      </c>
      <c r="HC83" s="15">
        <f>IF(ISNA(VLOOKUP(A83,'Données projet'!$A$269:$I$289,4,0)),0,VLOOKUP(A83,'Données projet'!$A$269:$I$289,4,0))</f>
        <v>671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1.4853104135896589</v>
      </c>
      <c r="HH83" s="21">
        <f>EXP(-LN(2)/25)*HH82+(1-EXP(-LN(2)/25))/(LN(2)/25)*Calculateur!HC83*Calculateur!HE83*VLOOKUP('Données projet'!$B$18,Paramètres!$A$1:$I$89,3,0)*0.475*44/12</f>
        <v>6.5012731794549277</v>
      </c>
      <c r="HI83" s="21">
        <f>EXP(-LN(2)/2)*HI82+(1-EXP(-LN(2)/2))/(LN(2)/2)*HC83*HF83*VLOOKUP('Données projet'!$B$18,Paramètres!$A$1:$I$89,3,0)*0.475*44/12</f>
        <v>1.0359088597718013E-6</v>
      </c>
      <c r="HJ83" s="22">
        <f t="shared" si="84"/>
        <v>7.9865846289534463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467.09999999999991</v>
      </c>
      <c r="O84" s="13">
        <f>N84*VLOOKUP('Données projet'!$B$9,Paramètres!$A$1:$I$89,3,0)*VLOOKUP('Données projet'!$B$9,Paramètres!$A$1:$I$89,5,0)</f>
        <v>218.60279999999995</v>
      </c>
      <c r="P84" s="13">
        <f t="shared" si="87"/>
        <v>53.811098692658383</v>
      </c>
      <c r="Q84" s="20">
        <f t="shared" si="54"/>
        <v>474.45420688971325</v>
      </c>
      <c r="R84" s="59">
        <f t="shared" si="55"/>
        <v>745.57495991321468</v>
      </c>
      <c r="S84" s="59">
        <f ca="1">AVERAGE(OFFSET($R$3,0,0,'Données projet'!$E$9+1,1))-AVERAGE(OFFSET($H$3,0,0,'Données projet'!$E$9+1,1))</f>
        <v>376.11581547534814</v>
      </c>
      <c r="T84" s="59">
        <f t="shared" si="88"/>
        <v>300.91675649863294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1.1416576003694774</v>
      </c>
      <c r="AA84" s="21">
        <f>EXP(-LN(2)/25)*AA83+(1-EXP(-LN(2)/25))/(LN(2)/25)*Calculateur!V84*Calculateur!X84*VLOOKUP('Données projet'!$B$9,Paramètres!$A$1:$I$89,3,0)*0.475*44/12</f>
        <v>1.9101640670330917</v>
      </c>
      <c r="AB84" s="21">
        <f>EXP(-LN(2)/2)*AB83+(1-EXP(-LN(2)/2))/(LN(2)/2)*V84*Y84*VLOOKUP('Données projet'!$B$9,Paramètres!$A$1:$I$89,3,0)*0.475*44/12</f>
        <v>2.0719762632370523E-7</v>
      </c>
      <c r="AC84" s="22">
        <f t="shared" si="57"/>
        <v>3.0518218746001953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270.17327999999981</v>
      </c>
      <c r="AK84" s="13">
        <f t="shared" si="89"/>
        <v>64.886042303882988</v>
      </c>
      <c r="AL84" s="20">
        <f t="shared" si="58"/>
        <v>583.56165301259591</v>
      </c>
      <c r="AM84" s="59">
        <f t="shared" si="59"/>
        <v>854.68240603609729</v>
      </c>
      <c r="AN84" s="59">
        <f ca="1">AVERAGE(OFFSET($AM$3,0,0,'Données projet'!$E$10+1,1))-AVERAGE(OFFSET($H$3,0,0,'Données projet'!$E$10+1,1))</f>
        <v>505.38595282220405</v>
      </c>
      <c r="AO84" s="59">
        <f t="shared" si="90"/>
        <v>351.72130415456365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0.87722798297794224</v>
      </c>
      <c r="AV84" s="21">
        <f>EXP(-LN(2)/25)*AV83+(1-EXP(-LN(2)/25))/(LN(2)/25)*Calculateur!AQ84*Calculateur!AS84*VLOOKUP('Données projet'!$B$10,Paramètres!$A$1:$I$89,3,0)*0.475*44/12</f>
        <v>2.7435722845025454</v>
      </c>
      <c r="AW84" s="21">
        <f>EXP(-LN(2)/2)*AW83+(1-EXP(-LN(2)/2))/(LN(2)/2)*AQ84*AT84*VLOOKUP('Données projet'!$B$10,Paramètres!$A$1:$I$89,3,0)*0.475*44/12</f>
        <v>4.5420260996127749E-7</v>
      </c>
      <c r="AX84" s="21">
        <f t="shared" si="60"/>
        <v>3.6208007216830973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-4.0702161641092972E-13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394.14657090341535</v>
      </c>
      <c r="BJ84" s="59">
        <f t="shared" si="92"/>
        <v>424.06445894109982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1.1884258410131214</v>
      </c>
      <c r="BQ84" s="21">
        <f>EXP(-LN(2)/25)*BQ83+(1-EXP(-LN(2)/25))/(LN(2)/25)*Calculateur!BL84*Calculateur!BN84*VLOOKUP('Données projet'!$B$11,Paramètres!$A$1:$I$89,3,0)*0.475*44/12</f>
        <v>4.9896232773021039</v>
      </c>
      <c r="BR84" s="21">
        <f>EXP(-LN(2)/2)*BR83+(1-EXP(-LN(2)/2))/(LN(2)/2)*BL84*BO84*VLOOKUP('Données projet'!$B$11,Paramètres!$A$1:$I$89,3,0)*0.475*44/12</f>
        <v>5.0658476749957702E-7</v>
      </c>
      <c r="BS84" s="22">
        <f t="shared" si="63"/>
        <v>6.1780496248999937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5.6843418860808015E-13</v>
      </c>
      <c r="BZ84" s="13">
        <f>BY84*VLOOKUP('Données projet'!$B$12,Paramètres!$A$1:$I$89,3,0)*VLOOKUP('Données projet'!$B$12,Paramètres!$A$1:$I$89,5,0)</f>
        <v>3.1036506698001181E-13</v>
      </c>
      <c r="CA84" s="13">
        <f t="shared" si="93"/>
        <v>4.086682523110923E-12</v>
      </c>
      <c r="CB84" s="20">
        <f t="shared" si="64"/>
        <v>7.6581912194083782E-12</v>
      </c>
      <c r="CC84" s="59">
        <f t="shared" si="65"/>
        <v>271.12075302350911</v>
      </c>
      <c r="CD84" s="59">
        <f ca="1">AVERAGE(OFFSET($CC$3,0,0,'Données projet'!$E$12+1,1))-AVERAGE(OFFSET($H$3,0,0,'Données projet'!$E$12+1,1))</f>
        <v>382.09004346384319</v>
      </c>
      <c r="CE84" s="59">
        <f t="shared" si="94"/>
        <v>410.18893995284986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3.1023058580053928</v>
      </c>
      <c r="CL84" s="21">
        <f>EXP(-LN(2)/25)*CL83+(1-EXP(-LN(2)/25))/(LN(2)/25)*Calculateur!CG84*Calculateur!CI84*VLOOKUP('Données projet'!$B$12,Paramètres!$A$1:$I$89,3,0)*0.475*44/12</f>
        <v>8.2767439871752106</v>
      </c>
      <c r="CM84" s="21">
        <f>EXP(-LN(2)/2)*CM83+(1-EXP(-LN(2)/2))/(LN(2)/2)*CG84*CJ84*VLOOKUP('Données projet'!$B$12,Paramètres!$A$1:$I$89,3,0)*0.475*44/12</f>
        <v>5.3067994930002485E-7</v>
      </c>
      <c r="CN84" s="22">
        <f t="shared" si="66"/>
        <v>11.379050375860553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363.02374534486341</v>
      </c>
      <c r="CZ84" s="59">
        <f t="shared" si="96"/>
        <v>489.00477393029598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2.6619331897261698</v>
      </c>
      <c r="DG84" s="21">
        <f>EXP(-LN(2)/25)*DG83+(1-EXP(-LN(2)/25))/(LN(2)/25)*Calculateur!DB84*Calculateur!DD84*VLOOKUP('Données projet'!$B$13,Paramètres!$A$1:$I$89,3,0)*0.475*44/12</f>
        <v>4.7082404769743054</v>
      </c>
      <c r="DH84" s="21">
        <f>EXP(-LN(2)/2)*DH83+(1-EXP(-LN(2)/2))/(LN(2)/2)*DB84*DE84*VLOOKUP('Données projet'!$B$13,Paramètres!$A$1:$I$89,3,0)*0.475*44/12</f>
        <v>6.1776615106160637E-7</v>
      </c>
      <c r="DI84" s="22">
        <f t="shared" si="69"/>
        <v>7.3701742844666267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>
        <f>DO84*VLOOKUP('Données projet'!$B$14,Paramètres!$A$1:$I$89,3,0)*VLOOKUP('Données projet'!$B$14,Paramètres!$A$1:$I$89,5,0)</f>
        <v>-3.7509835237869992E-13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368.03281986807173</v>
      </c>
      <c r="DU84" s="59">
        <f t="shared" si="98"/>
        <v>395.83504504492248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0.8885714482750714</v>
      </c>
      <c r="EB84" s="21">
        <f>EXP(-LN(2)/25)*EB83+(1-EXP(-LN(2)/25))/(LN(2)/25)*Calculateur!DW84*Calculateur!DY84*VLOOKUP('Données projet'!$B$14,Paramètres!$A$1:$I$89,3,0)*0.475*44/12</f>
        <v>3.7306802232436405</v>
      </c>
      <c r="EC84" s="21">
        <f>EXP(-LN(2)/2)*EC83+(1-EXP(-LN(2)/2))/(LN(2)/2)*DW84*DZ84*VLOOKUP('Données projet'!$B$14,Paramètres!$A$1:$I$89,3,0)*0.475*44/12</f>
        <v>4.6685262887216106E-7</v>
      </c>
      <c r="ED84" s="22">
        <f t="shared" si="72"/>
        <v>4.6192521383713405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225.2264820414552</v>
      </c>
      <c r="EP84" s="59">
        <f t="shared" si="100"/>
        <v>249.91838548328681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0.80574951515521998</v>
      </c>
      <c r="EW84" s="21">
        <f>EXP(-LN(2)/25)*EW83+(1-EXP(-LN(2)/25))/(LN(2)/25)*Calculateur!ER84*Calculateur!ET84*VLOOKUP('Données projet'!$B$15,Paramètres!$A$1:$I$89,3,0)*0.475*44/12</f>
        <v>2.1047254152385078</v>
      </c>
      <c r="EX84" s="21">
        <f>EXP(-LN(2)/2)*EX83+(1-EXP(-LN(2)/2))/(LN(2)/2)*ER84*EU84*VLOOKUP('Données projet'!$B$15,Paramètres!$A$1:$I$89,3,0)*0.475*44/12</f>
        <v>8.5253014309798767E-8</v>
      </c>
      <c r="EY84" s="22">
        <f t="shared" si="75"/>
        <v>2.910475015646742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-1.2505552149377763E-12</v>
      </c>
      <c r="FF84" s="17">
        <f>FE84*VLOOKUP('Données projet'!$B$16,Paramètres!$A$1:$I$89,3,0)*VLOOKUP('Données projet'!$B$16,Paramètres!$A$1:$I$89,5,0)</f>
        <v>-6.9906036515021697E-13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549.85684198202534</v>
      </c>
      <c r="FK84" s="59">
        <f t="shared" si="102"/>
        <v>539.63748606275431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4.1592706089471445</v>
      </c>
      <c r="FR84" s="21">
        <f>EXP(-LN(2)/25)*FR83+(1-EXP(-LN(2)/25))/(LN(2)/25)*Calculateur!FM84*Calculateur!FO84*VLOOKUP('Données projet'!$B$16,Paramètres!$A$1:$I$89,3,0)*0.475*44/12</f>
        <v>9.4248829993723806</v>
      </c>
      <c r="FS84" s="21">
        <f>EXP(-LN(2)/2)*FS83+(1-EXP(-LN(2)/2))/(LN(2)/2)*FM84*FP84*VLOOKUP('Données projet'!$B$16,Paramètres!$A$1:$I$89,3,0)*0.475*44/12</f>
        <v>7.6858763992320385E-7</v>
      </c>
      <c r="FT84" s="22">
        <f t="shared" si="78"/>
        <v>13.584154376907165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-5.6843418860808015E-13</v>
      </c>
      <c r="GA84" s="17">
        <f>FZ84*VLOOKUP('Données projet'!$B$17,Paramètres!$A$1:$I$89,3,0)*VLOOKUP('Données projet'!$B$17,Paramètres!$A$1:$I$89,5,0)</f>
        <v>-3.39923644787632E-13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495.6641415122013</v>
      </c>
      <c r="GF84" s="59">
        <f t="shared" si="104"/>
        <v>488.90534169400757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1.4561843823290628</v>
      </c>
      <c r="GM84" s="21">
        <f>EXP(-LN(2)/25)*GM83+(1-EXP(-LN(2)/25))/(LN(2)/25)*Calculateur!GH84*Calculateur!GJ84*VLOOKUP('Données projet'!$B$17,Paramètres!$A$1:$I$89,3,0)*0.475*44/12</f>
        <v>6.3234955224756346</v>
      </c>
      <c r="GN84" s="21">
        <f>EXP(-LN(2)/2)*GN83+(1-EXP(-LN(2)/2))/(LN(2)/2)*GH84*GK84*VLOOKUP('Données projet'!$B$17,Paramètres!$A$1:$I$89,3,0)*0.475*44/12</f>
        <v>7.3249817943586509E-7</v>
      </c>
      <c r="GO84" s="21">
        <f t="shared" si="81"/>
        <v>7.7796806373028771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-5.6843418860808015E-13</v>
      </c>
      <c r="GV84" s="17">
        <f>GU84*VLOOKUP('Données projet'!$B$18,Paramètres!$A$1:$I$89,3,0)*VLOOKUP('Données projet'!$B$18,Paramètres!$A$1:$I$89,5,0)</f>
        <v>-3.39923644787632E-13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-18.333333333333343</v>
      </c>
      <c r="HA84" s="59">
        <f t="shared" si="106"/>
        <v>-18.333333333333343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1.4561843823290628</v>
      </c>
      <c r="HH84" s="21">
        <f>EXP(-LN(2)/25)*HH83+(1-EXP(-LN(2)/25))/(LN(2)/25)*Calculateur!HC84*Calculateur!HE84*VLOOKUP('Données projet'!$B$18,Paramètres!$A$1:$I$89,3,0)*0.475*44/12</f>
        <v>6.3234955224756346</v>
      </c>
      <c r="HI84" s="21">
        <f>EXP(-LN(2)/2)*HI83+(1-EXP(-LN(2)/2))/(LN(2)/2)*HC84*HF84*VLOOKUP('Données projet'!$B$18,Paramètres!$A$1:$I$89,3,0)*0.475*44/12</f>
        <v>7.3249817943586509E-7</v>
      </c>
      <c r="HJ84" s="22">
        <f t="shared" si="84"/>
        <v>7.7796806373028771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484.59999999999991</v>
      </c>
      <c r="O85" s="13">
        <f>N85*VLOOKUP('Données projet'!$B$9,Paramètres!$A$1:$I$89,3,0)*VLOOKUP('Données projet'!$B$9,Paramètres!$A$1:$I$89,5,0)</f>
        <v>226.79279999999994</v>
      </c>
      <c r="P85" s="13">
        <f t="shared" si="87"/>
        <v>55.588644170072158</v>
      </c>
      <c r="Q85" s="20">
        <f t="shared" si="54"/>
        <v>491.8143485962089</v>
      </c>
      <c r="R85" s="59">
        <f t="shared" si="55"/>
        <v>763.32044022819593</v>
      </c>
      <c r="S85" s="59">
        <f ca="1">AVERAGE(OFFSET($R$3,0,0,'Données projet'!$E$9+1,1))-AVERAGE(OFFSET($H$3,0,0,'Données projet'!$E$9+1,1))</f>
        <v>376.11581547534814</v>
      </c>
      <c r="T85" s="59">
        <f t="shared" si="88"/>
        <v>300.91675649863294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1.1192703911686102</v>
      </c>
      <c r="AA85" s="21">
        <f>EXP(-LN(2)/25)*AA84+(1-EXP(-LN(2)/25))/(LN(2)/25)*Calculateur!V85*Calculateur!X85*VLOOKUP('Données projet'!$B$9,Paramètres!$A$1:$I$89,3,0)*0.475*44/12</f>
        <v>1.8579305301689093</v>
      </c>
      <c r="AB85" s="21">
        <f>EXP(-LN(2)/2)*AB84+(1-EXP(-LN(2)/2))/(LN(2)/2)*V85*Y85*VLOOKUP('Données projet'!$B$9,Paramètres!$A$1:$I$89,3,0)*0.475*44/12</f>
        <v>1.4651084661924827E-7</v>
      </c>
      <c r="AC85" s="22">
        <f t="shared" si="57"/>
        <v>2.977201067848366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276.1449599999998</v>
      </c>
      <c r="AK85" s="13">
        <f t="shared" si="89"/>
        <v>66.151671938851194</v>
      </c>
      <c r="AL85" s="20">
        <f t="shared" si="58"/>
        <v>596.16663396016543</v>
      </c>
      <c r="AM85" s="59">
        <f t="shared" si="59"/>
        <v>867.67272559215246</v>
      </c>
      <c r="AN85" s="59">
        <f ca="1">AVERAGE(OFFSET($AM$3,0,0,'Données projet'!$E$10+1,1))-AVERAGE(OFFSET($H$3,0,0,'Données projet'!$E$10+1,1))</f>
        <v>505.38595282220405</v>
      </c>
      <c r="AO85" s="59">
        <f t="shared" si="90"/>
        <v>351.72130415456365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0.86002607728798197</v>
      </c>
      <c r="AV85" s="21">
        <f>EXP(-LN(2)/25)*AV84+(1-EXP(-LN(2)/25))/(LN(2)/25)*Calculateur!AQ85*Calculateur!AS85*VLOOKUP('Données projet'!$B$10,Paramètres!$A$1:$I$89,3,0)*0.475*44/12</f>
        <v>2.6685491561046275</v>
      </c>
      <c r="AW85" s="21">
        <f>EXP(-LN(2)/2)*AW84+(1-EXP(-LN(2)/2))/(LN(2)/2)*AQ85*AT85*VLOOKUP('Données projet'!$B$10,Paramètres!$A$1:$I$89,3,0)*0.475*44/12</f>
        <v>3.2116974553624786E-7</v>
      </c>
      <c r="AX85" s="21">
        <f t="shared" si="60"/>
        <v>3.5285755545623547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-4.0702161641092972E-13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394.14657090341535</v>
      </c>
      <c r="BJ85" s="59">
        <f t="shared" si="92"/>
        <v>424.06445894109982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1.1651215351390423</v>
      </c>
      <c r="BQ85" s="21">
        <f>EXP(-LN(2)/25)*BQ84+(1-EXP(-LN(2)/25))/(LN(2)/25)*Calculateur!BL85*Calculateur!BN85*VLOOKUP('Données projet'!$B$11,Paramètres!$A$1:$I$89,3,0)*0.475*44/12</f>
        <v>4.8531817663913932</v>
      </c>
      <c r="BR85" s="21">
        <f>EXP(-LN(2)/2)*BR84+(1-EXP(-LN(2)/2))/(LN(2)/2)*BL85*BO85*VLOOKUP('Données projet'!$B$11,Paramètres!$A$1:$I$89,3,0)*0.475*44/12</f>
        <v>3.5820952434476146E-7</v>
      </c>
      <c r="BS85" s="22">
        <f t="shared" si="63"/>
        <v>6.01830365973996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5.6843418860808015E-13</v>
      </c>
      <c r="BZ85" s="13">
        <f>BY85*VLOOKUP('Données projet'!$B$12,Paramètres!$A$1:$I$89,3,0)*VLOOKUP('Données projet'!$B$12,Paramètres!$A$1:$I$89,5,0)</f>
        <v>3.1036506698001181E-13</v>
      </c>
      <c r="CA85" s="13">
        <f t="shared" si="93"/>
        <v>4.086682523110923E-12</v>
      </c>
      <c r="CB85" s="20">
        <f t="shared" si="64"/>
        <v>7.6581912194083782E-12</v>
      </c>
      <c r="CC85" s="59">
        <f t="shared" si="65"/>
        <v>271.50609163199471</v>
      </c>
      <c r="CD85" s="59">
        <f ca="1">AVERAGE(OFFSET($CC$3,0,0,'Données projet'!$E$12+1,1))-AVERAGE(OFFSET($H$3,0,0,'Données projet'!$E$12+1,1))</f>
        <v>382.09004346384319</v>
      </c>
      <c r="CE85" s="59">
        <f t="shared" si="94"/>
        <v>410.18893995284986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3.0414715323496391</v>
      </c>
      <c r="CL85" s="21">
        <f>EXP(-LN(2)/25)*CL84+(1-EXP(-LN(2)/25))/(LN(2)/25)*Calculateur!CG85*Calculateur!CI85*VLOOKUP('Données projet'!$B$12,Paramètres!$A$1:$I$89,3,0)*0.475*44/12</f>
        <v>8.0504159875908545</v>
      </c>
      <c r="CM85" s="21">
        <f>EXP(-LN(2)/2)*CM84+(1-EXP(-LN(2)/2))/(LN(2)/2)*CG85*CJ85*VLOOKUP('Données projet'!$B$12,Paramètres!$A$1:$I$89,3,0)*0.475*44/12</f>
        <v>3.7524739078978081E-7</v>
      </c>
      <c r="CN85" s="22">
        <f t="shared" si="66"/>
        <v>11.091887895187885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363.02374534486341</v>
      </c>
      <c r="CZ85" s="59">
        <f t="shared" si="96"/>
        <v>489.00477393029598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2.6097343034945664</v>
      </c>
      <c r="DG85" s="21">
        <f>EXP(-LN(2)/25)*DG84+(1-EXP(-LN(2)/25))/(LN(2)/25)*Calculateur!DB85*Calculateur!DD85*VLOOKUP('Données projet'!$B$13,Paramètres!$A$1:$I$89,3,0)*0.475*44/12</f>
        <v>4.5794933935358371</v>
      </c>
      <c r="DH85" s="21">
        <f>EXP(-LN(2)/2)*DH84+(1-EXP(-LN(2)/2))/(LN(2)/2)*DB85*DE85*VLOOKUP('Données projet'!$B$13,Paramètres!$A$1:$I$89,3,0)*0.475*44/12</f>
        <v>4.3682663460317496E-7</v>
      </c>
      <c r="DI85" s="22">
        <f t="shared" si="69"/>
        <v>7.1892281338570383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>
        <f>DO85*VLOOKUP('Données projet'!$B$14,Paramètres!$A$1:$I$89,3,0)*VLOOKUP('Données projet'!$B$14,Paramètres!$A$1:$I$89,5,0)</f>
        <v>-3.7509835237869992E-13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368.03281986807173</v>
      </c>
      <c r="DU85" s="59">
        <f t="shared" si="98"/>
        <v>395.83504504492248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0.87114710414946506</v>
      </c>
      <c r="EB85" s="21">
        <f>EXP(-LN(2)/25)*EB84+(1-EXP(-LN(2)/25))/(LN(2)/25)*Calculateur!DW85*Calculateur!DY85*VLOOKUP('Données projet'!$B$14,Paramètres!$A$1:$I$89,3,0)*0.475*44/12</f>
        <v>3.6286645763510967</v>
      </c>
      <c r="EC85" s="21">
        <f>EXP(-LN(2)/2)*EC84+(1-EXP(-LN(2)/2))/(LN(2)/2)*DW85*DZ85*VLOOKUP('Données projet'!$B$14,Paramètres!$A$1:$I$89,3,0)*0.475*44/12</f>
        <v>3.3011465969027171E-7</v>
      </c>
      <c r="ED85" s="22">
        <f t="shared" si="72"/>
        <v>4.499812010615222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225.2264820414552</v>
      </c>
      <c r="EP85" s="59">
        <f t="shared" si="100"/>
        <v>249.91838548328681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0.78994925862170284</v>
      </c>
      <c r="EW85" s="21">
        <f>EXP(-LN(2)/25)*EW84+(1-EXP(-LN(2)/25))/(LN(2)/25)*Calculateur!ER85*Calculateur!ET85*VLOOKUP('Données projet'!$B$15,Paramètres!$A$1:$I$89,3,0)*0.475*44/12</f>
        <v>2.0471715880761114</v>
      </c>
      <c r="EX85" s="21">
        <f>EXP(-LN(2)/2)*EX84+(1-EXP(-LN(2)/2))/(LN(2)/2)*ER85*EU85*VLOOKUP('Données projet'!$B$15,Paramètres!$A$1:$I$89,3,0)*0.475*44/12</f>
        <v>6.0282984535052481E-8</v>
      </c>
      <c r="EY85" s="22">
        <f t="shared" si="75"/>
        <v>2.8371209069807986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-1.2505552149377763E-12</v>
      </c>
      <c r="FF85" s="17">
        <f>FE85*VLOOKUP('Données projet'!$B$16,Paramètres!$A$1:$I$89,3,0)*VLOOKUP('Données projet'!$B$16,Paramètres!$A$1:$I$89,5,0)</f>
        <v>-6.9906036515021697E-13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549.85684198202534</v>
      </c>
      <c r="FK85" s="59">
        <f t="shared" si="102"/>
        <v>539.63748606275431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4.0777098492102644</v>
      </c>
      <c r="FR85" s="21">
        <f>EXP(-LN(2)/25)*FR84+(1-EXP(-LN(2)/25))/(LN(2)/25)*Calculateur!FM85*Calculateur!FO85*VLOOKUP('Données projet'!$B$16,Paramètres!$A$1:$I$89,3,0)*0.475*44/12</f>
        <v>9.167159078121486</v>
      </c>
      <c r="FS85" s="21">
        <f>EXP(-LN(2)/2)*FS84+(1-EXP(-LN(2)/2))/(LN(2)/2)*FM85*FP85*VLOOKUP('Données projet'!$B$16,Paramètres!$A$1:$I$89,3,0)*0.475*44/12</f>
        <v>5.4347353212586188E-7</v>
      </c>
      <c r="FT85" s="22">
        <f t="shared" si="78"/>
        <v>13.244869470805284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-5.6843418860808015E-13</v>
      </c>
      <c r="GA85" s="17">
        <f>FZ85*VLOOKUP('Données projet'!$B$17,Paramètres!$A$1:$I$89,3,0)*VLOOKUP('Données projet'!$B$17,Paramètres!$A$1:$I$89,5,0)</f>
        <v>-3.39923644787632E-13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495.6641415122013</v>
      </c>
      <c r="GF85" s="59">
        <f t="shared" si="104"/>
        <v>488.90534169400757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1.4276294947763621</v>
      </c>
      <c r="GM85" s="21">
        <f>EXP(-LN(2)/25)*GM84+(1-EXP(-LN(2)/25))/(LN(2)/25)*Calculateur!GH85*Calculateur!GJ85*VLOOKUP('Données projet'!$B$17,Paramètres!$A$1:$I$89,3,0)*0.475*44/12</f>
        <v>6.1505792048753616</v>
      </c>
      <c r="GN85" s="21">
        <f>EXP(-LN(2)/2)*GN84+(1-EXP(-LN(2)/2))/(LN(2)/2)*GH85*GK85*VLOOKUP('Données projet'!$B$17,Paramètres!$A$1:$I$89,3,0)*0.475*44/12</f>
        <v>5.1795442988590067E-7</v>
      </c>
      <c r="GO85" s="21">
        <f t="shared" si="81"/>
        <v>7.5782092176061528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-5.6843418860808015E-13</v>
      </c>
      <c r="GV85" s="17">
        <f>GU85*VLOOKUP('Données projet'!$B$18,Paramètres!$A$1:$I$89,3,0)*VLOOKUP('Données projet'!$B$18,Paramètres!$A$1:$I$89,5,0)</f>
        <v>-3.39923644787632E-13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-18.333333333333343</v>
      </c>
      <c r="HA85" s="59">
        <f t="shared" si="106"/>
        <v>-18.333333333333343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1.4276294947763621</v>
      </c>
      <c r="HH85" s="21">
        <f>EXP(-LN(2)/25)*HH84+(1-EXP(-LN(2)/25))/(LN(2)/25)*Calculateur!HC85*Calculateur!HE85*VLOOKUP('Données projet'!$B$18,Paramètres!$A$1:$I$89,3,0)*0.475*44/12</f>
        <v>6.1505792048753616</v>
      </c>
      <c r="HI85" s="21">
        <f>EXP(-LN(2)/2)*HI84+(1-EXP(-LN(2)/2))/(LN(2)/2)*HC85*HF85*VLOOKUP('Données projet'!$B$18,Paramètres!$A$1:$I$89,3,0)*0.475*44/12</f>
        <v>5.1795442988590067E-7</v>
      </c>
      <c r="HJ85" s="22">
        <f t="shared" si="84"/>
        <v>7.5782092176061528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502.09999999999991</v>
      </c>
      <c r="O86" s="13">
        <f>N86*VLOOKUP('Données projet'!$B$9,Paramètres!$A$1:$I$89,3,0)*VLOOKUP('Données projet'!$B$9,Paramètres!$A$1:$I$89,5,0)</f>
        <v>234.98279999999997</v>
      </c>
      <c r="P86" s="13">
        <f t="shared" si="87"/>
        <v>57.358731763746825</v>
      </c>
      <c r="Q86" s="20">
        <f t="shared" si="54"/>
        <v>509.16150115519235</v>
      </c>
      <c r="R86" s="59">
        <f t="shared" si="55"/>
        <v>781.04624663229583</v>
      </c>
      <c r="S86" s="59">
        <f ca="1">AVERAGE(OFFSET($R$3,0,0,'Données projet'!$E$9+1,1))-AVERAGE(OFFSET($H$3,0,0,'Données projet'!$E$9+1,1))</f>
        <v>376.11581547534814</v>
      </c>
      <c r="T86" s="59">
        <f t="shared" si="88"/>
        <v>300.91675649863294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1.0973221814853225</v>
      </c>
      <c r="AA86" s="21">
        <f>EXP(-LN(2)/25)*AA85+(1-EXP(-LN(2)/25))/(LN(2)/25)*Calculateur!V86*Calculateur!X86*VLOOKUP('Données projet'!$B$9,Paramètres!$A$1:$I$89,3,0)*0.475*44/12</f>
        <v>1.8071253221171202</v>
      </c>
      <c r="AB86" s="21">
        <f>EXP(-LN(2)/2)*AB85+(1-EXP(-LN(2)/2))/(LN(2)/2)*V86*Y86*VLOOKUP('Données projet'!$B$9,Paramètres!$A$1:$I$89,3,0)*0.475*44/12</f>
        <v>1.0359881316185261E-7</v>
      </c>
      <c r="AC86" s="22">
        <f t="shared" si="57"/>
        <v>2.9044476072012557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282.11663999999985</v>
      </c>
      <c r="AK86" s="13">
        <f t="shared" si="89"/>
        <v>67.414119514142243</v>
      </c>
      <c r="AL86" s="20">
        <f t="shared" si="58"/>
        <v>608.76607282046416</v>
      </c>
      <c r="AM86" s="59">
        <f t="shared" si="59"/>
        <v>880.65081829756764</v>
      </c>
      <c r="AN86" s="59">
        <f ca="1">AVERAGE(OFFSET($AM$3,0,0,'Données projet'!$E$10+1,1))-AVERAGE(OFFSET($H$3,0,0,'Données projet'!$E$10+1,1))</f>
        <v>505.38595282220405</v>
      </c>
      <c r="AO86" s="59">
        <f t="shared" si="90"/>
        <v>351.72130415456365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0.84316149047647537</v>
      </c>
      <c r="AV86" s="21">
        <f>EXP(-LN(2)/25)*AV85+(1-EXP(-LN(2)/25))/(LN(2)/25)*Calculateur!AQ86*Calculateur!AS86*VLOOKUP('Données projet'!$B$10,Paramètres!$A$1:$I$89,3,0)*0.475*44/12</f>
        <v>2.5955775390980453</v>
      </c>
      <c r="AW86" s="21">
        <f>EXP(-LN(2)/2)*AW85+(1-EXP(-LN(2)/2))/(LN(2)/2)*AQ86*AT86*VLOOKUP('Données projet'!$B$10,Paramètres!$A$1:$I$89,3,0)*0.475*44/12</f>
        <v>2.2710130498063877E-7</v>
      </c>
      <c r="AX86" s="21">
        <f t="shared" si="60"/>
        <v>3.4387392566758255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-4.0702161641092972E-13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394.14657090341535</v>
      </c>
      <c r="BJ86" s="59">
        <f t="shared" si="92"/>
        <v>424.06445894109982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1.1422742124889309</v>
      </c>
      <c r="BQ86" s="21">
        <f>EXP(-LN(2)/25)*BQ85+(1-EXP(-LN(2)/25))/(LN(2)/25)*Calculateur!BL86*Calculateur!BN86*VLOOKUP('Données projet'!$B$11,Paramètres!$A$1:$I$89,3,0)*0.475*44/12</f>
        <v>4.7204712557716837</v>
      </c>
      <c r="BR86" s="21">
        <f>EXP(-LN(2)/2)*BR85+(1-EXP(-LN(2)/2))/(LN(2)/2)*BL86*BO86*VLOOKUP('Données projet'!$B$11,Paramètres!$A$1:$I$89,3,0)*0.475*44/12</f>
        <v>2.5329238374978851E-7</v>
      </c>
      <c r="BS86" s="22">
        <f t="shared" si="63"/>
        <v>5.8627457215529981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5.6843418860808015E-13</v>
      </c>
      <c r="BZ86" s="13">
        <f>BY86*VLOOKUP('Données projet'!$B$12,Paramètres!$A$1:$I$89,3,0)*VLOOKUP('Données projet'!$B$12,Paramètres!$A$1:$I$89,5,0)</f>
        <v>3.1036506698001181E-13</v>
      </c>
      <c r="CA86" s="13">
        <f t="shared" si="93"/>
        <v>4.086682523110923E-12</v>
      </c>
      <c r="CB86" s="20">
        <f t="shared" si="64"/>
        <v>7.6581912194083782E-12</v>
      </c>
      <c r="CC86" s="59">
        <f t="shared" si="65"/>
        <v>271.88474547711115</v>
      </c>
      <c r="CD86" s="59">
        <f ca="1">AVERAGE(OFFSET($CC$3,0,0,'Données projet'!$E$12+1,1))-AVERAGE(OFFSET($H$3,0,0,'Données projet'!$E$12+1,1))</f>
        <v>382.09004346384319</v>
      </c>
      <c r="CE86" s="59">
        <f t="shared" si="94"/>
        <v>410.18893995284986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2.9818301307147199</v>
      </c>
      <c r="CL86" s="21">
        <f>EXP(-LN(2)/25)*CL85+(1-EXP(-LN(2)/25))/(LN(2)/25)*Calculateur!CG86*Calculateur!CI86*VLOOKUP('Données projet'!$B$12,Paramètres!$A$1:$I$89,3,0)*0.475*44/12</f>
        <v>7.8302769390572049</v>
      </c>
      <c r="CM86" s="21">
        <f>EXP(-LN(2)/2)*CM85+(1-EXP(-LN(2)/2))/(LN(2)/2)*CG86*CJ86*VLOOKUP('Données projet'!$B$12,Paramètres!$A$1:$I$89,3,0)*0.475*44/12</f>
        <v>2.6533997465001243E-7</v>
      </c>
      <c r="CN86" s="22">
        <f t="shared" si="66"/>
        <v>10.812107335111898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363.02374534486341</v>
      </c>
      <c r="CZ86" s="59">
        <f t="shared" si="96"/>
        <v>489.00477393029598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2.5585590055837879</v>
      </c>
      <c r="DG86" s="21">
        <f>EXP(-LN(2)/25)*DG85+(1-EXP(-LN(2)/25))/(LN(2)/25)*Calculateur!DB86*Calculateur!DD86*VLOOKUP('Données projet'!$B$13,Paramètres!$A$1:$I$89,3,0)*0.475*44/12</f>
        <v>4.4542669058645084</v>
      </c>
      <c r="DH86" s="21">
        <f>EXP(-LN(2)/2)*DH85+(1-EXP(-LN(2)/2))/(LN(2)/2)*DB86*DE86*VLOOKUP('Données projet'!$B$13,Paramètres!$A$1:$I$89,3,0)*0.475*44/12</f>
        <v>3.0888307553080318E-7</v>
      </c>
      <c r="DI86" s="22">
        <f t="shared" si="69"/>
        <v>7.0128262203313714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>
        <f>DO86*VLOOKUP('Données projet'!$B$14,Paramètres!$A$1:$I$89,3,0)*VLOOKUP('Données projet'!$B$14,Paramètres!$A$1:$I$89,5,0)</f>
        <v>-3.7509835237869992E-13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368.03281986807173</v>
      </c>
      <c r="DU86" s="59">
        <f t="shared" si="98"/>
        <v>395.83504504492248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0.85406444078436139</v>
      </c>
      <c r="EB86" s="21">
        <f>EXP(-LN(2)/25)*EB85+(1-EXP(-LN(2)/25))/(LN(2)/25)*Calculateur!DW86*Calculateur!DY86*VLOOKUP('Données projet'!$B$14,Paramètres!$A$1:$I$89,3,0)*0.475*44/12</f>
        <v>3.5294385526875995</v>
      </c>
      <c r="EC86" s="21">
        <f>EXP(-LN(2)/2)*EC85+(1-EXP(-LN(2)/2))/(LN(2)/2)*DW86*DZ86*VLOOKUP('Données projet'!$B$14,Paramètres!$A$1:$I$89,3,0)*0.475*44/12</f>
        <v>2.3342631443608058E-7</v>
      </c>
      <c r="ED86" s="22">
        <f t="shared" si="72"/>
        <v>4.3835032268982754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225.2264820414552</v>
      </c>
      <c r="EP86" s="59">
        <f t="shared" si="100"/>
        <v>249.91838548328681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0.7744588354816031</v>
      </c>
      <c r="EW86" s="21">
        <f>EXP(-LN(2)/25)*EW85+(1-EXP(-LN(2)/25))/(LN(2)/25)*Calculateur!ER86*Calculateur!ET86*VLOOKUP('Données projet'!$B$15,Paramètres!$A$1:$I$89,3,0)*0.475*44/12</f>
        <v>1.9911915733440952</v>
      </c>
      <c r="EX86" s="21">
        <f>EXP(-LN(2)/2)*EX85+(1-EXP(-LN(2)/2))/(LN(2)/2)*ER86*EU86*VLOOKUP('Données projet'!$B$15,Paramètres!$A$1:$I$89,3,0)*0.475*44/12</f>
        <v>4.2626507154899384E-8</v>
      </c>
      <c r="EY86" s="22">
        <f t="shared" si="75"/>
        <v>2.7656504514522058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-1.2505552149377763E-12</v>
      </c>
      <c r="FF86" s="17">
        <f>FE86*VLOOKUP('Données projet'!$B$16,Paramètres!$A$1:$I$89,3,0)*VLOOKUP('Données projet'!$B$16,Paramètres!$A$1:$I$89,5,0)</f>
        <v>-6.9906036515021697E-13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549.85684198202534</v>
      </c>
      <c r="FK86" s="59">
        <f t="shared" si="102"/>
        <v>539.63748606275431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3.9977484462246728</v>
      </c>
      <c r="FR86" s="21">
        <f>EXP(-LN(2)/25)*FR85+(1-EXP(-LN(2)/25))/(LN(2)/25)*Calculateur!FM86*Calculateur!FO86*VLOOKUP('Données projet'!$B$16,Paramètres!$A$1:$I$89,3,0)*0.475*44/12</f>
        <v>8.9164826310503091</v>
      </c>
      <c r="FS86" s="21">
        <f>EXP(-LN(2)/2)*FS85+(1-EXP(-LN(2)/2))/(LN(2)/2)*FM86*FP86*VLOOKUP('Données projet'!$B$16,Paramètres!$A$1:$I$89,3,0)*0.475*44/12</f>
        <v>3.8429381996160193E-7</v>
      </c>
      <c r="FT86" s="22">
        <f t="shared" si="78"/>
        <v>12.914231461568802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-5.6843418860808015E-13</v>
      </c>
      <c r="GA86" s="17">
        <f>FZ86*VLOOKUP('Données projet'!$B$17,Paramètres!$A$1:$I$89,3,0)*VLOOKUP('Données projet'!$B$17,Paramètres!$A$1:$I$89,5,0)</f>
        <v>-3.39923644787632E-13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495.6641415122013</v>
      </c>
      <c r="GF86" s="59">
        <f t="shared" si="104"/>
        <v>488.90534169400757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1.3996345511518082</v>
      </c>
      <c r="GM86" s="21">
        <f>EXP(-LN(2)/25)*GM85+(1-EXP(-LN(2)/25))/(LN(2)/25)*Calculateur!GH86*Calculateur!GJ86*VLOOKUP('Données projet'!$B$17,Paramètres!$A$1:$I$89,3,0)*0.475*44/12</f>
        <v>5.9823912930731415</v>
      </c>
      <c r="GN86" s="21">
        <f>EXP(-LN(2)/2)*GN85+(1-EXP(-LN(2)/2))/(LN(2)/2)*GH86*GK86*VLOOKUP('Données projet'!$B$17,Paramètres!$A$1:$I$89,3,0)*0.475*44/12</f>
        <v>3.6624908971793254E-7</v>
      </c>
      <c r="GO86" s="21">
        <f t="shared" si="81"/>
        <v>7.3820262104740397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-5.6843418860808015E-13</v>
      </c>
      <c r="GV86" s="17">
        <f>GU86*VLOOKUP('Données projet'!$B$18,Paramètres!$A$1:$I$89,3,0)*VLOOKUP('Données projet'!$B$18,Paramètres!$A$1:$I$89,5,0)</f>
        <v>-3.39923644787632E-13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-18.333333333333343</v>
      </c>
      <c r="HA86" s="59">
        <f t="shared" si="106"/>
        <v>-18.333333333333343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1.3996345511518082</v>
      </c>
      <c r="HH86" s="21">
        <f>EXP(-LN(2)/25)*HH85+(1-EXP(-LN(2)/25))/(LN(2)/25)*Calculateur!HC86*Calculateur!HE86*VLOOKUP('Données projet'!$B$18,Paramètres!$A$1:$I$89,3,0)*0.475*44/12</f>
        <v>5.9823912930731415</v>
      </c>
      <c r="HI86" s="21">
        <f>EXP(-LN(2)/2)*HI85+(1-EXP(-LN(2)/2))/(LN(2)/2)*HC86*HF86*VLOOKUP('Données projet'!$B$18,Paramètres!$A$1:$I$89,3,0)*0.475*44/12</f>
        <v>3.6624908971793254E-7</v>
      </c>
      <c r="HJ86" s="22">
        <f t="shared" si="84"/>
        <v>7.3820262104740397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519.59999999999991</v>
      </c>
      <c r="O87" s="13">
        <f>N87*VLOOKUP('Données projet'!$B$9,Paramètres!$A$1:$I$89,3,0)*VLOOKUP('Données projet'!$B$9,Paramètres!$A$1:$I$89,5,0)</f>
        <v>243.17279999999994</v>
      </c>
      <c r="P87" s="13">
        <f t="shared" si="87"/>
        <v>59.121651195612671</v>
      </c>
      <c r="Q87" s="20">
        <f t="shared" si="54"/>
        <v>526.49616916569187</v>
      </c>
      <c r="R87" s="59">
        <f t="shared" si="55"/>
        <v>798.75299969024218</v>
      </c>
      <c r="S87" s="59">
        <f ca="1">AVERAGE(OFFSET($R$3,0,0,'Données projet'!$E$9+1,1))-AVERAGE(OFFSET($H$3,0,0,'Données projet'!$E$9+1,1))</f>
        <v>376.11581547534814</v>
      </c>
      <c r="T87" s="59">
        <f t="shared" si="88"/>
        <v>300.91675649863294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1.0758043628068381</v>
      </c>
      <c r="AA87" s="21">
        <f>EXP(-LN(2)/25)*AA86+(1-EXP(-LN(2)/25))/(LN(2)/25)*Calculateur!V87*Calculateur!X87*VLOOKUP('Données projet'!$B$9,Paramètres!$A$1:$I$89,3,0)*0.475*44/12</f>
        <v>1.7577093851512371</v>
      </c>
      <c r="AB87" s="21">
        <f>EXP(-LN(2)/2)*AB86+(1-EXP(-LN(2)/2))/(LN(2)/2)*V87*Y87*VLOOKUP('Données projet'!$B$9,Paramètres!$A$1:$I$89,3,0)*0.475*44/12</f>
        <v>7.3255423309624135E-8</v>
      </c>
      <c r="AC87" s="22">
        <f t="shared" si="57"/>
        <v>2.8335138212134985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288.0883199999999</v>
      </c>
      <c r="AK87" s="13">
        <f t="shared" si="89"/>
        <v>68.673460144735557</v>
      </c>
      <c r="AL87" s="20">
        <f t="shared" si="58"/>
        <v>621.36010041874761</v>
      </c>
      <c r="AM87" s="59">
        <f t="shared" si="59"/>
        <v>893.61693094329792</v>
      </c>
      <c r="AN87" s="59">
        <f ca="1">AVERAGE(OFFSET($AM$3,0,0,'Données projet'!$E$10+1,1))-AVERAGE(OFFSET($H$3,0,0,'Données projet'!$E$10+1,1))</f>
        <v>505.38595282220405</v>
      </c>
      <c r="AO87" s="59">
        <f t="shared" si="90"/>
        <v>351.72130415456365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0.82662760792596013</v>
      </c>
      <c r="AV87" s="21">
        <f>EXP(-LN(2)/25)*AV86+(1-EXP(-LN(2)/25))/(LN(2)/25)*Calculateur!AQ87*Calculateur!AS87*VLOOKUP('Données projet'!$B$10,Paramètres!$A$1:$I$89,3,0)*0.475*44/12</f>
        <v>2.5246013347959186</v>
      </c>
      <c r="AW87" s="21">
        <f>EXP(-LN(2)/2)*AW86+(1-EXP(-LN(2)/2))/(LN(2)/2)*AQ87*AT87*VLOOKUP('Données projet'!$B$10,Paramètres!$A$1:$I$89,3,0)*0.475*44/12</f>
        <v>1.6058487276812396E-7</v>
      </c>
      <c r="AX87" s="21">
        <f t="shared" si="60"/>
        <v>3.3512291033067516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-4.0702161641092972E-13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394.14657090341535</v>
      </c>
      <c r="BJ87" s="59">
        <f t="shared" si="92"/>
        <v>424.06445894109982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1.1198749119004974</v>
      </c>
      <c r="BQ87" s="21">
        <f>EXP(-LN(2)/25)*BQ86+(1-EXP(-LN(2)/25))/(LN(2)/25)*Calculateur!BL87*Calculateur!BN87*VLOOKUP('Données projet'!$B$11,Paramètres!$A$1:$I$89,3,0)*0.475*44/12</f>
        <v>4.5913897210438126</v>
      </c>
      <c r="BR87" s="21">
        <f>EXP(-LN(2)/2)*BR86+(1-EXP(-LN(2)/2))/(LN(2)/2)*BL87*BO87*VLOOKUP('Données projet'!$B$11,Paramètres!$A$1:$I$89,3,0)*0.475*44/12</f>
        <v>1.7910476217238073E-7</v>
      </c>
      <c r="BS87" s="22">
        <f t="shared" si="63"/>
        <v>5.7112648120490723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5.6843418860808015E-13</v>
      </c>
      <c r="BZ87" s="13">
        <f>BY87*VLOOKUP('Données projet'!$B$12,Paramètres!$A$1:$I$89,3,0)*VLOOKUP('Données projet'!$B$12,Paramètres!$A$1:$I$89,5,0)</f>
        <v>3.1036506698001181E-13</v>
      </c>
      <c r="CA87" s="13">
        <f t="shared" si="93"/>
        <v>4.086682523110923E-12</v>
      </c>
      <c r="CB87" s="20">
        <f t="shared" si="64"/>
        <v>7.6581912194083782E-12</v>
      </c>
      <c r="CC87" s="59">
        <f t="shared" si="65"/>
        <v>272.25683052455798</v>
      </c>
      <c r="CD87" s="59">
        <f ca="1">AVERAGE(OFFSET($CC$3,0,0,'Données projet'!$E$12+1,1))-AVERAGE(OFFSET($H$3,0,0,'Données projet'!$E$12+1,1))</f>
        <v>382.09004346384319</v>
      </c>
      <c r="CE87" s="59">
        <f t="shared" si="94"/>
        <v>410.18893995284986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2.9233582605881985</v>
      </c>
      <c r="CL87" s="21">
        <f>EXP(-LN(2)/25)*CL86+(1-EXP(-LN(2)/25))/(LN(2)/25)*Calculateur!CG87*Calculateur!CI87*VLOOKUP('Données projet'!$B$12,Paramètres!$A$1:$I$89,3,0)*0.475*44/12</f>
        <v>7.6161576043823178</v>
      </c>
      <c r="CM87" s="21">
        <f>EXP(-LN(2)/2)*CM86+(1-EXP(-LN(2)/2))/(LN(2)/2)*CG87*CJ87*VLOOKUP('Données projet'!$B$12,Paramètres!$A$1:$I$89,3,0)*0.475*44/12</f>
        <v>1.876236953948904E-7</v>
      </c>
      <c r="CN87" s="22">
        <f t="shared" si="66"/>
        <v>10.539516052594212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363.02374534486341</v>
      </c>
      <c r="CZ87" s="59">
        <f t="shared" si="96"/>
        <v>489.00477393029598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2.50838722405119</v>
      </c>
      <c r="DG87" s="21">
        <f>EXP(-LN(2)/25)*DG86+(1-EXP(-LN(2)/25))/(LN(2)/25)*Calculateur!DB87*Calculateur!DD87*VLOOKUP('Données projet'!$B$13,Paramètres!$A$1:$I$89,3,0)*0.475*44/12</f>
        <v>4.3324647430839276</v>
      </c>
      <c r="DH87" s="21">
        <f>EXP(-LN(2)/2)*DH86+(1-EXP(-LN(2)/2))/(LN(2)/2)*DB87*DE87*VLOOKUP('Données projet'!$B$13,Paramètres!$A$1:$I$89,3,0)*0.475*44/12</f>
        <v>2.1841331730158748E-7</v>
      </c>
      <c r="DI87" s="22">
        <f t="shared" si="69"/>
        <v>6.8408521855484352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>
        <f>DO87*VLOOKUP('Données projet'!$B$14,Paramètres!$A$1:$I$89,3,0)*VLOOKUP('Données projet'!$B$14,Paramètres!$A$1:$I$89,5,0)</f>
        <v>-3.7509835237869992E-13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368.03281986807173</v>
      </c>
      <c r="DU87" s="59">
        <f t="shared" si="98"/>
        <v>395.83504504492248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0.83731675802845162</v>
      </c>
      <c r="EB87" s="21">
        <f>EXP(-LN(2)/25)*EB86+(1-EXP(-LN(2)/25))/(LN(2)/25)*Calculateur!DW87*Calculateur!DY87*VLOOKUP('Données projet'!$B$14,Paramètres!$A$1:$I$89,3,0)*0.475*44/12</f>
        <v>3.4329258698592504</v>
      </c>
      <c r="EC87" s="21">
        <f>EXP(-LN(2)/2)*EC86+(1-EXP(-LN(2)/2))/(LN(2)/2)*DW87*DZ87*VLOOKUP('Données projet'!$B$14,Paramètres!$A$1:$I$89,3,0)*0.475*44/12</f>
        <v>1.6505732984513588E-7</v>
      </c>
      <c r="ED87" s="22">
        <f t="shared" si="72"/>
        <v>4.270242792945032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225.2264820414552</v>
      </c>
      <c r="EP87" s="59">
        <f t="shared" si="100"/>
        <v>249.91838548328681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0.75927217009105552</v>
      </c>
      <c r="EW87" s="21">
        <f>EXP(-LN(2)/25)*EW86+(1-EXP(-LN(2)/25))/(LN(2)/25)*Calculateur!ER87*Calculateur!ET87*VLOOKUP('Données projet'!$B$15,Paramètres!$A$1:$I$89,3,0)*0.475*44/12</f>
        <v>1.9367423350587871</v>
      </c>
      <c r="EX87" s="21">
        <f>EXP(-LN(2)/2)*EX86+(1-EXP(-LN(2)/2))/(LN(2)/2)*ER87*EU87*VLOOKUP('Données projet'!$B$15,Paramètres!$A$1:$I$89,3,0)*0.475*44/12</f>
        <v>3.0141492267526241E-8</v>
      </c>
      <c r="EY87" s="22">
        <f t="shared" si="75"/>
        <v>2.6960145352913352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-1.2505552149377763E-12</v>
      </c>
      <c r="FF87" s="17">
        <f>FE87*VLOOKUP('Données projet'!$B$16,Paramètres!$A$1:$I$89,3,0)*VLOOKUP('Données projet'!$B$16,Paramètres!$A$1:$I$89,5,0)</f>
        <v>-6.9906036515021697E-13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549.85684198202534</v>
      </c>
      <c r="FK87" s="59">
        <f t="shared" si="102"/>
        <v>539.63748606275431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3.9193550375799888</v>
      </c>
      <c r="FR87" s="21">
        <f>EXP(-LN(2)/25)*FR86+(1-EXP(-LN(2)/25))/(LN(2)/25)*Calculateur!FM87*Calculateur!FO87*VLOOKUP('Données projet'!$B$16,Paramètres!$A$1:$I$89,3,0)*0.475*44/12</f>
        <v>8.672660944606795</v>
      </c>
      <c r="FS87" s="21">
        <f>EXP(-LN(2)/2)*FS86+(1-EXP(-LN(2)/2))/(LN(2)/2)*FM87*FP87*VLOOKUP('Données projet'!$B$16,Paramètres!$A$1:$I$89,3,0)*0.475*44/12</f>
        <v>2.7173676606293094E-7</v>
      </c>
      <c r="FT87" s="22">
        <f t="shared" si="78"/>
        <v>12.59201625392355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-5.6843418860808015E-13</v>
      </c>
      <c r="GA87" s="17">
        <f>FZ87*VLOOKUP('Données projet'!$B$17,Paramètres!$A$1:$I$89,3,0)*VLOOKUP('Données projet'!$B$17,Paramètres!$A$1:$I$89,5,0)</f>
        <v>-3.39923644787632E-13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495.6641415122013</v>
      </c>
      <c r="GF87" s="59">
        <f t="shared" si="104"/>
        <v>488.90534169400757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1.3721885712965023</v>
      </c>
      <c r="GM87" s="21">
        <f>EXP(-LN(2)/25)*GM86+(1-EXP(-LN(2)/25))/(LN(2)/25)*Calculateur!GH87*Calculateur!GJ87*VLOOKUP('Données projet'!$B$17,Paramètres!$A$1:$I$89,3,0)*0.475*44/12</f>
        <v>5.8188024885637715</v>
      </c>
      <c r="GN87" s="21">
        <f>EXP(-LN(2)/2)*GN86+(1-EXP(-LN(2)/2))/(LN(2)/2)*GH87*GK87*VLOOKUP('Données projet'!$B$17,Paramètres!$A$1:$I$89,3,0)*0.475*44/12</f>
        <v>2.5897721494295034E-7</v>
      </c>
      <c r="GO87" s="21">
        <f t="shared" si="81"/>
        <v>7.1909913188374883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-5.6843418860808015E-13</v>
      </c>
      <c r="GV87" s="17">
        <f>GU87*VLOOKUP('Données projet'!$B$18,Paramètres!$A$1:$I$89,3,0)*VLOOKUP('Données projet'!$B$18,Paramètres!$A$1:$I$89,5,0)</f>
        <v>-3.39923644787632E-13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-18.333333333333343</v>
      </c>
      <c r="HA87" s="59">
        <f t="shared" si="106"/>
        <v>-18.333333333333343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1.3721885712965023</v>
      </c>
      <c r="HH87" s="21">
        <f>EXP(-LN(2)/25)*HH86+(1-EXP(-LN(2)/25))/(LN(2)/25)*Calculateur!HC87*Calculateur!HE87*VLOOKUP('Données projet'!$B$18,Paramètres!$A$1:$I$89,3,0)*0.475*44/12</f>
        <v>5.8188024885637715</v>
      </c>
      <c r="HI87" s="21">
        <f>EXP(-LN(2)/2)*HI86+(1-EXP(-LN(2)/2))/(LN(2)/2)*HC87*HF87*VLOOKUP('Données projet'!$B$18,Paramètres!$A$1:$I$89,3,0)*0.475*44/12</f>
        <v>2.5897721494295034E-7</v>
      </c>
      <c r="HJ87" s="22">
        <f t="shared" si="84"/>
        <v>7.1909913188374883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537.09999999999991</v>
      </c>
      <c r="O88" s="13">
        <f>N88*VLOOKUP('Données projet'!$B$9,Paramètres!$A$1:$I$89,3,0)*VLOOKUP('Données projet'!$B$9,Paramètres!$A$1:$I$89,5,0)</f>
        <v>251.36279999999996</v>
      </c>
      <c r="P88" s="13">
        <f t="shared" si="87"/>
        <v>60.877671564837158</v>
      </c>
      <c r="Q88" s="20">
        <f t="shared" si="54"/>
        <v>543.81882130875795</v>
      </c>
      <c r="R88" s="59">
        <f t="shared" si="55"/>
        <v>816.4412820370394</v>
      </c>
      <c r="S88" s="59">
        <f ca="1">AVERAGE(OFFSET($R$3,0,0,'Données projet'!$E$9+1,1))-AVERAGE(OFFSET($H$3,0,0,'Données projet'!$E$9+1,1))</f>
        <v>376.11581547534814</v>
      </c>
      <c r="T88" s="59">
        <f t="shared" si="88"/>
        <v>300.91675649863294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1.0547084954280654</v>
      </c>
      <c r="AA88" s="21">
        <f>EXP(-LN(2)/25)*AA87+(1-EXP(-LN(2)/25))/(LN(2)/25)*Calculateur!V88*Calculateur!X88*VLOOKUP('Données projet'!$B$9,Paramètres!$A$1:$I$89,3,0)*0.475*44/12</f>
        <v>1.7096447295803572</v>
      </c>
      <c r="AB88" s="21">
        <f>EXP(-LN(2)/2)*AB87+(1-EXP(-LN(2)/2))/(LN(2)/2)*V88*Y88*VLOOKUP('Données projet'!$B$9,Paramètres!$A$1:$I$89,3,0)*0.475*44/12</f>
        <v>5.1799406580926307E-8</v>
      </c>
      <c r="AC88" s="22">
        <f t="shared" si="57"/>
        <v>2.7643532768078289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294.05999999999989</v>
      </c>
      <c r="AK88" s="13">
        <f t="shared" si="89"/>
        <v>69.929765653573313</v>
      </c>
      <c r="AL88" s="20">
        <f t="shared" si="58"/>
        <v>633.94884184663999</v>
      </c>
      <c r="AM88" s="59">
        <f t="shared" si="59"/>
        <v>906.57130257492145</v>
      </c>
      <c r="AN88" s="59">
        <f ca="1">AVERAGE(OFFSET($AM$3,0,0,'Données projet'!$E$10+1,1))-AVERAGE(OFFSET($H$3,0,0,'Données projet'!$E$10+1,1))</f>
        <v>505.38595282220405</v>
      </c>
      <c r="AO88" s="59">
        <f t="shared" si="90"/>
        <v>351.72130415456365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0.81041794472758799</v>
      </c>
      <c r="AV88" s="21">
        <f>EXP(-LN(2)/25)*AV87+(1-EXP(-LN(2)/25))/(LN(2)/25)*Calculateur!AQ88*Calculateur!AS88*VLOOKUP('Données projet'!$B$10,Paramètres!$A$1:$I$89,3,0)*0.475*44/12</f>
        <v>2.4555659785329103</v>
      </c>
      <c r="AW88" s="21">
        <f>EXP(-LN(2)/2)*AW87+(1-EXP(-LN(2)/2))/(LN(2)/2)*AQ88*AT88*VLOOKUP('Données projet'!$B$10,Paramètres!$A$1:$I$89,3,0)*0.475*44/12</f>
        <v>1.1355065249031941E-7</v>
      </c>
      <c r="AX88" s="21">
        <f t="shared" si="60"/>
        <v>3.2659840368111506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-4.0702161641092972E-13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394.14657090341535</v>
      </c>
      <c r="BJ88" s="59">
        <f t="shared" si="92"/>
        <v>424.06445894109982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1.0979148479343788</v>
      </c>
      <c r="BQ88" s="21">
        <f>EXP(-LN(2)/25)*BQ87+(1-EXP(-LN(2)/25))/(LN(2)/25)*Calculateur!BL88*Calculateur!BN88*VLOOKUP('Données projet'!$B$11,Paramètres!$A$1:$I$89,3,0)*0.475*44/12</f>
        <v>4.4658379276711777</v>
      </c>
      <c r="BR88" s="21">
        <f>EXP(-LN(2)/2)*BR87+(1-EXP(-LN(2)/2))/(LN(2)/2)*BL88*BO88*VLOOKUP('Données projet'!$B$11,Paramètres!$A$1:$I$89,3,0)*0.475*44/12</f>
        <v>1.2664619187489426E-7</v>
      </c>
      <c r="BS88" s="22">
        <f t="shared" si="63"/>
        <v>5.5637529022517489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5.6843418860808015E-13</v>
      </c>
      <c r="BZ88" s="13">
        <f>BY88*VLOOKUP('Données projet'!$B$12,Paramètres!$A$1:$I$89,3,0)*VLOOKUP('Données projet'!$B$12,Paramètres!$A$1:$I$89,5,0)</f>
        <v>3.1036506698001181E-13</v>
      </c>
      <c r="CA88" s="13">
        <f t="shared" si="93"/>
        <v>4.086682523110923E-12</v>
      </c>
      <c r="CB88" s="20">
        <f t="shared" si="64"/>
        <v>7.6581912194083782E-12</v>
      </c>
      <c r="CC88" s="59">
        <f t="shared" si="65"/>
        <v>272.62246072828918</v>
      </c>
      <c r="CD88" s="59">
        <f ca="1">AVERAGE(OFFSET($CC$3,0,0,'Données projet'!$E$12+1,1))-AVERAGE(OFFSET($H$3,0,0,'Données projet'!$E$12+1,1))</f>
        <v>382.09004346384319</v>
      </c>
      <c r="CE88" s="59">
        <f t="shared" si="94"/>
        <v>410.18893995284986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2.8660329881705389</v>
      </c>
      <c r="CL88" s="21">
        <f>EXP(-LN(2)/25)*CL87+(1-EXP(-LN(2)/25))/(LN(2)/25)*Calculateur!CG88*Calculateur!CI88*VLOOKUP('Données projet'!$B$12,Paramètres!$A$1:$I$89,3,0)*0.475*44/12</f>
        <v>7.4078933741741615</v>
      </c>
      <c r="CM88" s="21">
        <f>EXP(-LN(2)/2)*CM87+(1-EXP(-LN(2)/2))/(LN(2)/2)*CG88*CJ88*VLOOKUP('Données projet'!$B$12,Paramètres!$A$1:$I$89,3,0)*0.475*44/12</f>
        <v>1.3266998732500621E-7</v>
      </c>
      <c r="CN88" s="22">
        <f t="shared" si="66"/>
        <v>10.273926495014686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363.02374534486341</v>
      </c>
      <c r="CZ88" s="59">
        <f t="shared" si="96"/>
        <v>489.00477393029598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2.4591992805526814</v>
      </c>
      <c r="DG88" s="21">
        <f>EXP(-LN(2)/25)*DG87+(1-EXP(-LN(2)/25))/(LN(2)/25)*Calculateur!DB88*Calculateur!DD88*VLOOKUP('Données projet'!$B$13,Paramètres!$A$1:$I$89,3,0)*0.475*44/12</f>
        <v>4.2139932668498785</v>
      </c>
      <c r="DH88" s="21">
        <f>EXP(-LN(2)/2)*DH87+(1-EXP(-LN(2)/2))/(LN(2)/2)*DB88*DE88*VLOOKUP('Données projet'!$B$13,Paramètres!$A$1:$I$89,3,0)*0.475*44/12</f>
        <v>1.5444153776540159E-7</v>
      </c>
      <c r="DI88" s="22">
        <f t="shared" si="69"/>
        <v>6.6731927018440977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>
        <f>DO88*VLOOKUP('Données projet'!$B$14,Paramètres!$A$1:$I$89,3,0)*VLOOKUP('Données projet'!$B$14,Paramètres!$A$1:$I$89,5,0)</f>
        <v>-3.7509835237869992E-13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368.03281986807173</v>
      </c>
      <c r="DU88" s="59">
        <f t="shared" si="98"/>
        <v>395.83504504492248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0.82089748711630739</v>
      </c>
      <c r="EB88" s="21">
        <f>EXP(-LN(2)/25)*EB87+(1-EXP(-LN(2)/25))/(LN(2)/25)*Calculateur!DW88*Calculateur!DY88*VLOOKUP('Données projet'!$B$14,Paramètres!$A$1:$I$89,3,0)*0.475*44/12</f>
        <v>3.3390523314182237</v>
      </c>
      <c r="EC88" s="21">
        <f>EXP(-LN(2)/2)*EC87+(1-EXP(-LN(2)/2))/(LN(2)/2)*DW88*DZ88*VLOOKUP('Données projet'!$B$14,Paramètres!$A$1:$I$89,3,0)*0.475*44/12</f>
        <v>1.167131572180403E-7</v>
      </c>
      <c r="ED88" s="22">
        <f t="shared" si="72"/>
        <v>4.1599499352476883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225.2264820414552</v>
      </c>
      <c r="EP88" s="59">
        <f t="shared" si="100"/>
        <v>249.91838548328681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0.74438330594586533</v>
      </c>
      <c r="EW88" s="21">
        <f>EXP(-LN(2)/25)*EW87+(1-EXP(-LN(2)/25))/(LN(2)/25)*Calculateur!ER88*Calculateur!ET88*VLOOKUP('Données projet'!$B$15,Paramètres!$A$1:$I$89,3,0)*0.475*44/12</f>
        <v>1.8837820140577517</v>
      </c>
      <c r="EX88" s="21">
        <f>EXP(-LN(2)/2)*EX87+(1-EXP(-LN(2)/2))/(LN(2)/2)*ER88*EU88*VLOOKUP('Données projet'!$B$15,Paramètres!$A$1:$I$89,3,0)*0.475*44/12</f>
        <v>2.1313253577449692E-8</v>
      </c>
      <c r="EY88" s="22">
        <f t="shared" si="75"/>
        <v>2.6281653413168704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-1.2505552149377763E-12</v>
      </c>
      <c r="FF88" s="17">
        <f>FE88*VLOOKUP('Données projet'!$B$16,Paramètres!$A$1:$I$89,3,0)*VLOOKUP('Données projet'!$B$16,Paramètres!$A$1:$I$89,5,0)</f>
        <v>-6.9906036515021697E-13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549.85684198202534</v>
      </c>
      <c r="FK88" s="59">
        <f t="shared" si="102"/>
        <v>539.63748606275431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3.8424988758635688</v>
      </c>
      <c r="FR88" s="21">
        <f>EXP(-LN(2)/25)*FR87+(1-EXP(-LN(2)/25))/(LN(2)/25)*Calculateur!FM88*Calculateur!FO88*VLOOKUP('Données projet'!$B$16,Paramètres!$A$1:$I$89,3,0)*0.475*44/12</f>
        <v>8.4355065750011047</v>
      </c>
      <c r="FS88" s="21">
        <f>EXP(-LN(2)/2)*FS87+(1-EXP(-LN(2)/2))/(LN(2)/2)*FM88*FP88*VLOOKUP('Données projet'!$B$16,Paramètres!$A$1:$I$89,3,0)*0.475*44/12</f>
        <v>1.9214690998080096E-7</v>
      </c>
      <c r="FT88" s="22">
        <f t="shared" si="78"/>
        <v>12.278005643011584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-5.6843418860808015E-13</v>
      </c>
      <c r="GA88" s="17">
        <f>FZ88*VLOOKUP('Données projet'!$B$17,Paramètres!$A$1:$I$89,3,0)*VLOOKUP('Données projet'!$B$17,Paramètres!$A$1:$I$89,5,0)</f>
        <v>-3.39923644787632E-13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495.6641415122013</v>
      </c>
      <c r="GF88" s="59">
        <f t="shared" si="104"/>
        <v>488.90534169400757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1.3452807903657642</v>
      </c>
      <c r="GM88" s="21">
        <f>EXP(-LN(2)/25)*GM87+(1-EXP(-LN(2)/25))/(LN(2)/25)*Calculateur!GH88*Calculateur!GJ88*VLOOKUP('Données projet'!$B$17,Paramètres!$A$1:$I$89,3,0)*0.475*44/12</f>
        <v>5.6596870285164709</v>
      </c>
      <c r="GN88" s="21">
        <f>EXP(-LN(2)/2)*GN87+(1-EXP(-LN(2)/2))/(LN(2)/2)*GH88*GK88*VLOOKUP('Données projet'!$B$17,Paramètres!$A$1:$I$89,3,0)*0.475*44/12</f>
        <v>1.8312454485896627E-7</v>
      </c>
      <c r="GO88" s="21">
        <f t="shared" si="81"/>
        <v>7.0049680020067804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-5.6843418860808015E-13</v>
      </c>
      <c r="GV88" s="17">
        <f>GU88*VLOOKUP('Données projet'!$B$18,Paramètres!$A$1:$I$89,3,0)*VLOOKUP('Données projet'!$B$18,Paramètres!$A$1:$I$89,5,0)</f>
        <v>-3.39923644787632E-13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-18.333333333333343</v>
      </c>
      <c r="HA88" s="59">
        <f t="shared" si="106"/>
        <v>-18.333333333333343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1.3452807903657642</v>
      </c>
      <c r="HH88" s="21">
        <f>EXP(-LN(2)/25)*HH87+(1-EXP(-LN(2)/25))/(LN(2)/25)*Calculateur!HC88*Calculateur!HE88*VLOOKUP('Données projet'!$B$18,Paramètres!$A$1:$I$89,3,0)*0.475*44/12</f>
        <v>5.6596870285164709</v>
      </c>
      <c r="HI88" s="21">
        <f>EXP(-LN(2)/2)*HI87+(1-EXP(-LN(2)/2))/(LN(2)/2)*HC88*HF88*VLOOKUP('Données projet'!$B$18,Paramètres!$A$1:$I$89,3,0)*0.475*44/12</f>
        <v>1.8312454485896627E-7</v>
      </c>
      <c r="HJ88" s="22">
        <f t="shared" si="84"/>
        <v>7.0049680020067804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554.59999999999991</v>
      </c>
      <c r="O89" s="13">
        <f>N89*VLOOKUP('Données projet'!$B$9,Paramètres!$A$1:$I$89,3,0)*VLOOKUP('Données projet'!$B$9,Paramètres!$A$1:$I$89,5,0)</f>
        <v>259.55279999999993</v>
      </c>
      <c r="P89" s="13">
        <f t="shared" si="87"/>
        <v>62.627043439399927</v>
      </c>
      <c r="Q89" s="20">
        <f t="shared" si="54"/>
        <v>561.12989399028811</v>
      </c>
      <c r="R89" s="59">
        <f t="shared" si="55"/>
        <v>834.11164205569276</v>
      </c>
      <c r="S89" s="59">
        <f ca="1">AVERAGE(OFFSET($R$3,0,0,'Données projet'!$E$9+1,1))-AVERAGE(OFFSET($H$3,0,0,'Données projet'!$E$9+1,1))</f>
        <v>376.11581547534814</v>
      </c>
      <c r="T89" s="59">
        <f t="shared" si="88"/>
        <v>300.91675649863294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1.0340263051413818</v>
      </c>
      <c r="AA89" s="21">
        <f>EXP(-LN(2)/25)*AA88+(1-EXP(-LN(2)/25))/(LN(2)/25)*Calculateur!V89*Calculateur!X89*VLOOKUP('Données projet'!$B$9,Paramètres!$A$1:$I$89,3,0)*0.475*44/12</f>
        <v>1.6628944045436733</v>
      </c>
      <c r="AB89" s="21">
        <f>EXP(-LN(2)/2)*AB88+(1-EXP(-LN(2)/2))/(LN(2)/2)*V89*Y89*VLOOKUP('Données projet'!$B$9,Paramètres!$A$1:$I$89,3,0)*0.475*44/12</f>
        <v>3.6627711654812067E-8</v>
      </c>
      <c r="AC89" s="22">
        <f t="shared" si="57"/>
        <v>2.6969207463127667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300.03167999999994</v>
      </c>
      <c r="AK89" s="13">
        <f t="shared" si="89"/>
        <v>71.183104779714938</v>
      </c>
      <c r="AL89" s="20">
        <f t="shared" si="58"/>
        <v>646.53241682467001</v>
      </c>
      <c r="AM89" s="59">
        <f t="shared" si="59"/>
        <v>919.51416489007465</v>
      </c>
      <c r="AN89" s="59">
        <f ca="1">AVERAGE(OFFSET($AM$3,0,0,'Données projet'!$E$10+1,1))-AVERAGE(OFFSET($H$3,0,0,'Données projet'!$E$10+1,1))</f>
        <v>505.38595282220405</v>
      </c>
      <c r="AO89" s="59">
        <f t="shared" si="90"/>
        <v>351.72130415456365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0.7945261431376176</v>
      </c>
      <c r="AV89" s="21">
        <f>EXP(-LN(2)/25)*AV88+(1-EXP(-LN(2)/25))/(LN(2)/25)*Calculateur!AQ89*Calculateur!AS89*VLOOKUP('Données projet'!$B$10,Paramètres!$A$1:$I$89,3,0)*0.475*44/12</f>
        <v>2.3884183977173254</v>
      </c>
      <c r="AW89" s="21">
        <f>EXP(-LN(2)/2)*AW88+(1-EXP(-LN(2)/2))/(LN(2)/2)*AQ89*AT89*VLOOKUP('Données projet'!$B$10,Paramètres!$A$1:$I$89,3,0)*0.475*44/12</f>
        <v>8.0292436384061992E-8</v>
      </c>
      <c r="AX89" s="21">
        <f t="shared" si="60"/>
        <v>3.1829446211473793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-4.0702161641092972E-13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394.14657090341535</v>
      </c>
      <c r="BJ89" s="59">
        <f t="shared" si="92"/>
        <v>424.06445894109982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1.0763854074283192</v>
      </c>
      <c r="BQ89" s="21">
        <f>EXP(-LN(2)/25)*BQ88+(1-EXP(-LN(2)/25))/(LN(2)/25)*Calculateur!BL89*Calculateur!BN89*VLOOKUP('Données projet'!$B$11,Paramètres!$A$1:$I$89,3,0)*0.475*44/12</f>
        <v>4.3437193546907995</v>
      </c>
      <c r="BR89" s="21">
        <f>EXP(-LN(2)/2)*BR88+(1-EXP(-LN(2)/2))/(LN(2)/2)*BL89*BO89*VLOOKUP('Données projet'!$B$11,Paramètres!$A$1:$I$89,3,0)*0.475*44/12</f>
        <v>8.9552381086190366E-8</v>
      </c>
      <c r="BS89" s="22">
        <f t="shared" si="63"/>
        <v>5.4201048516714998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5.6843418860808015E-13</v>
      </c>
      <c r="BZ89" s="13">
        <f>BY89*VLOOKUP('Données projet'!$B$12,Paramètres!$A$1:$I$89,3,0)*VLOOKUP('Données projet'!$B$12,Paramètres!$A$1:$I$89,5,0)</f>
        <v>3.1036506698001181E-13</v>
      </c>
      <c r="CA89" s="13">
        <f t="shared" si="93"/>
        <v>4.086682523110923E-12</v>
      </c>
      <c r="CB89" s="20">
        <f t="shared" si="64"/>
        <v>7.6581912194083782E-12</v>
      </c>
      <c r="CC89" s="59">
        <f t="shared" si="65"/>
        <v>272.98174806541238</v>
      </c>
      <c r="CD89" s="59">
        <f ca="1">AVERAGE(OFFSET($CC$3,0,0,'Données projet'!$E$12+1,1))-AVERAGE(OFFSET($H$3,0,0,'Données projet'!$E$12+1,1))</f>
        <v>382.09004346384319</v>
      </c>
      <c r="CE89" s="59">
        <f t="shared" si="94"/>
        <v>410.18893995284986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2.809831829380026</v>
      </c>
      <c r="CL89" s="21">
        <f>EXP(-LN(2)/25)*CL88+(1-EXP(-LN(2)/25))/(LN(2)/25)*Calculateur!CG89*Calculateur!CI89*VLOOKUP('Données projet'!$B$12,Paramètres!$A$1:$I$89,3,0)*0.475*44/12</f>
        <v>7.2053241402931878</v>
      </c>
      <c r="CM89" s="21">
        <f>EXP(-LN(2)/2)*CM88+(1-EXP(-LN(2)/2))/(LN(2)/2)*CG89*CJ89*VLOOKUP('Données projet'!$B$12,Paramètres!$A$1:$I$89,3,0)*0.475*44/12</f>
        <v>9.3811847697445202E-8</v>
      </c>
      <c r="CN89" s="22">
        <f t="shared" si="66"/>
        <v>10.01515606348506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363.02374534486341</v>
      </c>
      <c r="CZ89" s="59">
        <f t="shared" si="96"/>
        <v>489.00477393029598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2.4109758826244954</v>
      </c>
      <c r="DG89" s="21">
        <f>EXP(-LN(2)/25)*DG88+(1-EXP(-LN(2)/25))/(LN(2)/25)*Calculateur!DB89*Calculateur!DD89*VLOOKUP('Données projet'!$B$13,Paramètres!$A$1:$I$89,3,0)*0.475*44/12</f>
        <v>4.0987613993635943</v>
      </c>
      <c r="DH89" s="21">
        <f>EXP(-LN(2)/2)*DH88+(1-EXP(-LN(2)/2))/(LN(2)/2)*DB89*DE89*VLOOKUP('Données projet'!$B$13,Paramètres!$A$1:$I$89,3,0)*0.475*44/12</f>
        <v>1.0920665865079374E-7</v>
      </c>
      <c r="DI89" s="22">
        <f t="shared" si="69"/>
        <v>6.509737391194748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>
        <f>DO89*VLOOKUP('Données projet'!$B$14,Paramètres!$A$1:$I$89,3,0)*VLOOKUP('Données projet'!$B$14,Paramètres!$A$1:$I$89,5,0)</f>
        <v>-3.7509835237869992E-13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368.03281986807173</v>
      </c>
      <c r="DU89" s="59">
        <f t="shared" si="98"/>
        <v>395.83504504492248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0.80480018809198395</v>
      </c>
      <c r="EB89" s="21">
        <f>EXP(-LN(2)/25)*EB88+(1-EXP(-LN(2)/25))/(LN(2)/25)*Calculateur!DW89*Calculateur!DY89*VLOOKUP('Données projet'!$B$14,Paramètres!$A$1:$I$89,3,0)*0.475*44/12</f>
        <v>3.2477457698224619</v>
      </c>
      <c r="EC89" s="21">
        <f>EXP(-LN(2)/2)*EC88+(1-EXP(-LN(2)/2))/(LN(2)/2)*DW89*DZ89*VLOOKUP('Données projet'!$B$14,Paramètres!$A$1:$I$89,3,0)*0.475*44/12</f>
        <v>8.2528664922567954E-8</v>
      </c>
      <c r="ED89" s="22">
        <f t="shared" si="72"/>
        <v>4.0525460404431106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225.2264820414552</v>
      </c>
      <c r="EP89" s="59">
        <f t="shared" si="100"/>
        <v>249.91838548328681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0.72978640334525191</v>
      </c>
      <c r="EW89" s="21">
        <f>EXP(-LN(2)/25)*EW88+(1-EXP(-LN(2)/25))/(LN(2)/25)*Calculateur!ER89*Calculateur!ET89*VLOOKUP('Données projet'!$B$15,Paramètres!$A$1:$I$89,3,0)*0.475*44/12</f>
        <v>1.8322698958195518</v>
      </c>
      <c r="EX89" s="21">
        <f>EXP(-LN(2)/2)*EX88+(1-EXP(-LN(2)/2))/(LN(2)/2)*ER89*EU89*VLOOKUP('Données projet'!$B$15,Paramètres!$A$1:$I$89,3,0)*0.475*44/12</f>
        <v>1.507074613376312E-8</v>
      </c>
      <c r="EY89" s="22">
        <f t="shared" si="75"/>
        <v>2.5620563142355497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-1.2505552149377763E-12</v>
      </c>
      <c r="FF89" s="17">
        <f>FE89*VLOOKUP('Données projet'!$B$16,Paramètres!$A$1:$I$89,3,0)*VLOOKUP('Données projet'!$B$16,Paramètres!$A$1:$I$89,5,0)</f>
        <v>-6.9906036515021697E-13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549.85684198202534</v>
      </c>
      <c r="FK89" s="59">
        <f t="shared" si="102"/>
        <v>539.63748606275431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3.767149816600778</v>
      </c>
      <c r="FR89" s="21">
        <f>EXP(-LN(2)/25)*FR88+(1-EXP(-LN(2)/25))/(LN(2)/25)*Calculateur!FM89*Calculateur!FO89*VLOOKUP('Données projet'!$B$16,Paramètres!$A$1:$I$89,3,0)*0.475*44/12</f>
        <v>8.2048372041036881</v>
      </c>
      <c r="FS89" s="21">
        <f>EXP(-LN(2)/2)*FS88+(1-EXP(-LN(2)/2))/(LN(2)/2)*FM89*FP89*VLOOKUP('Données projet'!$B$16,Paramètres!$A$1:$I$89,3,0)*0.475*44/12</f>
        <v>1.3586838303146547E-7</v>
      </c>
      <c r="FT89" s="22">
        <f t="shared" si="78"/>
        <v>11.971987156572849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-5.6843418860808015E-13</v>
      </c>
      <c r="GA89" s="17">
        <f>FZ89*VLOOKUP('Données projet'!$B$17,Paramètres!$A$1:$I$89,3,0)*VLOOKUP('Données projet'!$B$17,Paramètres!$A$1:$I$89,5,0)</f>
        <v>-3.39923644787632E-13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495.6641415122013</v>
      </c>
      <c r="GF89" s="59">
        <f t="shared" si="104"/>
        <v>488.90534169400757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1.3189006546069522</v>
      </c>
      <c r="GM89" s="21">
        <f>EXP(-LN(2)/25)*GM88+(1-EXP(-LN(2)/25))/(LN(2)/25)*Calculateur!GH89*Calculateur!GJ89*VLOOKUP('Données projet'!$B$17,Paramètres!$A$1:$I$89,3,0)*0.475*44/12</f>
        <v>5.5049225890916826</v>
      </c>
      <c r="GN89" s="21">
        <f>EXP(-LN(2)/2)*GN88+(1-EXP(-LN(2)/2))/(LN(2)/2)*GH89*GK89*VLOOKUP('Données projet'!$B$17,Paramètres!$A$1:$I$89,3,0)*0.475*44/12</f>
        <v>1.2948860747147517E-7</v>
      </c>
      <c r="GO89" s="21">
        <f t="shared" si="81"/>
        <v>6.823823373187242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-5.6843418860808015E-13</v>
      </c>
      <c r="GV89" s="17">
        <f>GU89*VLOOKUP('Données projet'!$B$18,Paramètres!$A$1:$I$89,3,0)*VLOOKUP('Données projet'!$B$18,Paramètres!$A$1:$I$89,5,0)</f>
        <v>-3.39923644787632E-13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-18.333333333333343</v>
      </c>
      <c r="HA89" s="59">
        <f t="shared" si="106"/>
        <v>-18.333333333333343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1.3189006546069522</v>
      </c>
      <c r="HH89" s="21">
        <f>EXP(-LN(2)/25)*HH88+(1-EXP(-LN(2)/25))/(LN(2)/25)*Calculateur!HC89*Calculateur!HE89*VLOOKUP('Données projet'!$B$18,Paramètres!$A$1:$I$89,3,0)*0.475*44/12</f>
        <v>5.5049225890916826</v>
      </c>
      <c r="HI89" s="21">
        <f>EXP(-LN(2)/2)*HI88+(1-EXP(-LN(2)/2))/(LN(2)/2)*HC89*HF89*VLOOKUP('Données projet'!$B$18,Paramètres!$A$1:$I$89,3,0)*0.475*44/12</f>
        <v>1.2948860747147517E-7</v>
      </c>
      <c r="HJ89" s="22">
        <f t="shared" si="84"/>
        <v>6.823823373187242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572.09999999999991</v>
      </c>
      <c r="O90" s="13">
        <f>N90*VLOOKUP('Données projet'!$B$9,Paramètres!$A$1:$I$89,3,0)*VLOOKUP('Données projet'!$B$9,Paramètres!$A$1:$I$89,5,0)</f>
        <v>267.74279999999993</v>
      </c>
      <c r="P90" s="13">
        <f t="shared" si="87"/>
        <v>64.370000676259949</v>
      </c>
      <c r="Q90" s="20">
        <f t="shared" si="54"/>
        <v>578.42979451115264</v>
      </c>
      <c r="R90" s="59">
        <f t="shared" si="55"/>
        <v>851.76459708162747</v>
      </c>
      <c r="S90" s="59">
        <f ca="1">AVERAGE(OFFSET($R$3,0,0,'Données projet'!$E$9+1,1))-AVERAGE(OFFSET($H$3,0,0,'Données projet'!$E$9+1,1))</f>
        <v>376.11581547534814</v>
      </c>
      <c r="T90" s="59">
        <f t="shared" si="88"/>
        <v>300.91675649863294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1.0137496799913297</v>
      </c>
      <c r="AA90" s="21">
        <f>EXP(-LN(2)/25)*AA89+(1-EXP(-LN(2)/25))/(LN(2)/25)*Calculateur!V90*Calculateur!X90*VLOOKUP('Données projet'!$B$9,Paramètres!$A$1:$I$89,3,0)*0.475*44/12</f>
        <v>1.6174224696036104</v>
      </c>
      <c r="AB90" s="21">
        <f>EXP(-LN(2)/2)*AB89+(1-EXP(-LN(2)/2))/(LN(2)/2)*V90*Y90*VLOOKUP('Données projet'!$B$9,Paramètres!$A$1:$I$89,3,0)*0.475*44/12</f>
        <v>2.5899703290463154E-8</v>
      </c>
      <c r="AC90" s="22">
        <f t="shared" si="57"/>
        <v>2.6311721754946436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306.00335999999993</v>
      </c>
      <c r="AK90" s="13">
        <f t="shared" si="89"/>
        <v>72.433543369450447</v>
      </c>
      <c r="AL90" s="20">
        <f t="shared" si="58"/>
        <v>659.11094003512596</v>
      </c>
      <c r="AM90" s="59">
        <f t="shared" si="59"/>
        <v>932.4457426056008</v>
      </c>
      <c r="AN90" s="59">
        <f ca="1">AVERAGE(OFFSET($AM$3,0,0,'Données projet'!$E$10+1,1))-AVERAGE(OFFSET($H$3,0,0,'Données projet'!$E$10+1,1))</f>
        <v>505.38595282220405</v>
      </c>
      <c r="AO90" s="59">
        <f t="shared" si="90"/>
        <v>351.72130415456365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0.77894597008378463</v>
      </c>
      <c r="AV90" s="21">
        <f>EXP(-LN(2)/25)*AV89+(1-EXP(-LN(2)/25))/(LN(2)/25)*Calculateur!AQ90*Calculateur!AS90*VLOOKUP('Données projet'!$B$10,Paramètres!$A$1:$I$89,3,0)*0.475*44/12</f>
        <v>2.3231069710302803</v>
      </c>
      <c r="AW90" s="21">
        <f>EXP(-LN(2)/2)*AW89+(1-EXP(-LN(2)/2))/(LN(2)/2)*AQ90*AT90*VLOOKUP('Données projet'!$B$10,Paramètres!$A$1:$I$89,3,0)*0.475*44/12</f>
        <v>5.6775326245159712E-8</v>
      </c>
      <c r="AX90" s="21">
        <f t="shared" si="60"/>
        <v>3.1020529978893912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-4.0702161641092972E-13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394.14657090341535</v>
      </c>
      <c r="BJ90" s="59">
        <f t="shared" si="92"/>
        <v>424.06445894109982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1.0552781461189213</v>
      </c>
      <c r="BQ90" s="21">
        <f>EXP(-LN(2)/25)*BQ89+(1-EXP(-LN(2)/25))/(LN(2)/25)*Calculateur!BL90*Calculateur!BN90*VLOOKUP('Données projet'!$B$11,Paramètres!$A$1:$I$89,3,0)*0.475*44/12</f>
        <v>4.2249401205105066</v>
      </c>
      <c r="BR90" s="21">
        <f>EXP(-LN(2)/2)*BR89+(1-EXP(-LN(2)/2))/(LN(2)/2)*BL90*BO90*VLOOKUP('Données projet'!$B$11,Paramètres!$A$1:$I$89,3,0)*0.475*44/12</f>
        <v>6.3323095937447128E-8</v>
      </c>
      <c r="BS90" s="22">
        <f t="shared" si="63"/>
        <v>5.2802183299525236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5.6843418860808015E-13</v>
      </c>
      <c r="BZ90" s="13">
        <f>BY90*VLOOKUP('Données projet'!$B$12,Paramètres!$A$1:$I$89,3,0)*VLOOKUP('Données projet'!$B$12,Paramètres!$A$1:$I$89,5,0)</f>
        <v>3.1036506698001181E-13</v>
      </c>
      <c r="CA90" s="13">
        <f t="shared" si="93"/>
        <v>4.086682523110923E-12</v>
      </c>
      <c r="CB90" s="20">
        <f t="shared" si="64"/>
        <v>7.6581912194083782E-12</v>
      </c>
      <c r="CC90" s="59">
        <f t="shared" si="65"/>
        <v>273.33480257048251</v>
      </c>
      <c r="CD90" s="59">
        <f ca="1">AVERAGE(OFFSET($CC$3,0,0,'Données projet'!$E$12+1,1))-AVERAGE(OFFSET($H$3,0,0,'Données projet'!$E$12+1,1))</f>
        <v>382.09004346384319</v>
      </c>
      <c r="CE90" s="59">
        <f t="shared" si="94"/>
        <v>410.18893995284986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2.754732741034073</v>
      </c>
      <c r="CL90" s="21">
        <f>EXP(-LN(2)/25)*CL89+(1-EXP(-LN(2)/25))/(LN(2)/25)*Calculateur!CG90*Calculateur!CI90*VLOOKUP('Données projet'!$B$12,Paramètres!$A$1:$I$89,3,0)*0.475*44/12</f>
        <v>7.0082941727653418</v>
      </c>
      <c r="CM90" s="21">
        <f>EXP(-LN(2)/2)*CM89+(1-EXP(-LN(2)/2))/(LN(2)/2)*CG90*CJ90*VLOOKUP('Données projet'!$B$12,Paramètres!$A$1:$I$89,3,0)*0.475*44/12</f>
        <v>6.6334993662503106E-8</v>
      </c>
      <c r="CN90" s="22">
        <f t="shared" si="66"/>
        <v>9.7630269801344092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363.02374534486341</v>
      </c>
      <c r="CZ90" s="59">
        <f t="shared" si="96"/>
        <v>489.00477393029598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2.3636981161163129</v>
      </c>
      <c r="DG90" s="21">
        <f>EXP(-LN(2)/25)*DG89+(1-EXP(-LN(2)/25))/(LN(2)/25)*Calculateur!DB90*Calculateur!DD90*VLOOKUP('Données projet'!$B$13,Paramètres!$A$1:$I$89,3,0)*0.475*44/12</f>
        <v>3.9866805533535028</v>
      </c>
      <c r="DH90" s="21">
        <f>EXP(-LN(2)/2)*DH89+(1-EXP(-LN(2)/2))/(LN(2)/2)*DB90*DE90*VLOOKUP('Données projet'!$B$13,Paramètres!$A$1:$I$89,3,0)*0.475*44/12</f>
        <v>7.7220768882700796E-8</v>
      </c>
      <c r="DI90" s="22">
        <f t="shared" si="69"/>
        <v>6.3503787466905841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>
        <f>DO90*VLOOKUP('Données projet'!$B$14,Paramètres!$A$1:$I$89,3,0)*VLOOKUP('Données projet'!$B$14,Paramètres!$A$1:$I$89,5,0)</f>
        <v>-3.7509835237869992E-13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368.03281986807173</v>
      </c>
      <c r="DU90" s="59">
        <f t="shared" si="98"/>
        <v>395.83504504492248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0.78901854728314458</v>
      </c>
      <c r="EB90" s="21">
        <f>EXP(-LN(2)/25)*EB89+(1-EXP(-LN(2)/25))/(LN(2)/25)*Calculateur!DW90*Calculateur!DY90*VLOOKUP('Données projet'!$B$14,Paramètres!$A$1:$I$89,3,0)*0.475*44/12</f>
        <v>3.1589359909551393</v>
      </c>
      <c r="EC90" s="21">
        <f>EXP(-LN(2)/2)*EC89+(1-EXP(-LN(2)/2))/(LN(2)/2)*DW90*DZ90*VLOOKUP('Données projet'!$B$14,Paramètres!$A$1:$I$89,3,0)*0.475*44/12</f>
        <v>5.8356578609020159E-8</v>
      </c>
      <c r="ED90" s="22">
        <f t="shared" si="72"/>
        <v>3.9479545965948626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225.2264820414552</v>
      </c>
      <c r="EP90" s="59">
        <f t="shared" si="100"/>
        <v>249.91838548328681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0.715475737101405</v>
      </c>
      <c r="EW90" s="21">
        <f>EXP(-LN(2)/25)*EW89+(1-EXP(-LN(2)/25))/(LN(2)/25)*Calculateur!ER90*Calculateur!ET90*VLOOKUP('Données projet'!$B$15,Paramètres!$A$1:$I$89,3,0)*0.475*44/12</f>
        <v>1.7821663791634801</v>
      </c>
      <c r="EX90" s="21">
        <f>EXP(-LN(2)/2)*EX89+(1-EXP(-LN(2)/2))/(LN(2)/2)*ER90*EU90*VLOOKUP('Données projet'!$B$15,Paramètres!$A$1:$I$89,3,0)*0.475*44/12</f>
        <v>1.0656626788724846E-8</v>
      </c>
      <c r="EY90" s="22">
        <f t="shared" si="75"/>
        <v>2.4976421269215119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-1.2505552149377763E-12</v>
      </c>
      <c r="FF90" s="17">
        <f>FE90*VLOOKUP('Données projet'!$B$16,Paramètres!$A$1:$I$89,3,0)*VLOOKUP('Données projet'!$B$16,Paramètres!$A$1:$I$89,5,0)</f>
        <v>-6.9906036515021697E-13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549.85684198202534</v>
      </c>
      <c r="FK90" s="59">
        <f t="shared" si="102"/>
        <v>539.63748606275431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3.6932783064317425</v>
      </c>
      <c r="FR90" s="21">
        <f>EXP(-LN(2)/25)*FR89+(1-EXP(-LN(2)/25))/(LN(2)/25)*Calculateur!FM90*Calculateur!FO90*VLOOKUP('Données projet'!$B$16,Paramètres!$A$1:$I$89,3,0)*0.475*44/12</f>
        <v>7.9804754992838367</v>
      </c>
      <c r="FS90" s="21">
        <f>EXP(-LN(2)/2)*FS89+(1-EXP(-LN(2)/2))/(LN(2)/2)*FM90*FP90*VLOOKUP('Données projet'!$B$16,Paramètres!$A$1:$I$89,3,0)*0.475*44/12</f>
        <v>9.6073454990400482E-8</v>
      </c>
      <c r="FT90" s="22">
        <f t="shared" si="78"/>
        <v>11.673753901789034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-5.6843418860808015E-13</v>
      </c>
      <c r="GA90" s="17">
        <f>FZ90*VLOOKUP('Données projet'!$B$17,Paramètres!$A$1:$I$89,3,0)*VLOOKUP('Données projet'!$B$17,Paramètres!$A$1:$I$89,5,0)</f>
        <v>-3.39923644787632E-13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495.6641415122013</v>
      </c>
      <c r="GF90" s="59">
        <f t="shared" si="104"/>
        <v>488.90534169400757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1.2930378172200763</v>
      </c>
      <c r="GM90" s="21">
        <f>EXP(-LN(2)/25)*GM89+(1-EXP(-LN(2)/25))/(LN(2)/25)*Calculateur!GH90*Calculateur!GJ90*VLOOKUP('Données projet'!$B$17,Paramètres!$A$1:$I$89,3,0)*0.475*44/12</f>
        <v>5.3543901914016736</v>
      </c>
      <c r="GN90" s="21">
        <f>EXP(-LN(2)/2)*GN89+(1-EXP(-LN(2)/2))/(LN(2)/2)*GH90*GK90*VLOOKUP('Données projet'!$B$17,Paramètres!$A$1:$I$89,3,0)*0.475*44/12</f>
        <v>9.1562272429483136E-8</v>
      </c>
      <c r="GO90" s="21">
        <f t="shared" si="81"/>
        <v>6.6474281001840225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-5.6843418860808015E-13</v>
      </c>
      <c r="GV90" s="17">
        <f>GU90*VLOOKUP('Données projet'!$B$18,Paramètres!$A$1:$I$89,3,0)*VLOOKUP('Données projet'!$B$18,Paramètres!$A$1:$I$89,5,0)</f>
        <v>-3.39923644787632E-13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-18.333333333333343</v>
      </c>
      <c r="HA90" s="59">
        <f t="shared" si="106"/>
        <v>-18.333333333333343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1.2930378172200763</v>
      </c>
      <c r="HH90" s="21">
        <f>EXP(-LN(2)/25)*HH89+(1-EXP(-LN(2)/25))/(LN(2)/25)*Calculateur!HC90*Calculateur!HE90*VLOOKUP('Données projet'!$B$18,Paramètres!$A$1:$I$89,3,0)*0.475*44/12</f>
        <v>5.3543901914016736</v>
      </c>
      <c r="HI90" s="21">
        <f>EXP(-LN(2)/2)*HI89+(1-EXP(-LN(2)/2))/(LN(2)/2)*HC90*HF90*VLOOKUP('Données projet'!$B$18,Paramètres!$A$1:$I$89,3,0)*0.475*44/12</f>
        <v>9.1562272429483136E-8</v>
      </c>
      <c r="HJ90" s="22">
        <f t="shared" si="84"/>
        <v>6.6474281001840225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589.59999999999991</v>
      </c>
      <c r="O91" s="13">
        <f>N91*VLOOKUP('Données projet'!$B$9,Paramètres!$A$1:$I$89,3,0)*VLOOKUP('Données projet'!$B$9,Paramètres!$A$1:$I$89,5,0)</f>
        <v>275.93279999999999</v>
      </c>
      <c r="P91" s="13">
        <f t="shared" si="87"/>
        <v>66.106762012556132</v>
      </c>
      <c r="Q91" s="20">
        <f t="shared" si="54"/>
        <v>595.7189038385352</v>
      </c>
      <c r="R91" s="59">
        <f t="shared" si="55"/>
        <v>869.40063620772889</v>
      </c>
      <c r="S91" s="59">
        <f ca="1">AVERAGE(OFFSET($R$3,0,0,'Données projet'!$E$9+1,1))-AVERAGE(OFFSET($H$3,0,0,'Données projet'!$E$9+1,1))</f>
        <v>376.11581547534814</v>
      </c>
      <c r="T91" s="59">
        <f t="shared" si="88"/>
        <v>300.91675649863294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0.99387066709294991</v>
      </c>
      <c r="AA91" s="21">
        <f>EXP(-LN(2)/25)*AA90+(1-EXP(-LN(2)/25))/(LN(2)/25)*Calculateur!V91*Calculateur!X91*VLOOKUP('Données projet'!$B$9,Paramètres!$A$1:$I$89,3,0)*0.475*44/12</f>
        <v>1.5731939671157487</v>
      </c>
      <c r="AB91" s="21">
        <f>EXP(-LN(2)/2)*AB90+(1-EXP(-LN(2)/2))/(LN(2)/2)*V91*Y91*VLOOKUP('Données projet'!$B$9,Paramètres!$A$1:$I$89,3,0)*0.475*44/12</f>
        <v>1.8313855827406034E-8</v>
      </c>
      <c r="AC91" s="22">
        <f t="shared" si="57"/>
        <v>2.5670646525225544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311.97503999999992</v>
      </c>
      <c r="AK91" s="13">
        <f t="shared" si="89"/>
        <v>73.681144552074599</v>
      </c>
      <c r="AL91" s="20">
        <f t="shared" si="58"/>
        <v>671.68452142819649</v>
      </c>
      <c r="AM91" s="59">
        <f t="shared" si="59"/>
        <v>945.36625379739019</v>
      </c>
      <c r="AN91" s="59">
        <f ca="1">AVERAGE(OFFSET($AM$3,0,0,'Données projet'!$E$10+1,1))-AVERAGE(OFFSET($H$3,0,0,'Données projet'!$E$10+1,1))</f>
        <v>505.38595282220405</v>
      </c>
      <c r="AO91" s="59">
        <f t="shared" si="90"/>
        <v>351.72130415456365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0.76367131472057015</v>
      </c>
      <c r="AV91" s="21">
        <f>EXP(-LN(2)/25)*AV90+(1-EXP(-LN(2)/25))/(LN(2)/25)*Calculateur!AQ91*Calculateur!AS91*VLOOKUP('Données projet'!$B$10,Paramètres!$A$1:$I$89,3,0)*0.475*44/12</f>
        <v>2.2595814887405714</v>
      </c>
      <c r="AW91" s="21">
        <f>EXP(-LN(2)/2)*AW90+(1-EXP(-LN(2)/2))/(LN(2)/2)*AQ91*AT91*VLOOKUP('Données projet'!$B$10,Paramètres!$A$1:$I$89,3,0)*0.475*44/12</f>
        <v>4.0146218192031003E-8</v>
      </c>
      <c r="AX91" s="21">
        <f t="shared" si="60"/>
        <v>3.0232528436073598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-4.0702161641092972E-13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394.14657090341535</v>
      </c>
      <c r="BJ91" s="59">
        <f t="shared" si="92"/>
        <v>424.06445894109982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1.0345847853296426</v>
      </c>
      <c r="BQ91" s="21">
        <f>EXP(-LN(2)/25)*BQ90+(1-EXP(-LN(2)/25))/(LN(2)/25)*Calculateur!BL91*Calculateur!BN91*VLOOKUP('Données projet'!$B$11,Paramètres!$A$1:$I$89,3,0)*0.475*44/12</f>
        <v>4.1094089107352021</v>
      </c>
      <c r="BR91" s="21">
        <f>EXP(-LN(2)/2)*BR90+(1-EXP(-LN(2)/2))/(LN(2)/2)*BL91*BO91*VLOOKUP('Données projet'!$B$11,Paramètres!$A$1:$I$89,3,0)*0.475*44/12</f>
        <v>4.4776190543095183E-8</v>
      </c>
      <c r="BS91" s="22">
        <f t="shared" si="63"/>
        <v>5.1439937408410357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5.6843418860808015E-13</v>
      </c>
      <c r="BZ91" s="13">
        <f>BY91*VLOOKUP('Données projet'!$B$12,Paramètres!$A$1:$I$89,3,0)*VLOOKUP('Données projet'!$B$12,Paramètres!$A$1:$I$89,5,0)</f>
        <v>3.1036506698001181E-13</v>
      </c>
      <c r="CA91" s="13">
        <f t="shared" si="93"/>
        <v>4.086682523110923E-12</v>
      </c>
      <c r="CB91" s="20">
        <f t="shared" si="64"/>
        <v>7.6581912194083782E-12</v>
      </c>
      <c r="CC91" s="59">
        <f t="shared" si="65"/>
        <v>273.68173236920137</v>
      </c>
      <c r="CD91" s="59">
        <f ca="1">AVERAGE(OFFSET($CC$3,0,0,'Données projet'!$E$12+1,1))-AVERAGE(OFFSET($H$3,0,0,'Données projet'!$E$12+1,1))</f>
        <v>382.09004346384319</v>
      </c>
      <c r="CE91" s="59">
        <f t="shared" si="94"/>
        <v>410.18893995284986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2.7007141122034586</v>
      </c>
      <c r="CL91" s="21">
        <f>EXP(-LN(2)/25)*CL90+(1-EXP(-LN(2)/25))/(LN(2)/25)*Calculateur!CG91*Calculateur!CI91*VLOOKUP('Données projet'!$B$12,Paramètres!$A$1:$I$89,3,0)*0.475*44/12</f>
        <v>6.816652000060901</v>
      </c>
      <c r="CM91" s="21">
        <f>EXP(-LN(2)/2)*CM90+(1-EXP(-LN(2)/2))/(LN(2)/2)*CG91*CJ91*VLOOKUP('Données projet'!$B$12,Paramètres!$A$1:$I$89,3,0)*0.475*44/12</f>
        <v>4.6905923848722601E-8</v>
      </c>
      <c r="CN91" s="22">
        <f t="shared" si="66"/>
        <v>9.5173661591702832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363.02374534486341</v>
      </c>
      <c r="CZ91" s="59">
        <f t="shared" si="96"/>
        <v>489.00477393029598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2.3173474377727654</v>
      </c>
      <c r="DG91" s="21">
        <f>EXP(-LN(2)/25)*DG90+(1-EXP(-LN(2)/25))/(LN(2)/25)*Calculateur!DB91*Calculateur!DD91*VLOOKUP('Données projet'!$B$13,Paramètres!$A$1:$I$89,3,0)*0.475*44/12</f>
        <v>3.8776645639716327</v>
      </c>
      <c r="DH91" s="21">
        <f>EXP(-LN(2)/2)*DH90+(1-EXP(-LN(2)/2))/(LN(2)/2)*DB91*DE91*VLOOKUP('Données projet'!$B$13,Paramètres!$A$1:$I$89,3,0)*0.475*44/12</f>
        <v>5.460332932539687E-8</v>
      </c>
      <c r="DI91" s="22">
        <f t="shared" si="69"/>
        <v>6.1950120563477276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>
        <f>DO91*VLOOKUP('Données projet'!$B$14,Paramètres!$A$1:$I$89,3,0)*VLOOKUP('Données projet'!$B$14,Paramètres!$A$1:$I$89,5,0)</f>
        <v>-3.7509835237869992E-13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368.03281986807173</v>
      </c>
      <c r="DU91" s="59">
        <f t="shared" si="98"/>
        <v>395.83504504492248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0.77354637482471611</v>
      </c>
      <c r="EB91" s="21">
        <f>EXP(-LN(2)/25)*EB90+(1-EXP(-LN(2)/25))/(LN(2)/25)*Calculateur!DW91*Calculateur!DY91*VLOOKUP('Données projet'!$B$14,Paramètres!$A$1:$I$89,3,0)*0.475*44/12</f>
        <v>3.0725547201612473</v>
      </c>
      <c r="EC91" s="21">
        <f>EXP(-LN(2)/2)*EC90+(1-EXP(-LN(2)/2))/(LN(2)/2)*DW91*DZ91*VLOOKUP('Données projet'!$B$14,Paramètres!$A$1:$I$89,3,0)*0.475*44/12</f>
        <v>4.1264332461283983E-8</v>
      </c>
      <c r="ED91" s="22">
        <f t="shared" si="72"/>
        <v>3.8461011362502959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225.2264820414552</v>
      </c>
      <c r="EP91" s="59">
        <f t="shared" si="100"/>
        <v>249.91838548328681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0.70144569429395542</v>
      </c>
      <c r="EW91" s="21">
        <f>EXP(-LN(2)/25)*EW90+(1-EXP(-LN(2)/25))/(LN(2)/25)*Calculateur!ER91*Calculateur!ET91*VLOOKUP('Données projet'!$B$15,Paramètres!$A$1:$I$89,3,0)*0.475*44/12</f>
        <v>1.733432945805198</v>
      </c>
      <c r="EX91" s="21">
        <f>EXP(-LN(2)/2)*EX90+(1-EXP(-LN(2)/2))/(LN(2)/2)*ER91*EU91*VLOOKUP('Données projet'!$B$15,Paramètres!$A$1:$I$89,3,0)*0.475*44/12</f>
        <v>7.5353730668815601E-9</v>
      </c>
      <c r="EY91" s="22">
        <f t="shared" si="75"/>
        <v>2.4348786476345268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-1.2505552149377763E-12</v>
      </c>
      <c r="FF91" s="17">
        <f>FE91*VLOOKUP('Données projet'!$B$16,Paramètres!$A$1:$I$89,3,0)*VLOOKUP('Données projet'!$B$16,Paramètres!$A$1:$I$89,5,0)</f>
        <v>-6.9906036515021697E-13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549.85684198202534</v>
      </c>
      <c r="FK91" s="59">
        <f t="shared" si="102"/>
        <v>539.63748606275431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3.6208553715199496</v>
      </c>
      <c r="FR91" s="21">
        <f>EXP(-LN(2)/25)*FR90+(1-EXP(-LN(2)/25))/(LN(2)/25)*Calculateur!FM91*Calculateur!FO91*VLOOKUP('Données projet'!$B$16,Paramètres!$A$1:$I$89,3,0)*0.475*44/12</f>
        <v>7.7622489770809535</v>
      </c>
      <c r="FS91" s="21">
        <f>EXP(-LN(2)/2)*FS90+(1-EXP(-LN(2)/2))/(LN(2)/2)*FM91*FP91*VLOOKUP('Données projet'!$B$16,Paramètres!$A$1:$I$89,3,0)*0.475*44/12</f>
        <v>6.7934191515732735E-8</v>
      </c>
      <c r="FT91" s="22">
        <f t="shared" si="78"/>
        <v>11.383104416535094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-5.6843418860808015E-13</v>
      </c>
      <c r="GA91" s="17">
        <f>FZ91*VLOOKUP('Données projet'!$B$17,Paramètres!$A$1:$I$89,3,0)*VLOOKUP('Données projet'!$B$17,Paramètres!$A$1:$I$89,5,0)</f>
        <v>-3.39923644787632E-13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495.6641415122013</v>
      </c>
      <c r="GF91" s="59">
        <f t="shared" si="104"/>
        <v>488.90534169400757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1.2676821342995839</v>
      </c>
      <c r="GM91" s="21">
        <f>EXP(-LN(2)/25)*GM90+(1-EXP(-LN(2)/25))/(LN(2)/25)*Calculateur!GH91*Calculateur!GJ91*VLOOKUP('Données projet'!$B$17,Paramètres!$A$1:$I$89,3,0)*0.475*44/12</f>
        <v>5.2079741100426524</v>
      </c>
      <c r="GN91" s="21">
        <f>EXP(-LN(2)/2)*GN90+(1-EXP(-LN(2)/2))/(LN(2)/2)*GH91*GK91*VLOOKUP('Données projet'!$B$17,Paramètres!$A$1:$I$89,3,0)*0.475*44/12</f>
        <v>6.4744303735737584E-8</v>
      </c>
      <c r="GO91" s="21">
        <f t="shared" si="81"/>
        <v>6.4756563090865402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-5.6843418860808015E-13</v>
      </c>
      <c r="GV91" s="17">
        <f>GU91*VLOOKUP('Données projet'!$B$18,Paramètres!$A$1:$I$89,3,0)*VLOOKUP('Données projet'!$B$18,Paramètres!$A$1:$I$89,5,0)</f>
        <v>-3.39923644787632E-13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-18.333333333333343</v>
      </c>
      <c r="HA91" s="59">
        <f t="shared" si="106"/>
        <v>-18.333333333333343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1.2676821342995839</v>
      </c>
      <c r="HH91" s="21">
        <f>EXP(-LN(2)/25)*HH90+(1-EXP(-LN(2)/25))/(LN(2)/25)*Calculateur!HC91*Calculateur!HE91*VLOOKUP('Données projet'!$B$18,Paramètres!$A$1:$I$89,3,0)*0.475*44/12</f>
        <v>5.2079741100426524</v>
      </c>
      <c r="HI91" s="21">
        <f>EXP(-LN(2)/2)*HI90+(1-EXP(-LN(2)/2))/(LN(2)/2)*HC91*HF91*VLOOKUP('Données projet'!$B$18,Paramètres!$A$1:$I$89,3,0)*0.475*44/12</f>
        <v>6.4744303735737584E-8</v>
      </c>
      <c r="HJ91" s="22">
        <f t="shared" si="84"/>
        <v>6.4756563090865402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607.09999999999991</v>
      </c>
      <c r="O92" s="13">
        <f>N92*VLOOKUP('Données projet'!$B$9,Paramètres!$A$1:$I$89,3,0)*VLOOKUP('Données projet'!$B$9,Paramètres!$A$1:$I$89,5,0)</f>
        <v>284.12279999999993</v>
      </c>
      <c r="P92" s="13">
        <f t="shared" si="87"/>
        <v>67.837532462585557</v>
      </c>
      <c r="Q92" s="20">
        <f t="shared" si="54"/>
        <v>612.99757903900297</v>
      </c>
      <c r="R92" s="59">
        <f t="shared" si="55"/>
        <v>887.0202227505265</v>
      </c>
      <c r="S92" s="59">
        <f ca="1">AVERAGE(OFFSET($R$3,0,0,'Données projet'!$E$9+1,1))-AVERAGE(OFFSET($H$3,0,0,'Données projet'!$E$9+1,1))</f>
        <v>376.11581547534814</v>
      </c>
      <c r="T92" s="59">
        <f t="shared" si="88"/>
        <v>300.91675649863294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0.9743814695125067</v>
      </c>
      <c r="AA92" s="21">
        <f>EXP(-LN(2)/25)*AA91+(1-EXP(-LN(2)/25))/(LN(2)/25)*Calculateur!V92*Calculateur!X92*VLOOKUP('Données projet'!$B$9,Paramètres!$A$1:$I$89,3,0)*0.475*44/12</f>
        <v>1.5301748953542933</v>
      </c>
      <c r="AB92" s="21">
        <f>EXP(-LN(2)/2)*AB91+(1-EXP(-LN(2)/2))/(LN(2)/2)*V92*Y92*VLOOKUP('Données projet'!$B$9,Paramètres!$A$1:$I$89,3,0)*0.475*44/12</f>
        <v>1.2949851645231577E-8</v>
      </c>
      <c r="AC92" s="22">
        <f t="shared" si="57"/>
        <v>2.5045563778166517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317.94671999999997</v>
      </c>
      <c r="AK92" s="13">
        <f t="shared" si="89"/>
        <v>74.925968901822259</v>
      </c>
      <c r="AL92" s="20">
        <f t="shared" si="58"/>
        <v>684.253266504007</v>
      </c>
      <c r="AM92" s="59">
        <f t="shared" si="59"/>
        <v>958.27591021553053</v>
      </c>
      <c r="AN92" s="59">
        <f ca="1">AVERAGE(OFFSET($AM$3,0,0,'Données projet'!$E$10+1,1))-AVERAGE(OFFSET($H$3,0,0,'Données projet'!$E$10+1,1))</f>
        <v>505.38595282220405</v>
      </c>
      <c r="AO92" s="59">
        <f t="shared" si="90"/>
        <v>351.72130415456365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0.74869618603240851</v>
      </c>
      <c r="AV92" s="21">
        <f>EXP(-LN(2)/25)*AV91+(1-EXP(-LN(2)/25))/(LN(2)/25)*Calculateur!AQ92*Calculateur!AS92*VLOOKUP('Données projet'!$B$10,Paramètres!$A$1:$I$89,3,0)*0.475*44/12</f>
        <v>2.1977931141047344</v>
      </c>
      <c r="AW92" s="21">
        <f>EXP(-LN(2)/2)*AW91+(1-EXP(-LN(2)/2))/(LN(2)/2)*AQ92*AT92*VLOOKUP('Données projet'!$B$10,Paramètres!$A$1:$I$89,3,0)*0.475*44/12</f>
        <v>2.8387663122579863E-8</v>
      </c>
      <c r="AX92" s="21">
        <f t="shared" si="60"/>
        <v>2.9464893285248062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-4.0702161641092972E-13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394.14657090341535</v>
      </c>
      <c r="BJ92" s="59">
        <f t="shared" si="92"/>
        <v>424.06445894109982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1.0142972087237379</v>
      </c>
      <c r="BQ92" s="21">
        <f>EXP(-LN(2)/25)*BQ91+(1-EXP(-LN(2)/25))/(LN(2)/25)*Calculateur!BL92*Calculateur!BN92*VLOOKUP('Données projet'!$B$11,Paramètres!$A$1:$I$89,3,0)*0.475*44/12</f>
        <v>3.9970369079667254</v>
      </c>
      <c r="BR92" s="21">
        <f>EXP(-LN(2)/2)*BR91+(1-EXP(-LN(2)/2))/(LN(2)/2)*BL92*BO92*VLOOKUP('Données projet'!$B$11,Paramètres!$A$1:$I$89,3,0)*0.475*44/12</f>
        <v>3.1661547968723564E-8</v>
      </c>
      <c r="BS92" s="22">
        <f t="shared" si="63"/>
        <v>5.0113341483520113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5.6843418860808015E-13</v>
      </c>
      <c r="BZ92" s="13">
        <f>BY92*VLOOKUP('Données projet'!$B$12,Paramètres!$A$1:$I$89,3,0)*VLOOKUP('Données projet'!$B$12,Paramètres!$A$1:$I$89,5,0)</f>
        <v>3.1036506698001181E-13</v>
      </c>
      <c r="CA92" s="13">
        <f t="shared" si="93"/>
        <v>4.086682523110923E-12</v>
      </c>
      <c r="CB92" s="20">
        <f t="shared" si="64"/>
        <v>7.6581912194083782E-12</v>
      </c>
      <c r="CC92" s="59">
        <f t="shared" si="65"/>
        <v>274.02264371153126</v>
      </c>
      <c r="CD92" s="59">
        <f ca="1">AVERAGE(OFFSET($CC$3,0,0,'Données projet'!$E$12+1,1))-AVERAGE(OFFSET($H$3,0,0,'Données projet'!$E$12+1,1))</f>
        <v>382.09004346384319</v>
      </c>
      <c r="CE92" s="59">
        <f t="shared" si="94"/>
        <v>410.18893995284986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2.6477547557361025</v>
      </c>
      <c r="CL92" s="21">
        <f>EXP(-LN(2)/25)*CL91+(1-EXP(-LN(2)/25))/(LN(2)/25)*Calculateur!CG92*Calculateur!CI92*VLOOKUP('Données projet'!$B$12,Paramètres!$A$1:$I$89,3,0)*0.475*44/12</f>
        <v>6.6302502926470863</v>
      </c>
      <c r="CM92" s="21">
        <f>EXP(-LN(2)/2)*CM91+(1-EXP(-LN(2)/2))/(LN(2)/2)*CG92*CJ92*VLOOKUP('Données projet'!$B$12,Paramètres!$A$1:$I$89,3,0)*0.475*44/12</f>
        <v>3.3167496831251553E-8</v>
      </c>
      <c r="CN92" s="22">
        <f t="shared" si="66"/>
        <v>9.2780050815506865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363.02374534486341</v>
      </c>
      <c r="CZ92" s="59">
        <f t="shared" si="96"/>
        <v>489.00477393029598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2.2719056679604126</v>
      </c>
      <c r="DG92" s="21">
        <f>EXP(-LN(2)/25)*DG91+(1-EXP(-LN(2)/25))/(LN(2)/25)*Calculateur!DB92*Calculateur!DD92*VLOOKUP('Données projet'!$B$13,Paramètres!$A$1:$I$89,3,0)*0.475*44/12</f>
        <v>3.7716296225523114</v>
      </c>
      <c r="DH92" s="21">
        <f>EXP(-LN(2)/2)*DH91+(1-EXP(-LN(2)/2))/(LN(2)/2)*DB92*DE92*VLOOKUP('Données projet'!$B$13,Paramètres!$A$1:$I$89,3,0)*0.475*44/12</f>
        <v>3.8610384441350398E-8</v>
      </c>
      <c r="DI92" s="22">
        <f t="shared" si="69"/>
        <v>6.0435353291231078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>
        <f>DO92*VLOOKUP('Données projet'!$B$14,Paramètres!$A$1:$I$89,3,0)*VLOOKUP('Données projet'!$B$14,Paramètres!$A$1:$I$89,5,0)</f>
        <v>-3.7509835237869992E-13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368.03281986807173</v>
      </c>
      <c r="DU92" s="59">
        <f t="shared" si="98"/>
        <v>395.83504504492248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0.75837760223110406</v>
      </c>
      <c r="EB92" s="21">
        <f>EXP(-LN(2)/25)*EB91+(1-EXP(-LN(2)/25))/(LN(2)/25)*Calculateur!DW92*Calculateur!DY92*VLOOKUP('Données projet'!$B$14,Paramètres!$A$1:$I$89,3,0)*0.475*44/12</f>
        <v>2.9885355497598076</v>
      </c>
      <c r="EC92" s="21">
        <f>EXP(-LN(2)/2)*EC91+(1-EXP(-LN(2)/2))/(LN(2)/2)*DW92*DZ92*VLOOKUP('Données projet'!$B$14,Paramètres!$A$1:$I$89,3,0)*0.475*44/12</f>
        <v>2.9178289304510086E-8</v>
      </c>
      <c r="ED92" s="22">
        <f t="shared" si="72"/>
        <v>3.7469131811692007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225.2264820414552</v>
      </c>
      <c r="EP92" s="59">
        <f t="shared" si="100"/>
        <v>249.91838548328681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0.68769077206847884</v>
      </c>
      <c r="EW92" s="21">
        <f>EXP(-LN(2)/25)*EW91+(1-EXP(-LN(2)/25))/(LN(2)/25)*Calculateur!ER92*Calculateur!ET92*VLOOKUP('Données projet'!$B$15,Paramètres!$A$1:$I$89,3,0)*0.475*44/12</f>
        <v>1.686032130744878</v>
      </c>
      <c r="EX92" s="21">
        <f>EXP(-LN(2)/2)*EX91+(1-EXP(-LN(2)/2))/(LN(2)/2)*ER92*EU92*VLOOKUP('Données projet'!$B$15,Paramètres!$A$1:$I$89,3,0)*0.475*44/12</f>
        <v>5.3283133943624229E-9</v>
      </c>
      <c r="EY92" s="22">
        <f t="shared" si="75"/>
        <v>2.3737229081416702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-1.2505552149377763E-12</v>
      </c>
      <c r="FF92" s="17">
        <f>FE92*VLOOKUP('Données projet'!$B$16,Paramètres!$A$1:$I$89,3,0)*VLOOKUP('Données projet'!$B$16,Paramètres!$A$1:$I$89,5,0)</f>
        <v>-6.9906036515021697E-13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549.85684198202534</v>
      </c>
      <c r="FK92" s="59">
        <f t="shared" si="102"/>
        <v>539.63748606275431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3.5498526061881486</v>
      </c>
      <c r="FR92" s="21">
        <f>EXP(-LN(2)/25)*FR91+(1-EXP(-LN(2)/25))/(LN(2)/25)*Calculateur!FM92*Calculateur!FO92*VLOOKUP('Données projet'!$B$16,Paramètres!$A$1:$I$89,3,0)*0.475*44/12</f>
        <v>7.549989870603742</v>
      </c>
      <c r="FS92" s="21">
        <f>EXP(-LN(2)/2)*FS91+(1-EXP(-LN(2)/2))/(LN(2)/2)*FM92*FP92*VLOOKUP('Données projet'!$B$16,Paramètres!$A$1:$I$89,3,0)*0.475*44/12</f>
        <v>4.8036727495200241E-8</v>
      </c>
      <c r="FT92" s="22">
        <f t="shared" si="78"/>
        <v>11.099842524828619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-5.6843418860808015E-13</v>
      </c>
      <c r="GA92" s="17">
        <f>FZ92*VLOOKUP('Données projet'!$B$17,Paramètres!$A$1:$I$89,3,0)*VLOOKUP('Données projet'!$B$17,Paramètres!$A$1:$I$89,5,0)</f>
        <v>-3.39923644787632E-13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495.6641415122013</v>
      </c>
      <c r="GF92" s="59">
        <f t="shared" si="104"/>
        <v>488.90534169400757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1.2428236608557228</v>
      </c>
      <c r="GM92" s="21">
        <f>EXP(-LN(2)/25)*GM91+(1-EXP(-LN(2)/25))/(LN(2)/25)*Calculateur!GH92*Calculateur!GJ92*VLOOKUP('Données projet'!$B$17,Paramètres!$A$1:$I$89,3,0)*0.475*44/12</f>
        <v>5.0655617841280804</v>
      </c>
      <c r="GN92" s="21">
        <f>EXP(-LN(2)/2)*GN91+(1-EXP(-LN(2)/2))/(LN(2)/2)*GH92*GK92*VLOOKUP('Données projet'!$B$17,Paramètres!$A$1:$I$89,3,0)*0.475*44/12</f>
        <v>4.5781136214741568E-8</v>
      </c>
      <c r="GO92" s="21">
        <f t="shared" si="81"/>
        <v>6.3083854907649393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-5.6843418860808015E-13</v>
      </c>
      <c r="GV92" s="17">
        <f>GU92*VLOOKUP('Données projet'!$B$18,Paramètres!$A$1:$I$89,3,0)*VLOOKUP('Données projet'!$B$18,Paramètres!$A$1:$I$89,5,0)</f>
        <v>-3.39923644787632E-13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-18.333333333333343</v>
      </c>
      <c r="HA92" s="59">
        <f t="shared" si="106"/>
        <v>-18.333333333333343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1.2428236608557228</v>
      </c>
      <c r="HH92" s="21">
        <f>EXP(-LN(2)/25)*HH91+(1-EXP(-LN(2)/25))/(LN(2)/25)*Calculateur!HC92*Calculateur!HE92*VLOOKUP('Données projet'!$B$18,Paramètres!$A$1:$I$89,3,0)*0.475*44/12</f>
        <v>5.0655617841280804</v>
      </c>
      <c r="HI92" s="21">
        <f>EXP(-LN(2)/2)*HI91+(1-EXP(-LN(2)/2))/(LN(2)/2)*HC92*HF92*VLOOKUP('Données projet'!$B$18,Paramètres!$A$1:$I$89,3,0)*0.475*44/12</f>
        <v>4.5781136214741568E-8</v>
      </c>
      <c r="HJ92" s="22">
        <f t="shared" si="84"/>
        <v>6.3083854907649393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624.6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624.59999999999991</v>
      </c>
      <c r="O93" s="13">
        <f>N93*VLOOKUP('Données projet'!$B$9,Paramètres!$A$1:$I$89,3,0)*VLOOKUP('Données projet'!$B$9,Paramètres!$A$1:$I$89,5,0)</f>
        <v>292.31279999999998</v>
      </c>
      <c r="P93" s="13">
        <f t="shared" si="87"/>
        <v>69.562504549179678</v>
      </c>
      <c r="Q93" s="20">
        <f t="shared" si="54"/>
        <v>630.26615542315449</v>
      </c>
      <c r="R93" s="59">
        <f t="shared" si="55"/>
        <v>904.6237964273821</v>
      </c>
      <c r="S93" s="59">
        <f ca="1">AVERAGE(OFFSET($R$3,0,0,'Données projet'!$E$9+1,1))-AVERAGE(OFFSET($H$3,0,0,'Données projet'!$E$9+1,1))</f>
        <v>376.11581547534814</v>
      </c>
      <c r="T93" s="59">
        <f t="shared" si="88"/>
        <v>300.91675649863294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83.4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0.95527444320937926</v>
      </c>
      <c r="AA93" s="21">
        <f>EXP(-LN(2)/25)*AA92+(1-EXP(-LN(2)/25))/(LN(2)/25)*Calculateur!V93*Calculateur!X93*VLOOKUP('Données projet'!$B$9,Paramètres!$A$1:$I$89,3,0)*0.475*44/12</f>
        <v>1.4883321823724296</v>
      </c>
      <c r="AB93" s="21">
        <f>EXP(-LN(2)/2)*AB92+(1-EXP(-LN(2)/2))/(LN(2)/2)*V93*Y93*VLOOKUP('Données projet'!$B$9,Paramètres!$A$1:$I$89,3,0)*0.475*44/12</f>
        <v>9.1569279137030168E-9</v>
      </c>
      <c r="AC93" s="22">
        <f t="shared" si="57"/>
        <v>2.4436066347387371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323.91839999999996</v>
      </c>
      <c r="AK93" s="13">
        <f t="shared" si="89"/>
        <v>76.168074587293091</v>
      </c>
      <c r="AL93" s="20">
        <f t="shared" si="58"/>
        <v>696.81727657286876</v>
      </c>
      <c r="AM93" s="59">
        <f t="shared" si="59"/>
        <v>971.17491757709649</v>
      </c>
      <c r="AN93" s="59">
        <f ca="1">AVERAGE(OFFSET($AM$3,0,0,'Données projet'!$E$10+1,1))-AVERAGE(OFFSET($H$3,0,0,'Données projet'!$E$10+1,1))</f>
        <v>505.38595282220405</v>
      </c>
      <c r="AO93" s="59">
        <f t="shared" si="90"/>
        <v>351.72130415456365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0.73401471048389511</v>
      </c>
      <c r="AV93" s="21">
        <f>EXP(-LN(2)/25)*AV92+(1-EXP(-LN(2)/25))/(LN(2)/25)*Calculateur!AQ93*Calculateur!AS93*VLOOKUP('Données projet'!$B$10,Paramètres!$A$1:$I$89,3,0)*0.475*44/12</f>
        <v>2.1376943458226236</v>
      </c>
      <c r="AW93" s="21">
        <f>EXP(-LN(2)/2)*AW92+(1-EXP(-LN(2)/2))/(LN(2)/2)*AQ93*AT93*VLOOKUP('Données projet'!$B$10,Paramètres!$A$1:$I$89,3,0)*0.475*44/12</f>
        <v>2.0073109096015505E-8</v>
      </c>
      <c r="AX93" s="21">
        <f t="shared" si="60"/>
        <v>2.8717090763796276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-4.0702161641092972E-13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394.14657090341535</v>
      </c>
      <c r="BJ93" s="59">
        <f t="shared" si="92"/>
        <v>424.06445894109982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0.99440745912087503</v>
      </c>
      <c r="BQ93" s="21">
        <f>EXP(-LN(2)/25)*BQ92+(1-EXP(-LN(2)/25))/(LN(2)/25)*Calculateur!BL93*Calculateur!BN93*VLOOKUP('Données projet'!$B$11,Paramètres!$A$1:$I$89,3,0)*0.475*44/12</f>
        <v>3.8877377235233395</v>
      </c>
      <c r="BR93" s="21">
        <f>EXP(-LN(2)/2)*BR92+(1-EXP(-LN(2)/2))/(LN(2)/2)*BL93*BO93*VLOOKUP('Données projet'!$B$11,Paramètres!$A$1:$I$89,3,0)*0.475*44/12</f>
        <v>2.2388095271547592E-8</v>
      </c>
      <c r="BS93" s="22">
        <f t="shared" si="63"/>
        <v>4.8821452050323098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5.6843418860808015E-13</v>
      </c>
      <c r="BZ93" s="13">
        <f>BY93*VLOOKUP('Données projet'!$B$12,Paramètres!$A$1:$I$89,3,0)*VLOOKUP('Données projet'!$B$12,Paramètres!$A$1:$I$89,5,0)</f>
        <v>3.1036506698001181E-13</v>
      </c>
      <c r="CA93" s="13">
        <f t="shared" si="93"/>
        <v>4.086682523110923E-12</v>
      </c>
      <c r="CB93" s="20">
        <f t="shared" si="64"/>
        <v>7.6581912194083782E-12</v>
      </c>
      <c r="CC93" s="59">
        <f t="shared" si="65"/>
        <v>274.35764100423535</v>
      </c>
      <c r="CD93" s="59">
        <f ca="1">AVERAGE(OFFSET($CC$3,0,0,'Données projet'!$E$12+1,1))-AVERAGE(OFFSET($H$3,0,0,'Données projet'!$E$12+1,1))</f>
        <v>382.09004346384319</v>
      </c>
      <c r="CE93" s="59">
        <f t="shared" si="94"/>
        <v>410.18893995284986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2.5958338999470536</v>
      </c>
      <c r="CL93" s="21">
        <f>EXP(-LN(2)/25)*CL92+(1-EXP(-LN(2)/25))/(LN(2)/25)*Calculateur!CG93*Calculateur!CI93*VLOOKUP('Données projet'!$B$12,Paramètres!$A$1:$I$89,3,0)*0.475*44/12</f>
        <v>6.4489457497249427</v>
      </c>
      <c r="CM93" s="21">
        <f>EXP(-LN(2)/2)*CM92+(1-EXP(-LN(2)/2))/(LN(2)/2)*CG93*CJ93*VLOOKUP('Données projet'!$B$12,Paramètres!$A$1:$I$89,3,0)*0.475*44/12</f>
        <v>2.3452961924361301E-8</v>
      </c>
      <c r="CN93" s="22">
        <f t="shared" si="66"/>
        <v>9.0447796731249586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363.02374534486341</v>
      </c>
      <c r="CZ93" s="59">
        <f t="shared" si="96"/>
        <v>489.00477393029598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2.2273549835373374</v>
      </c>
      <c r="DG93" s="21">
        <f>EXP(-LN(2)/25)*DG92+(1-EXP(-LN(2)/25))/(LN(2)/25)*Calculateur!DB93*Calculateur!DD93*VLOOKUP('Données projet'!$B$13,Paramètres!$A$1:$I$89,3,0)*0.475*44/12</f>
        <v>3.6684942121822366</v>
      </c>
      <c r="DH93" s="21">
        <f>EXP(-LN(2)/2)*DH92+(1-EXP(-LN(2)/2))/(LN(2)/2)*DB93*DE93*VLOOKUP('Données projet'!$B$13,Paramètres!$A$1:$I$89,3,0)*0.475*44/12</f>
        <v>2.7301664662698435E-8</v>
      </c>
      <c r="DI93" s="22">
        <f t="shared" si="69"/>
        <v>5.8958492230212389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>
        <f>DO93*VLOOKUP('Données projet'!$B$14,Paramètres!$A$1:$I$89,3,0)*VLOOKUP('Données projet'!$B$14,Paramètres!$A$1:$I$89,5,0)</f>
        <v>-3.7509835237869992E-13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368.03281986807173</v>
      </c>
      <c r="DU93" s="59">
        <f t="shared" si="98"/>
        <v>395.83504504492248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0.74350628001601504</v>
      </c>
      <c r="EB93" s="21">
        <f>EXP(-LN(2)/25)*EB92+(1-EXP(-LN(2)/25))/(LN(2)/25)*Calculateur!DW93*Calculateur!DY93*VLOOKUP('Données projet'!$B$14,Paramètres!$A$1:$I$89,3,0)*0.475*44/12</f>
        <v>2.9068138879913716</v>
      </c>
      <c r="EC93" s="21">
        <f>EXP(-LN(2)/2)*EC92+(1-EXP(-LN(2)/2))/(LN(2)/2)*DW93*DZ93*VLOOKUP('Données projet'!$B$14,Paramètres!$A$1:$I$89,3,0)*0.475*44/12</f>
        <v>2.0632166230641995E-8</v>
      </c>
      <c r="ED93" s="22">
        <f t="shared" si="72"/>
        <v>3.6503201886395527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225.2264820414552</v>
      </c>
      <c r="EP93" s="59">
        <f t="shared" si="100"/>
        <v>249.91838548328681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0.67420557547816973</v>
      </c>
      <c r="EW93" s="21">
        <f>EXP(-LN(2)/25)*EW92+(1-EXP(-LN(2)/25))/(LN(2)/25)*Calculateur!ER93*Calculateur!ET93*VLOOKUP('Données projet'!$B$15,Paramètres!$A$1:$I$89,3,0)*0.475*44/12</f>
        <v>1.6399274934650832</v>
      </c>
      <c r="EX93" s="21">
        <f>EXP(-LN(2)/2)*EX92+(1-EXP(-LN(2)/2))/(LN(2)/2)*ER93*EU93*VLOOKUP('Données projet'!$B$15,Paramètres!$A$1:$I$89,3,0)*0.475*44/12</f>
        <v>3.7676865334407801E-9</v>
      </c>
      <c r="EY93" s="22">
        <f t="shared" si="75"/>
        <v>2.3141330727109395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-1.2505552149377763E-12</v>
      </c>
      <c r="FF93" s="17">
        <f>FE93*VLOOKUP('Données projet'!$B$16,Paramètres!$A$1:$I$89,3,0)*VLOOKUP('Données projet'!$B$16,Paramètres!$A$1:$I$89,5,0)</f>
        <v>-6.9906036515021697E-13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549.85684198202534</v>
      </c>
      <c r="FK93" s="59">
        <f t="shared" si="102"/>
        <v>539.63748606275431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3.4802421617770936</v>
      </c>
      <c r="FR93" s="21">
        <f>EXP(-LN(2)/25)*FR92+(1-EXP(-LN(2)/25))/(LN(2)/25)*Calculateur!FM93*Calculateur!FO93*VLOOKUP('Données projet'!$B$16,Paramètres!$A$1:$I$89,3,0)*0.475*44/12</f>
        <v>7.343535000555371</v>
      </c>
      <c r="FS93" s="21">
        <f>EXP(-LN(2)/2)*FS92+(1-EXP(-LN(2)/2))/(LN(2)/2)*FM93*FP93*VLOOKUP('Données projet'!$B$16,Paramètres!$A$1:$I$89,3,0)*0.475*44/12</f>
        <v>3.3967095757866367E-8</v>
      </c>
      <c r="FT93" s="22">
        <f t="shared" si="78"/>
        <v>10.823777196299561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-5.6843418860808015E-13</v>
      </c>
      <c r="GA93" s="17">
        <f>FZ93*VLOOKUP('Données projet'!$B$17,Paramètres!$A$1:$I$89,3,0)*VLOOKUP('Données projet'!$B$17,Paramètres!$A$1:$I$89,5,0)</f>
        <v>-3.39923644787632E-13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495.6641415122013</v>
      </c>
      <c r="GF93" s="59">
        <f t="shared" si="104"/>
        <v>488.90534169400757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1.2184526469139243</v>
      </c>
      <c r="GM93" s="21">
        <f>EXP(-LN(2)/25)*GM92+(1-EXP(-LN(2)/25))/(LN(2)/25)*Calculateur!GH93*Calculateur!GJ93*VLOOKUP('Données projet'!$B$17,Paramètres!$A$1:$I$89,3,0)*0.475*44/12</f>
        <v>4.9270437307547814</v>
      </c>
      <c r="GN93" s="21">
        <f>EXP(-LN(2)/2)*GN92+(1-EXP(-LN(2)/2))/(LN(2)/2)*GH93*GK93*VLOOKUP('Données projet'!$B$17,Paramètres!$A$1:$I$89,3,0)*0.475*44/12</f>
        <v>3.2372151867868792E-8</v>
      </c>
      <c r="GO93" s="21">
        <f t="shared" si="81"/>
        <v>6.1454964100408578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-5.6843418860808015E-13</v>
      </c>
      <c r="GV93" s="17">
        <f>GU93*VLOOKUP('Données projet'!$B$18,Paramètres!$A$1:$I$89,3,0)*VLOOKUP('Données projet'!$B$18,Paramètres!$A$1:$I$89,5,0)</f>
        <v>-3.39923644787632E-13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-18.333333333333343</v>
      </c>
      <c r="HA93" s="59">
        <f t="shared" si="106"/>
        <v>-18.333333333333343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1.2184526469139243</v>
      </c>
      <c r="HH93" s="21">
        <f>EXP(-LN(2)/25)*HH92+(1-EXP(-LN(2)/25))/(LN(2)/25)*Calculateur!HC93*Calculateur!HE93*VLOOKUP('Données projet'!$B$18,Paramètres!$A$1:$I$89,3,0)*0.475*44/12</f>
        <v>4.9270437307547814</v>
      </c>
      <c r="HI93" s="21">
        <f>EXP(-LN(2)/2)*HI92+(1-EXP(-LN(2)/2))/(LN(2)/2)*HC93*HF93*VLOOKUP('Données projet'!$B$18,Paramètres!$A$1:$I$89,3,0)*0.475*44/12</f>
        <v>3.2372151867868792E-8</v>
      </c>
      <c r="HJ93" s="22">
        <f t="shared" si="84"/>
        <v>6.1454964100408578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559.69999999999993</v>
      </c>
      <c r="O94" s="13">
        <f>N94*VLOOKUP('Données projet'!$B$9,Paramètres!$A$1:$I$89,3,0)*VLOOKUP('Données projet'!$B$9,Paramètres!$A$1:$I$89,5,0)</f>
        <v>261.93959999999998</v>
      </c>
      <c r="P94" s="13">
        <f t="shared" si="87"/>
        <v>63.135643285567426</v>
      </c>
      <c r="Q94" s="20">
        <f t="shared" si="54"/>
        <v>566.1727153890298</v>
      </c>
      <c r="R94" s="59">
        <f t="shared" si="55"/>
        <v>840.85954223187491</v>
      </c>
      <c r="S94" s="59">
        <f ca="1">AVERAGE(OFFSET($R$3,0,0,'Données projet'!$E$9+1,1))-AVERAGE(OFFSET($H$3,0,0,'Données projet'!$E$9+1,1))</f>
        <v>376.11581547534814</v>
      </c>
      <c r="T94" s="59">
        <f t="shared" si="88"/>
        <v>300.91675649863294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0.93654209403792077</v>
      </c>
      <c r="AA94" s="21">
        <f>EXP(-LN(2)/25)*AA93+(1-EXP(-LN(2)/25))/(LN(2)/25)*Calculateur!V94*Calculateur!X94*VLOOKUP('Données projet'!$B$9,Paramètres!$A$1:$I$89,3,0)*0.475*44/12</f>
        <v>1.4476336605774676</v>
      </c>
      <c r="AB94" s="21">
        <f>EXP(-LN(2)/2)*AB93+(1-EXP(-LN(2)/2))/(LN(2)/2)*V94*Y94*VLOOKUP('Données projet'!$B$9,Paramètres!$A$1:$I$89,3,0)*0.475*44/12</f>
        <v>6.4749258226157884E-9</v>
      </c>
      <c r="AC94" s="22">
        <f t="shared" si="57"/>
        <v>2.3841757610903143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278.58791999999994</v>
      </c>
      <c r="AK94" s="13">
        <f t="shared" si="89"/>
        <v>66.668508032294213</v>
      </c>
      <c r="AL94" s="20">
        <f t="shared" si="58"/>
        <v>601.32161215624558</v>
      </c>
      <c r="AM94" s="59">
        <f t="shared" si="59"/>
        <v>876.00843899909069</v>
      </c>
      <c r="AN94" s="59">
        <f ca="1">AVERAGE(OFFSET($AM$3,0,0,'Données projet'!$E$10+1,1))-AVERAGE(OFFSET($H$3,0,0,'Données projet'!$E$10+1,1))</f>
        <v>505.38595282220405</v>
      </c>
      <c r="AO94" s="59">
        <f t="shared" si="90"/>
        <v>351.72130415456365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0.71962112971607217</v>
      </c>
      <c r="AV94" s="21">
        <f>EXP(-LN(2)/25)*AV93+(1-EXP(-LN(2)/25))/(LN(2)/25)*Calculateur!AQ94*Calculateur!AS94*VLOOKUP('Données projet'!$B$10,Paramètres!$A$1:$I$89,3,0)*0.475*44/12</f>
        <v>2.0792389815196439</v>
      </c>
      <c r="AW94" s="21">
        <f>EXP(-LN(2)/2)*AW93+(1-EXP(-LN(2)/2))/(LN(2)/2)*AQ94*AT94*VLOOKUP('Données projet'!$B$10,Paramètres!$A$1:$I$89,3,0)*0.475*44/12</f>
        <v>1.4193831561289933E-8</v>
      </c>
      <c r="AX94" s="21">
        <f t="shared" si="60"/>
        <v>2.7988601254295475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-4.0702161641092972E-13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394.14657090341535</v>
      </c>
      <c r="BJ94" s="59">
        <f t="shared" si="92"/>
        <v>424.06445894109982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0.97490773537617503</v>
      </c>
      <c r="BQ94" s="21">
        <f>EXP(-LN(2)/25)*BQ93+(1-EXP(-LN(2)/25))/(LN(2)/25)*Calculateur!BL94*Calculateur!BN94*VLOOKUP('Données projet'!$B$11,Paramètres!$A$1:$I$89,3,0)*0.475*44/12</f>
        <v>3.7814273310263524</v>
      </c>
      <c r="BR94" s="21">
        <f>EXP(-LN(2)/2)*BR93+(1-EXP(-LN(2)/2))/(LN(2)/2)*BL94*BO94*VLOOKUP('Données projet'!$B$11,Paramètres!$A$1:$I$89,3,0)*0.475*44/12</f>
        <v>1.5830773984361782E-8</v>
      </c>
      <c r="BS94" s="22">
        <f t="shared" si="63"/>
        <v>4.7563350822333019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5.6843418860808015E-13</v>
      </c>
      <c r="BZ94" s="13">
        <f>BY94*VLOOKUP('Données projet'!$B$12,Paramètres!$A$1:$I$89,3,0)*VLOOKUP('Données projet'!$B$12,Paramètres!$A$1:$I$89,5,0)</f>
        <v>3.1036506698001181E-13</v>
      </c>
      <c r="CA94" s="13">
        <f t="shared" si="93"/>
        <v>4.086682523110923E-12</v>
      </c>
      <c r="CB94" s="20">
        <f t="shared" si="64"/>
        <v>7.6581912194083782E-12</v>
      </c>
      <c r="CC94" s="59">
        <f t="shared" si="65"/>
        <v>274.68682684285272</v>
      </c>
      <c r="CD94" s="59">
        <f ca="1">AVERAGE(OFFSET($CC$3,0,0,'Données projet'!$E$12+1,1))-AVERAGE(OFFSET($H$3,0,0,'Données projet'!$E$12+1,1))</f>
        <v>382.09004346384319</v>
      </c>
      <c r="CE94" s="59">
        <f t="shared" si="94"/>
        <v>410.18893995284986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2.5449311804714325</v>
      </c>
      <c r="CL94" s="21">
        <f>EXP(-LN(2)/25)*CL93+(1-EXP(-LN(2)/25))/(LN(2)/25)*Calculateur!CG94*Calculateur!CI94*VLOOKUP('Données projet'!$B$12,Paramètres!$A$1:$I$89,3,0)*0.475*44/12</f>
        <v>6.2725989890633969</v>
      </c>
      <c r="CM94" s="21">
        <f>EXP(-LN(2)/2)*CM93+(1-EXP(-LN(2)/2))/(LN(2)/2)*CG94*CJ94*VLOOKUP('Données projet'!$B$12,Paramètres!$A$1:$I$89,3,0)*0.475*44/12</f>
        <v>1.6583748415625777E-8</v>
      </c>
      <c r="CN94" s="22">
        <f t="shared" si="66"/>
        <v>8.817530186118578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363.02374534486341</v>
      </c>
      <c r="CZ94" s="59">
        <f t="shared" si="96"/>
        <v>489.00477393029598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2.1836779108625644</v>
      </c>
      <c r="DG94" s="21">
        <f>EXP(-LN(2)/25)*DG93+(1-EXP(-LN(2)/25))/(LN(2)/25)*Calculateur!DB94*Calculateur!DD94*VLOOKUP('Données projet'!$B$13,Paramètres!$A$1:$I$89,3,0)*0.475*44/12</f>
        <v>3.5681790450323874</v>
      </c>
      <c r="DH94" s="21">
        <f>EXP(-LN(2)/2)*DH93+(1-EXP(-LN(2)/2))/(LN(2)/2)*DB94*DE94*VLOOKUP('Données projet'!$B$13,Paramètres!$A$1:$I$89,3,0)*0.475*44/12</f>
        <v>1.9305192220675199E-8</v>
      </c>
      <c r="DI94" s="22">
        <f t="shared" si="69"/>
        <v>5.7518569752001438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>
        <f>DO94*VLOOKUP('Données projet'!$B$14,Paramètres!$A$1:$I$89,3,0)*VLOOKUP('Données projet'!$B$14,Paramètres!$A$1:$I$89,5,0)</f>
        <v>-3.7509835237869992E-13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368.03281986807173</v>
      </c>
      <c r="DU94" s="59">
        <f t="shared" si="98"/>
        <v>395.83504504492248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0.728926575358953</v>
      </c>
      <c r="EB94" s="21">
        <f>EXP(-LN(2)/25)*EB93+(1-EXP(-LN(2)/25))/(LN(2)/25)*Calculateur!DW94*Calculateur!DY94*VLOOKUP('Données projet'!$B$14,Paramètres!$A$1:$I$89,3,0)*0.475*44/12</f>
        <v>2.827326909361549</v>
      </c>
      <c r="EC94" s="21">
        <f>EXP(-LN(2)/2)*EC93+(1-EXP(-LN(2)/2))/(LN(2)/2)*DW94*DZ94*VLOOKUP('Données projet'!$B$14,Paramètres!$A$1:$I$89,3,0)*0.475*44/12</f>
        <v>1.4589144652255045E-8</v>
      </c>
      <c r="ED94" s="22">
        <f t="shared" si="72"/>
        <v>3.5562534993096464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225.2264820414552</v>
      </c>
      <c r="EP94" s="59">
        <f t="shared" si="100"/>
        <v>249.91838548328681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0.66098481536783882</v>
      </c>
      <c r="EW94" s="21">
        <f>EXP(-LN(2)/25)*EW93+(1-EXP(-LN(2)/25))/(LN(2)/25)*Calculateur!ER94*Calculateur!ET94*VLOOKUP('Données projet'!$B$15,Paramètres!$A$1:$I$89,3,0)*0.475*44/12</f>
        <v>1.5950835899162417</v>
      </c>
      <c r="EX94" s="21">
        <f>EXP(-LN(2)/2)*EX93+(1-EXP(-LN(2)/2))/(LN(2)/2)*ER94*EU94*VLOOKUP('Données projet'!$B$15,Paramètres!$A$1:$I$89,3,0)*0.475*44/12</f>
        <v>2.6641566971812115E-9</v>
      </c>
      <c r="EY94" s="22">
        <f t="shared" si="75"/>
        <v>2.2560684079482374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-1.2505552149377763E-12</v>
      </c>
      <c r="FF94" s="17">
        <f>FE94*VLOOKUP('Données projet'!$B$16,Paramètres!$A$1:$I$89,3,0)*VLOOKUP('Données projet'!$B$16,Paramètres!$A$1:$I$89,5,0)</f>
        <v>-6.9906036515021697E-13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549.85684198202534</v>
      </c>
      <c r="FK94" s="59">
        <f t="shared" si="102"/>
        <v>539.63748606275431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3.4119967357227603</v>
      </c>
      <c r="FR94" s="21">
        <f>EXP(-LN(2)/25)*FR93+(1-EXP(-LN(2)/25))/(LN(2)/25)*Calculateur!FM94*Calculateur!FO94*VLOOKUP('Données projet'!$B$16,Paramètres!$A$1:$I$89,3,0)*0.475*44/12</f>
        <v>7.1427256497854623</v>
      </c>
      <c r="FS94" s="21">
        <f>EXP(-LN(2)/2)*FS93+(1-EXP(-LN(2)/2))/(LN(2)/2)*FM94*FP94*VLOOKUP('Données projet'!$B$16,Paramètres!$A$1:$I$89,3,0)*0.475*44/12</f>
        <v>2.401836374760012E-8</v>
      </c>
      <c r="FT94" s="22">
        <f t="shared" si="78"/>
        <v>10.554722409526587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-5.6843418860808015E-13</v>
      </c>
      <c r="GA94" s="17">
        <f>FZ94*VLOOKUP('Données projet'!$B$17,Paramètres!$A$1:$I$89,3,0)*VLOOKUP('Données projet'!$B$17,Paramètres!$A$1:$I$89,5,0)</f>
        <v>-3.39923644787632E-13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495.6641415122013</v>
      </c>
      <c r="GF94" s="59">
        <f t="shared" si="104"/>
        <v>488.90534169400757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1.1945595336906736</v>
      </c>
      <c r="GM94" s="21">
        <f>EXP(-LN(2)/25)*GM93+(1-EXP(-LN(2)/25))/(LN(2)/25)*Calculateur!GH94*Calculateur!GJ94*VLOOKUP('Données projet'!$B$17,Paramètres!$A$1:$I$89,3,0)*0.475*44/12</f>
        <v>4.7923134608353228</v>
      </c>
      <c r="GN94" s="21">
        <f>EXP(-LN(2)/2)*GN93+(1-EXP(-LN(2)/2))/(LN(2)/2)*GH94*GK94*VLOOKUP('Données projet'!$B$17,Paramètres!$A$1:$I$89,3,0)*0.475*44/12</f>
        <v>2.2890568107370784E-8</v>
      </c>
      <c r="GO94" s="21">
        <f t="shared" si="81"/>
        <v>5.9868730174165643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-5.6843418860808015E-13</v>
      </c>
      <c r="GV94" s="17">
        <f>GU94*VLOOKUP('Données projet'!$B$18,Paramètres!$A$1:$I$89,3,0)*VLOOKUP('Données projet'!$B$18,Paramètres!$A$1:$I$89,5,0)</f>
        <v>-3.39923644787632E-13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-18.333333333333343</v>
      </c>
      <c r="HA94" s="59">
        <f t="shared" si="106"/>
        <v>-18.333333333333343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1.1945595336906736</v>
      </c>
      <c r="HH94" s="21">
        <f>EXP(-LN(2)/25)*HH93+(1-EXP(-LN(2)/25))/(LN(2)/25)*Calculateur!HC94*Calculateur!HE94*VLOOKUP('Données projet'!$B$18,Paramètres!$A$1:$I$89,3,0)*0.475*44/12</f>
        <v>4.7923134608353228</v>
      </c>
      <c r="HI94" s="21">
        <f>EXP(-LN(2)/2)*HI93+(1-EXP(-LN(2)/2))/(LN(2)/2)*HC94*HF94*VLOOKUP('Données projet'!$B$18,Paramètres!$A$1:$I$89,3,0)*0.475*44/12</f>
        <v>2.2890568107370784E-8</v>
      </c>
      <c r="HJ94" s="22">
        <f t="shared" si="84"/>
        <v>5.9868730174165643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578.19999999999993</v>
      </c>
      <c r="O95" s="13">
        <f>N95*VLOOKUP('Données projet'!$B$9,Paramètres!$A$1:$I$89,3,0)*VLOOKUP('Données projet'!$B$9,Paramètres!$A$1:$I$89,5,0)</f>
        <v>270.59759999999994</v>
      </c>
      <c r="P95" s="13">
        <f t="shared" si="87"/>
        <v>64.976078766498532</v>
      </c>
      <c r="Q95" s="20">
        <f t="shared" si="54"/>
        <v>584.45749051831808</v>
      </c>
      <c r="R95" s="59">
        <f t="shared" si="55"/>
        <v>859.46779256142986</v>
      </c>
      <c r="S95" s="59">
        <f ca="1">AVERAGE(OFFSET($R$3,0,0,'Données projet'!$E$9+1,1))-AVERAGE(OFFSET($H$3,0,0,'Données projet'!$E$9+1,1))</f>
        <v>376.11581547534814</v>
      </c>
      <c r="T95" s="59">
        <f t="shared" si="88"/>
        <v>300.91675649863294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0.91817707480810984</v>
      </c>
      <c r="AA95" s="21">
        <f>EXP(-LN(2)/25)*AA94+(1-EXP(-LN(2)/25))/(LN(2)/25)*Calculateur!V95*Calculateur!X95*VLOOKUP('Données projet'!$B$9,Paramètres!$A$1:$I$89,3,0)*0.475*44/12</f>
        <v>1.4080480420012311</v>
      </c>
      <c r="AB95" s="21">
        <f>EXP(-LN(2)/2)*AB94+(1-EXP(-LN(2)/2))/(LN(2)/2)*V95*Y95*VLOOKUP('Données projet'!$B$9,Paramètres!$A$1:$I$89,3,0)*0.475*44/12</f>
        <v>4.5784639568515084E-9</v>
      </c>
      <c r="AC95" s="22">
        <f t="shared" si="57"/>
        <v>2.3262251213878047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283.92623999999995</v>
      </c>
      <c r="AK95" s="13">
        <f t="shared" si="89"/>
        <v>67.796062628528304</v>
      </c>
      <c r="AL95" s="20">
        <f t="shared" si="58"/>
        <v>612.58301041135337</v>
      </c>
      <c r="AM95" s="59">
        <f t="shared" si="59"/>
        <v>887.59331245446515</v>
      </c>
      <c r="AN95" s="59">
        <f ca="1">AVERAGE(OFFSET($AM$3,0,0,'Données projet'!$E$10+1,1))-AVERAGE(OFFSET($H$3,0,0,'Données projet'!$E$10+1,1))</f>
        <v>505.38595282220405</v>
      </c>
      <c r="AO95" s="59">
        <f t="shared" si="90"/>
        <v>351.72130415456365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0.70550979828788885</v>
      </c>
      <c r="AV95" s="21">
        <f>EXP(-LN(2)/25)*AV94+(1-EXP(-LN(2)/25))/(LN(2)/25)*Calculateur!AQ95*Calculateur!AS95*VLOOKUP('Données projet'!$B$10,Paramètres!$A$1:$I$89,3,0)*0.475*44/12</f>
        <v>2.0223820822275633</v>
      </c>
      <c r="AW95" s="21">
        <f>EXP(-LN(2)/2)*AW94+(1-EXP(-LN(2)/2))/(LN(2)/2)*AQ95*AT95*VLOOKUP('Données projet'!$B$10,Paramètres!$A$1:$I$89,3,0)*0.475*44/12</f>
        <v>1.0036554548007754E-8</v>
      </c>
      <c r="AX95" s="21">
        <f t="shared" si="60"/>
        <v>2.7278918905520069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-4.0702161641092972E-13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394.14657090341535</v>
      </c>
      <c r="BJ95" s="59">
        <f t="shared" si="92"/>
        <v>424.06445894109982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0.95579038932045146</v>
      </c>
      <c r="BQ95" s="21">
        <f>EXP(-LN(2)/25)*BQ94+(1-EXP(-LN(2)/25))/(LN(2)/25)*Calculateur!BL95*Calculateur!BN95*VLOOKUP('Données projet'!$B$11,Paramètres!$A$1:$I$89,3,0)*0.475*44/12</f>
        <v>3.6780240018028159</v>
      </c>
      <c r="BR95" s="21">
        <f>EXP(-LN(2)/2)*BR94+(1-EXP(-LN(2)/2))/(LN(2)/2)*BL95*BO95*VLOOKUP('Données projet'!$B$11,Paramètres!$A$1:$I$89,3,0)*0.475*44/12</f>
        <v>1.1194047635773796E-8</v>
      </c>
      <c r="BS95" s="22">
        <f t="shared" si="63"/>
        <v>4.6338144023173147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5.6843418860808015E-13</v>
      </c>
      <c r="BZ95" s="13">
        <f>BY95*VLOOKUP('Données projet'!$B$12,Paramètres!$A$1:$I$89,3,0)*VLOOKUP('Données projet'!$B$12,Paramètres!$A$1:$I$89,5,0)</f>
        <v>3.1036506698001181E-13</v>
      </c>
      <c r="CA95" s="13">
        <f t="shared" si="93"/>
        <v>4.086682523110923E-12</v>
      </c>
      <c r="CB95" s="20">
        <f t="shared" si="64"/>
        <v>7.6581912194083782E-12</v>
      </c>
      <c r="CC95" s="59">
        <f t="shared" si="65"/>
        <v>275.0103020431194</v>
      </c>
      <c r="CD95" s="59">
        <f ca="1">AVERAGE(OFFSET($CC$3,0,0,'Données projet'!$E$12+1,1))-AVERAGE(OFFSET($H$3,0,0,'Données projet'!$E$12+1,1))</f>
        <v>382.09004346384319</v>
      </c>
      <c r="CE95" s="59">
        <f t="shared" si="94"/>
        <v>410.18893995284986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2.4950266322771353</v>
      </c>
      <c r="CL95" s="21">
        <f>EXP(-LN(2)/25)*CL94+(1-EXP(-LN(2)/25))/(LN(2)/25)*Calculateur!CG95*Calculateur!CI95*VLOOKUP('Données projet'!$B$12,Paramètres!$A$1:$I$89,3,0)*0.475*44/12</f>
        <v>6.1010744398458137</v>
      </c>
      <c r="CM95" s="21">
        <f>EXP(-LN(2)/2)*CM94+(1-EXP(-LN(2)/2))/(LN(2)/2)*CG95*CJ95*VLOOKUP('Données projet'!$B$12,Paramètres!$A$1:$I$89,3,0)*0.475*44/12</f>
        <v>1.172648096218065E-8</v>
      </c>
      <c r="CN95" s="22">
        <f t="shared" si="66"/>
        <v>8.5961010838494296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363.02374534486341</v>
      </c>
      <c r="CZ95" s="59">
        <f t="shared" si="96"/>
        <v>489.00477393029598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2.1408573189425595</v>
      </c>
      <c r="DG95" s="21">
        <f>EXP(-LN(2)/25)*DG94+(1-EXP(-LN(2)/25))/(LN(2)/25)*Calculateur!DB95*Calculateur!DD95*VLOOKUP('Données projet'!$B$13,Paramètres!$A$1:$I$89,3,0)*0.475*44/12</f>
        <v>3.4706070014035961</v>
      </c>
      <c r="DH95" s="21">
        <f>EXP(-LN(2)/2)*DH94+(1-EXP(-LN(2)/2))/(LN(2)/2)*DB95*DE95*VLOOKUP('Données projet'!$B$13,Paramètres!$A$1:$I$89,3,0)*0.475*44/12</f>
        <v>1.3650832331349218E-8</v>
      </c>
      <c r="DI95" s="22">
        <f t="shared" si="69"/>
        <v>5.6114643339969881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>
        <f>DO95*VLOOKUP('Données projet'!$B$14,Paramètres!$A$1:$I$89,3,0)*VLOOKUP('Données projet'!$B$14,Paramètres!$A$1:$I$89,5,0)</f>
        <v>-3.7509835237869992E-13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368.03281986807173</v>
      </c>
      <c r="DU95" s="59">
        <f t="shared" si="98"/>
        <v>395.83504504492248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0.71463276981747414</v>
      </c>
      <c r="EB95" s="21">
        <f>EXP(-LN(2)/25)*EB94+(1-EXP(-LN(2)/25))/(LN(2)/25)*Calculateur!DW95*Calculateur!DY95*VLOOKUP('Données projet'!$B$14,Paramètres!$A$1:$I$89,3,0)*0.475*44/12</f>
        <v>2.7500135063423974</v>
      </c>
      <c r="EC95" s="21">
        <f>EXP(-LN(2)/2)*EC94+(1-EXP(-LN(2)/2))/(LN(2)/2)*DW95*DZ95*VLOOKUP('Données projet'!$B$14,Paramètres!$A$1:$I$89,3,0)*0.475*44/12</f>
        <v>1.0316083115320999E-8</v>
      </c>
      <c r="ED95" s="22">
        <f t="shared" si="72"/>
        <v>3.4646462864759546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225.2264820414552</v>
      </c>
      <c r="EP95" s="59">
        <f t="shared" si="100"/>
        <v>249.91838548328681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0.64802330629940408</v>
      </c>
      <c r="EW95" s="21">
        <f>EXP(-LN(2)/25)*EW94+(1-EXP(-LN(2)/25))/(LN(2)/25)*Calculateur!ER95*Calculateur!ET95*VLOOKUP('Données projet'!$B$15,Paramètres!$A$1:$I$89,3,0)*0.475*44/12</f>
        <v>1.5514659452681816</v>
      </c>
      <c r="EX95" s="21">
        <f>EXP(-LN(2)/2)*EX94+(1-EXP(-LN(2)/2))/(LN(2)/2)*ER95*EU95*VLOOKUP('Données projet'!$B$15,Paramètres!$A$1:$I$89,3,0)*0.475*44/12</f>
        <v>1.88384326672039E-9</v>
      </c>
      <c r="EY95" s="22">
        <f t="shared" si="75"/>
        <v>2.199489253451429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-1.2505552149377763E-12</v>
      </c>
      <c r="FF95" s="17">
        <f>FE95*VLOOKUP('Données projet'!$B$16,Paramètres!$A$1:$I$89,3,0)*VLOOKUP('Données projet'!$B$16,Paramètres!$A$1:$I$89,5,0)</f>
        <v>-6.9906036515021697E-13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549.85684198202534</v>
      </c>
      <c r="FK95" s="59">
        <f t="shared" si="102"/>
        <v>539.63748606275431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3.3450895608477529</v>
      </c>
      <c r="FR95" s="21">
        <f>EXP(-LN(2)/25)*FR94+(1-EXP(-LN(2)/25))/(LN(2)/25)*Calculateur!FM95*Calculateur!FO95*VLOOKUP('Données projet'!$B$16,Paramètres!$A$1:$I$89,3,0)*0.475*44/12</f>
        <v>6.9474074412724622</v>
      </c>
      <c r="FS95" s="21">
        <f>EXP(-LN(2)/2)*FS94+(1-EXP(-LN(2)/2))/(LN(2)/2)*FM95*FP95*VLOOKUP('Données projet'!$B$16,Paramètres!$A$1:$I$89,3,0)*0.475*44/12</f>
        <v>1.6983547878933184E-8</v>
      </c>
      <c r="FT95" s="22">
        <f t="shared" si="78"/>
        <v>10.292497019103761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-5.6843418860808015E-13</v>
      </c>
      <c r="GA95" s="17">
        <f>FZ95*VLOOKUP('Données projet'!$B$17,Paramètres!$A$1:$I$89,3,0)*VLOOKUP('Données projet'!$B$17,Paramètres!$A$1:$I$89,5,0)</f>
        <v>-3.39923644787632E-13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495.6641415122013</v>
      </c>
      <c r="GF95" s="59">
        <f t="shared" si="104"/>
        <v>488.90534169400757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1.1711349498443708</v>
      </c>
      <c r="GM95" s="21">
        <f>EXP(-LN(2)/25)*GM94+(1-EXP(-LN(2)/25))/(LN(2)/25)*Calculateur!GH95*Calculateur!GJ95*VLOOKUP('Données projet'!$B$17,Paramètres!$A$1:$I$89,3,0)*0.475*44/12</f>
        <v>4.6612673972319687</v>
      </c>
      <c r="GN95" s="21">
        <f>EXP(-LN(2)/2)*GN94+(1-EXP(-LN(2)/2))/(LN(2)/2)*GH95*GK95*VLOOKUP('Données projet'!$B$17,Paramètres!$A$1:$I$89,3,0)*0.475*44/12</f>
        <v>1.6186075933934396E-8</v>
      </c>
      <c r="GO95" s="21">
        <f t="shared" si="81"/>
        <v>5.8324023632624149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-5.6843418860808015E-13</v>
      </c>
      <c r="GV95" s="17">
        <f>GU95*VLOOKUP('Données projet'!$B$18,Paramètres!$A$1:$I$89,3,0)*VLOOKUP('Données projet'!$B$18,Paramètres!$A$1:$I$89,5,0)</f>
        <v>-3.39923644787632E-13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-18.333333333333343</v>
      </c>
      <c r="HA95" s="59">
        <f t="shared" si="106"/>
        <v>-18.333333333333343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1.1711349498443708</v>
      </c>
      <c r="HH95" s="21">
        <f>EXP(-LN(2)/25)*HH94+(1-EXP(-LN(2)/25))/(LN(2)/25)*Calculateur!HC95*Calculateur!HE95*VLOOKUP('Données projet'!$B$18,Paramètres!$A$1:$I$89,3,0)*0.475*44/12</f>
        <v>4.6612673972319687</v>
      </c>
      <c r="HI95" s="21">
        <f>EXP(-LN(2)/2)*HI94+(1-EXP(-LN(2)/2))/(LN(2)/2)*HC95*HF95*VLOOKUP('Données projet'!$B$18,Paramètres!$A$1:$I$89,3,0)*0.475*44/12</f>
        <v>1.6186075933934396E-8</v>
      </c>
      <c r="HJ95" s="22">
        <f t="shared" si="84"/>
        <v>5.8324023632624149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596.69999999999993</v>
      </c>
      <c r="O96" s="13">
        <f>N96*VLOOKUP('Données projet'!$B$9,Paramètres!$A$1:$I$89,3,0)*VLOOKUP('Données projet'!$B$9,Paramètres!$A$1:$I$89,5,0)</f>
        <v>279.25559999999996</v>
      </c>
      <c r="P96" s="13">
        <f t="shared" si="87"/>
        <v>66.809671397146161</v>
      </c>
      <c r="Q96" s="20">
        <f t="shared" si="54"/>
        <v>602.73034768336277</v>
      </c>
      <c r="R96" s="59">
        <f t="shared" si="55"/>
        <v>878.05851335519878</v>
      </c>
      <c r="S96" s="59">
        <f ca="1">AVERAGE(OFFSET($R$3,0,0,'Données projet'!$E$9+1,1))-AVERAGE(OFFSET($H$3,0,0,'Données projet'!$E$9+1,1))</f>
        <v>376.11581547534814</v>
      </c>
      <c r="T96" s="59">
        <f t="shared" si="88"/>
        <v>300.91675649863294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0.90017218240383978</v>
      </c>
      <c r="AA96" s="21">
        <f>EXP(-LN(2)/25)*AA95+(1-EXP(-LN(2)/25))/(LN(2)/25)*Calculateur!V96*Calculateur!X96*VLOOKUP('Données projet'!$B$9,Paramètres!$A$1:$I$89,3,0)*0.475*44/12</f>
        <v>1.369544894246679</v>
      </c>
      <c r="AB96" s="21">
        <f>EXP(-LN(2)/2)*AB95+(1-EXP(-LN(2)/2))/(LN(2)/2)*V96*Y96*VLOOKUP('Données projet'!$B$9,Paramètres!$A$1:$I$89,3,0)*0.475*44/12</f>
        <v>3.2374629113078942E-9</v>
      </c>
      <c r="AC96" s="22">
        <f t="shared" si="57"/>
        <v>2.2697170798879815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289.26455999999996</v>
      </c>
      <c r="AK96" s="13">
        <f t="shared" si="89"/>
        <v>68.921152085057912</v>
      </c>
      <c r="AL96" s="20">
        <f t="shared" si="58"/>
        <v>623.84011521480909</v>
      </c>
      <c r="AM96" s="59">
        <f t="shared" si="59"/>
        <v>899.16828088664511</v>
      </c>
      <c r="AN96" s="59">
        <f ca="1">AVERAGE(OFFSET($AM$3,0,0,'Données projet'!$E$10+1,1))-AVERAGE(OFFSET($H$3,0,0,'Données projet'!$E$10+1,1))</f>
        <v>505.38595282220405</v>
      </c>
      <c r="AO96" s="59">
        <f t="shared" si="90"/>
        <v>351.72130415456365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0.69167518146194984</v>
      </c>
      <c r="AV96" s="21">
        <f>EXP(-LN(2)/25)*AV95+(1-EXP(-LN(2)/25))/(LN(2)/25)*Calculateur!AQ96*Calculateur!AS96*VLOOKUP('Données projet'!$B$10,Paramètres!$A$1:$I$89,3,0)*0.475*44/12</f>
        <v>1.9670799378365991</v>
      </c>
      <c r="AW96" s="21">
        <f>EXP(-LN(2)/2)*AW95+(1-EXP(-LN(2)/2))/(LN(2)/2)*AQ96*AT96*VLOOKUP('Données projet'!$B$10,Paramètres!$A$1:$I$89,3,0)*0.475*44/12</f>
        <v>7.0969157806449674E-9</v>
      </c>
      <c r="AX96" s="21">
        <f t="shared" si="60"/>
        <v>2.658755126395465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-4.0702161641092972E-13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394.14657090341535</v>
      </c>
      <c r="BJ96" s="59">
        <f t="shared" si="92"/>
        <v>424.06445894109982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0.9370479227604509</v>
      </c>
      <c r="BQ96" s="21">
        <f>EXP(-LN(2)/25)*BQ95+(1-EXP(-LN(2)/25))/(LN(2)/25)*Calculateur!BL96*Calculateur!BN96*VLOOKUP('Données projet'!$B$11,Paramètres!$A$1:$I$89,3,0)*0.475*44/12</f>
        <v>3.5774482420546416</v>
      </c>
      <c r="BR96" s="21">
        <f>EXP(-LN(2)/2)*BR95+(1-EXP(-LN(2)/2))/(LN(2)/2)*BL96*BO96*VLOOKUP('Données projet'!$B$11,Paramètres!$A$1:$I$89,3,0)*0.475*44/12</f>
        <v>7.915386992180891E-9</v>
      </c>
      <c r="BS96" s="22">
        <f t="shared" si="63"/>
        <v>4.5144961727304791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5.6843418860808015E-13</v>
      </c>
      <c r="BZ96" s="13">
        <f>BY96*VLOOKUP('Données projet'!$B$12,Paramètres!$A$1:$I$89,3,0)*VLOOKUP('Données projet'!$B$12,Paramètres!$A$1:$I$89,5,0)</f>
        <v>3.1036506698001181E-13</v>
      </c>
      <c r="CA96" s="13">
        <f t="shared" si="93"/>
        <v>4.086682523110923E-12</v>
      </c>
      <c r="CB96" s="20">
        <f t="shared" si="64"/>
        <v>7.6581912194083782E-12</v>
      </c>
      <c r="CC96" s="59">
        <f t="shared" si="65"/>
        <v>275.32816567184364</v>
      </c>
      <c r="CD96" s="59">
        <f ca="1">AVERAGE(OFFSET($CC$3,0,0,'Données projet'!$E$12+1,1))-AVERAGE(OFFSET($H$3,0,0,'Données projet'!$E$12+1,1))</f>
        <v>382.09004346384319</v>
      </c>
      <c r="CE96" s="59">
        <f t="shared" si="94"/>
        <v>410.18893995284986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2.4461006818341593</v>
      </c>
      <c r="CL96" s="21">
        <f>EXP(-LN(2)/25)*CL95+(1-EXP(-LN(2)/25))/(LN(2)/25)*Calculateur!CG96*Calculateur!CI96*VLOOKUP('Données projet'!$B$12,Paramètres!$A$1:$I$89,3,0)*0.475*44/12</f>
        <v>5.9342402384466695</v>
      </c>
      <c r="CM96" s="21">
        <f>EXP(-LN(2)/2)*CM95+(1-EXP(-LN(2)/2))/(LN(2)/2)*CG96*CJ96*VLOOKUP('Données projet'!$B$12,Paramètres!$A$1:$I$89,3,0)*0.475*44/12</f>
        <v>8.2918742078128883E-9</v>
      </c>
      <c r="CN96" s="22">
        <f t="shared" si="66"/>
        <v>8.3803409285727035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363.02374534486341</v>
      </c>
      <c r="CZ96" s="59">
        <f t="shared" si="96"/>
        <v>489.00477393029598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2.0988764127121242</v>
      </c>
      <c r="DG96" s="21">
        <f>EXP(-LN(2)/25)*DG95+(1-EXP(-LN(2)/25))/(LN(2)/25)*Calculateur!DB96*Calculateur!DD96*VLOOKUP('Données projet'!$B$13,Paramètres!$A$1:$I$89,3,0)*0.475*44/12</f>
        <v>3.3757030704389246</v>
      </c>
      <c r="DH96" s="21">
        <f>EXP(-LN(2)/2)*DH95+(1-EXP(-LN(2)/2))/(LN(2)/2)*DB96*DE96*VLOOKUP('Données projet'!$B$13,Paramètres!$A$1:$I$89,3,0)*0.475*44/12</f>
        <v>9.6525961103375995E-9</v>
      </c>
      <c r="DI96" s="22">
        <f t="shared" si="69"/>
        <v>5.4745794928036444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>
        <f>DO96*VLOOKUP('Données projet'!$B$14,Paramètres!$A$1:$I$89,3,0)*VLOOKUP('Données projet'!$B$14,Paramètres!$A$1:$I$89,5,0)</f>
        <v>-3.7509835237869992E-13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368.03281986807173</v>
      </c>
      <c r="DU96" s="59">
        <f t="shared" si="98"/>
        <v>395.83504504492248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0.70061925708430317</v>
      </c>
      <c r="EB96" s="21">
        <f>EXP(-LN(2)/25)*EB95+(1-EXP(-LN(2)/25))/(LN(2)/25)*Calculateur!DW96*Calculateur!DY96*VLOOKUP('Données projet'!$B$14,Paramètres!$A$1:$I$89,3,0)*0.475*44/12</f>
        <v>2.6748142423945396</v>
      </c>
      <c r="EC96" s="21">
        <f>EXP(-LN(2)/2)*EC95+(1-EXP(-LN(2)/2))/(LN(2)/2)*DW96*DZ96*VLOOKUP('Données projet'!$B$14,Paramètres!$A$1:$I$89,3,0)*0.475*44/12</f>
        <v>7.294572326127524E-9</v>
      </c>
      <c r="ED96" s="22">
        <f t="shared" si="72"/>
        <v>3.3754335067734154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225.2264820414552</v>
      </c>
      <c r="EP96" s="59">
        <f t="shared" si="100"/>
        <v>249.91838548328681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0.63531596451806138</v>
      </c>
      <c r="EW96" s="21">
        <f>EXP(-LN(2)/25)*EW95+(1-EXP(-LN(2)/25))/(LN(2)/25)*Calculateur!ER96*Calculateur!ET96*VLOOKUP('Données projet'!$B$15,Paramètres!$A$1:$I$89,3,0)*0.475*44/12</f>
        <v>1.5090410274067749</v>
      </c>
      <c r="EX96" s="21">
        <f>EXP(-LN(2)/2)*EX95+(1-EXP(-LN(2)/2))/(LN(2)/2)*ER96*EU96*VLOOKUP('Données projet'!$B$15,Paramètres!$A$1:$I$89,3,0)*0.475*44/12</f>
        <v>1.3320783485906057E-9</v>
      </c>
      <c r="EY96" s="22">
        <f t="shared" si="75"/>
        <v>2.1443569932569146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-1.2505552149377763E-12</v>
      </c>
      <c r="FF96" s="17">
        <f>FE96*VLOOKUP('Données projet'!$B$16,Paramètres!$A$1:$I$89,3,0)*VLOOKUP('Données projet'!$B$16,Paramètres!$A$1:$I$89,5,0)</f>
        <v>-6.9906036515021697E-13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549.85684198202534</v>
      </c>
      <c r="FK96" s="59">
        <f t="shared" si="102"/>
        <v>539.63748606275431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3.2794943948626973</v>
      </c>
      <c r="FR96" s="21">
        <f>EXP(-LN(2)/25)*FR95+(1-EXP(-LN(2)/25))/(LN(2)/25)*Calculateur!FM96*Calculateur!FO96*VLOOKUP('Données projet'!$B$16,Paramètres!$A$1:$I$89,3,0)*0.475*44/12</f>
        <v>6.7574302194425879</v>
      </c>
      <c r="FS96" s="21">
        <f>EXP(-LN(2)/2)*FS95+(1-EXP(-LN(2)/2))/(LN(2)/2)*FM96*FP96*VLOOKUP('Données projet'!$B$16,Paramètres!$A$1:$I$89,3,0)*0.475*44/12</f>
        <v>1.200918187380006E-8</v>
      </c>
      <c r="FT96" s="22">
        <f t="shared" si="78"/>
        <v>10.036924626314466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-5.6843418860808015E-13</v>
      </c>
      <c r="GA96" s="17">
        <f>FZ96*VLOOKUP('Données projet'!$B$17,Paramètres!$A$1:$I$89,3,0)*VLOOKUP('Données projet'!$B$17,Paramètres!$A$1:$I$89,5,0)</f>
        <v>-3.39923644787632E-13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495.6641415122013</v>
      </c>
      <c r="GF96" s="59">
        <f t="shared" si="104"/>
        <v>488.90534169400757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1.1481697077997086</v>
      </c>
      <c r="GM96" s="21">
        <f>EXP(-LN(2)/25)*GM95+(1-EXP(-LN(2)/25))/(LN(2)/25)*Calculateur!GH96*Calculateur!GJ96*VLOOKUP('Données projet'!$B$17,Paramètres!$A$1:$I$89,3,0)*0.475*44/12</f>
        <v>4.5338047951292619</v>
      </c>
      <c r="GN96" s="21">
        <f>EXP(-LN(2)/2)*GN95+(1-EXP(-LN(2)/2))/(LN(2)/2)*GH96*GK96*VLOOKUP('Données projet'!$B$17,Paramètres!$A$1:$I$89,3,0)*0.475*44/12</f>
        <v>1.1445284053685392E-8</v>
      </c>
      <c r="GO96" s="21">
        <f t="shared" si="81"/>
        <v>5.6819745143742546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-5.6843418860808015E-13</v>
      </c>
      <c r="GV96" s="17">
        <f>GU96*VLOOKUP('Données projet'!$B$18,Paramètres!$A$1:$I$89,3,0)*VLOOKUP('Données projet'!$B$18,Paramètres!$A$1:$I$89,5,0)</f>
        <v>-3.39923644787632E-13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-18.333333333333343</v>
      </c>
      <c r="HA96" s="59">
        <f t="shared" si="106"/>
        <v>-18.333333333333343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1.1481697077997086</v>
      </c>
      <c r="HH96" s="21">
        <f>EXP(-LN(2)/25)*HH95+(1-EXP(-LN(2)/25))/(LN(2)/25)*Calculateur!HC96*Calculateur!HE96*VLOOKUP('Données projet'!$B$18,Paramètres!$A$1:$I$89,3,0)*0.475*44/12</f>
        <v>4.5338047951292619</v>
      </c>
      <c r="HI96" s="21">
        <f>EXP(-LN(2)/2)*HI95+(1-EXP(-LN(2)/2))/(LN(2)/2)*HC96*HF96*VLOOKUP('Données projet'!$B$18,Paramètres!$A$1:$I$89,3,0)*0.475*44/12</f>
        <v>1.1445284053685392E-8</v>
      </c>
      <c r="HJ96" s="22">
        <f t="shared" si="84"/>
        <v>5.6819745143742546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615.19999999999993</v>
      </c>
      <c r="O97" s="13">
        <f>N97*VLOOKUP('Données projet'!$B$9,Paramètres!$A$1:$I$89,3,0)*VLOOKUP('Données projet'!$B$9,Paramètres!$A$1:$I$89,5,0)</f>
        <v>287.91359999999997</v>
      </c>
      <c r="P97" s="13">
        <f t="shared" si="87"/>
        <v>68.636657677063752</v>
      </c>
      <c r="Q97" s="20">
        <f t="shared" si="54"/>
        <v>620.99169878755254</v>
      </c>
      <c r="R97" s="59">
        <f t="shared" si="55"/>
        <v>896.63221386479108</v>
      </c>
      <c r="S97" s="59">
        <f ca="1">AVERAGE(OFFSET($R$3,0,0,'Données projet'!$E$9+1,1))-AVERAGE(OFFSET($H$3,0,0,'Données projet'!$E$9+1,1))</f>
        <v>376.11581547534814</v>
      </c>
      <c r="T97" s="59">
        <f t="shared" si="88"/>
        <v>300.91675649863294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0.88252035495771752</v>
      </c>
      <c r="AA97" s="21">
        <f>EXP(-LN(2)/25)*AA96+(1-EXP(-LN(2)/25))/(LN(2)/25)*Calculateur!V97*Calculateur!X97*VLOOKUP('Données projet'!$B$9,Paramètres!$A$1:$I$89,3,0)*0.475*44/12</f>
        <v>1.3320946170922678</v>
      </c>
      <c r="AB97" s="21">
        <f>EXP(-LN(2)/2)*AB96+(1-EXP(-LN(2)/2))/(LN(2)/2)*V97*Y97*VLOOKUP('Données projet'!$B$9,Paramètres!$A$1:$I$89,3,0)*0.475*44/12</f>
        <v>2.2892319784257542E-9</v>
      </c>
      <c r="AC97" s="22">
        <f t="shared" si="57"/>
        <v>2.2146149743392174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294.60287999999991</v>
      </c>
      <c r="AK97" s="13">
        <f t="shared" si="89"/>
        <v>70.043827142305673</v>
      </c>
      <c r="AL97" s="20">
        <f t="shared" si="58"/>
        <v>635.09301493951546</v>
      </c>
      <c r="AM97" s="59">
        <f t="shared" si="59"/>
        <v>910.733530016754</v>
      </c>
      <c r="AN97" s="59">
        <f ca="1">AVERAGE(OFFSET($AM$3,0,0,'Données projet'!$E$10+1,1))-AVERAGE(OFFSET($H$3,0,0,'Données projet'!$E$10+1,1))</f>
        <v>505.38595282220405</v>
      </c>
      <c r="AO97" s="59">
        <f t="shared" si="90"/>
        <v>351.72130415456365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0.67811185303368449</v>
      </c>
      <c r="AV97" s="21">
        <f>EXP(-LN(2)/25)*AV96+(1-EXP(-LN(2)/25))/(LN(2)/25)*Calculateur!AQ97*Calculateur!AS97*VLOOKUP('Données projet'!$B$10,Paramètres!$A$1:$I$89,3,0)*0.475*44/12</f>
        <v>1.9132900334922192</v>
      </c>
      <c r="AW97" s="21">
        <f>EXP(-LN(2)/2)*AW96+(1-EXP(-LN(2)/2))/(LN(2)/2)*AQ97*AT97*VLOOKUP('Données projet'!$B$10,Paramètres!$A$1:$I$89,3,0)*0.475*44/12</f>
        <v>5.018277274003877E-9</v>
      </c>
      <c r="AX97" s="21">
        <f t="shared" si="60"/>
        <v>2.591401891544181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-4.0702161641092972E-13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394.14657090341535</v>
      </c>
      <c r="BJ97" s="59">
        <f t="shared" si="92"/>
        <v>424.06445894109982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0.91867298453791613</v>
      </c>
      <c r="BQ97" s="21">
        <f>EXP(-LN(2)/25)*BQ96+(1-EXP(-LN(2)/25))/(LN(2)/25)*Calculateur!BL97*Calculateur!BN97*VLOOKUP('Données projet'!$B$11,Paramètres!$A$1:$I$89,3,0)*0.475*44/12</f>
        <v>3.4796227317458306</v>
      </c>
      <c r="BR97" s="21">
        <f>EXP(-LN(2)/2)*BR96+(1-EXP(-LN(2)/2))/(LN(2)/2)*BL97*BO97*VLOOKUP('Données projet'!$B$11,Paramètres!$A$1:$I$89,3,0)*0.475*44/12</f>
        <v>5.5970238178868979E-9</v>
      </c>
      <c r="BS97" s="22">
        <f t="shared" si="63"/>
        <v>4.3982957218807712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5.6843418860808015E-13</v>
      </c>
      <c r="BZ97" s="13">
        <f>BY97*VLOOKUP('Données projet'!$B$12,Paramètres!$A$1:$I$89,3,0)*VLOOKUP('Données projet'!$B$12,Paramètres!$A$1:$I$89,5,0)</f>
        <v>3.1036506698001181E-13</v>
      </c>
      <c r="CA97" s="13">
        <f t="shared" si="93"/>
        <v>4.086682523110923E-12</v>
      </c>
      <c r="CB97" s="20">
        <f t="shared" si="64"/>
        <v>7.6581912194083782E-12</v>
      </c>
      <c r="CC97" s="59">
        <f t="shared" si="65"/>
        <v>275.64051507724616</v>
      </c>
      <c r="CD97" s="59">
        <f ca="1">AVERAGE(OFFSET($CC$3,0,0,'Données projet'!$E$12+1,1))-AVERAGE(OFFSET($H$3,0,0,'Données projet'!$E$12+1,1))</f>
        <v>382.09004346384319</v>
      </c>
      <c r="CE97" s="59">
        <f t="shared" si="94"/>
        <v>410.18893995284986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2.3981341394374871</v>
      </c>
      <c r="CL97" s="21">
        <f>EXP(-LN(2)/25)*CL96+(1-EXP(-LN(2)/25))/(LN(2)/25)*Calculateur!CG97*Calculateur!CI97*VLOOKUP('Données projet'!$B$12,Paramètres!$A$1:$I$89,3,0)*0.475*44/12</f>
        <v>5.7719681270582139</v>
      </c>
      <c r="CM97" s="21">
        <f>EXP(-LN(2)/2)*CM96+(1-EXP(-LN(2)/2))/(LN(2)/2)*CG97*CJ97*VLOOKUP('Données projet'!$B$12,Paramètres!$A$1:$I$89,3,0)*0.475*44/12</f>
        <v>5.8632404810903251E-9</v>
      </c>
      <c r="CN97" s="22">
        <f t="shared" si="66"/>
        <v>8.1701022723589407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363.02374534486341</v>
      </c>
      <c r="CZ97" s="59">
        <f t="shared" si="96"/>
        <v>489.00477393029598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2.0577187264470433</v>
      </c>
      <c r="DG97" s="21">
        <f>EXP(-LN(2)/25)*DG96+(1-EXP(-LN(2)/25))/(LN(2)/25)*Calculateur!DB97*Calculateur!DD97*VLOOKUP('Données projet'!$B$13,Paramètres!$A$1:$I$89,3,0)*0.475*44/12</f>
        <v>3.2833942924572632</v>
      </c>
      <c r="DH97" s="21">
        <f>EXP(-LN(2)/2)*DH96+(1-EXP(-LN(2)/2))/(LN(2)/2)*DB97*DE97*VLOOKUP('Données projet'!$B$13,Paramètres!$A$1:$I$89,3,0)*0.475*44/12</f>
        <v>6.8254161656746088E-9</v>
      </c>
      <c r="DI97" s="22">
        <f t="shared" si="69"/>
        <v>5.3411130257297224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>
        <f>DO97*VLOOKUP('Données projet'!$B$14,Paramètres!$A$1:$I$89,3,0)*VLOOKUP('Données projet'!$B$14,Paramètres!$A$1:$I$89,5,0)</f>
        <v>-3.7509835237869992E-13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368.03281986807173</v>
      </c>
      <c r="DU97" s="59">
        <f t="shared" si="98"/>
        <v>395.83504504492248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0.68688054078843097</v>
      </c>
      <c r="EB97" s="21">
        <f>EXP(-LN(2)/25)*EB96+(1-EXP(-LN(2)/25))/(LN(2)/25)*Calculateur!DW97*Calculateur!DY97*VLOOKUP('Données projet'!$B$14,Paramètres!$A$1:$I$89,3,0)*0.475*44/12</f>
        <v>2.6016713062738934</v>
      </c>
      <c r="EC97" s="21">
        <f>EXP(-LN(2)/2)*EC96+(1-EXP(-LN(2)/2))/(LN(2)/2)*DW97*DZ97*VLOOKUP('Données projet'!$B$14,Paramètres!$A$1:$I$89,3,0)*0.475*44/12</f>
        <v>5.1580415576605004E-9</v>
      </c>
      <c r="ED97" s="22">
        <f t="shared" si="72"/>
        <v>3.2885518522203658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225.2264820414552</v>
      </c>
      <c r="EP97" s="59">
        <f t="shared" si="100"/>
        <v>249.91838548328681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0.62285780595833762</v>
      </c>
      <c r="EW97" s="21">
        <f>EXP(-LN(2)/25)*EW96+(1-EXP(-LN(2)/25))/(LN(2)/25)*Calculateur!ER97*Calculateur!ET97*VLOOKUP('Données projet'!$B$15,Paramètres!$A$1:$I$89,3,0)*0.475*44/12</f>
        <v>1.467776221155318</v>
      </c>
      <c r="EX97" s="21">
        <f>EXP(-LN(2)/2)*EX96+(1-EXP(-LN(2)/2))/(LN(2)/2)*ER97*EU97*VLOOKUP('Données projet'!$B$15,Paramètres!$A$1:$I$89,3,0)*0.475*44/12</f>
        <v>9.4192163336019502E-10</v>
      </c>
      <c r="EY97" s="22">
        <f t="shared" si="75"/>
        <v>2.0906340280555775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-1.2505552149377763E-12</v>
      </c>
      <c r="FF97" s="17">
        <f>FE97*VLOOKUP('Données projet'!$B$16,Paramètres!$A$1:$I$89,3,0)*VLOOKUP('Données projet'!$B$16,Paramètres!$A$1:$I$89,5,0)</f>
        <v>-6.9906036515021697E-13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549.85684198202534</v>
      </c>
      <c r="FK97" s="59">
        <f t="shared" si="102"/>
        <v>539.63748606275431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3.2151855100735083</v>
      </c>
      <c r="FR97" s="21">
        <f>EXP(-LN(2)/25)*FR96+(1-EXP(-LN(2)/25))/(LN(2)/25)*Calculateur!FM97*Calculateur!FO97*VLOOKUP('Données projet'!$B$16,Paramètres!$A$1:$I$89,3,0)*0.475*44/12</f>
        <v>6.5726479347341193</v>
      </c>
      <c r="FS97" s="21">
        <f>EXP(-LN(2)/2)*FS96+(1-EXP(-LN(2)/2))/(LN(2)/2)*FM97*FP97*VLOOKUP('Données projet'!$B$16,Paramètres!$A$1:$I$89,3,0)*0.475*44/12</f>
        <v>8.4917739394665919E-9</v>
      </c>
      <c r="FT97" s="22">
        <f t="shared" si="78"/>
        <v>9.7878334532994025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-5.6843418860808015E-13</v>
      </c>
      <c r="GA97" s="17">
        <f>FZ97*VLOOKUP('Données projet'!$B$17,Paramètres!$A$1:$I$89,3,0)*VLOOKUP('Données projet'!$B$17,Paramètres!$A$1:$I$89,5,0)</f>
        <v>-3.39923644787632E-13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495.6641415122013</v>
      </c>
      <c r="GF97" s="59">
        <f t="shared" si="104"/>
        <v>488.90534169400757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1.1256548001441278</v>
      </c>
      <c r="GM97" s="21">
        <f>EXP(-LN(2)/25)*GM96+(1-EXP(-LN(2)/25))/(LN(2)/25)*Calculateur!GH97*Calculateur!GJ97*VLOOKUP('Données projet'!$B$17,Paramètres!$A$1:$I$89,3,0)*0.475*44/12</f>
        <v>4.4098276645840206</v>
      </c>
      <c r="GN97" s="21">
        <f>EXP(-LN(2)/2)*GN96+(1-EXP(-LN(2)/2))/(LN(2)/2)*GH97*GK97*VLOOKUP('Données projet'!$B$17,Paramètres!$A$1:$I$89,3,0)*0.475*44/12</f>
        <v>8.093037966967198E-9</v>
      </c>
      <c r="GO97" s="21">
        <f t="shared" si="81"/>
        <v>5.5354824728211867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-5.6843418860808015E-13</v>
      </c>
      <c r="GV97" s="17">
        <f>GU97*VLOOKUP('Données projet'!$B$18,Paramètres!$A$1:$I$89,3,0)*VLOOKUP('Données projet'!$B$18,Paramètres!$A$1:$I$89,5,0)</f>
        <v>-3.39923644787632E-13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-18.333333333333343</v>
      </c>
      <c r="HA97" s="59">
        <f t="shared" si="106"/>
        <v>-18.333333333333343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1.1256548001441278</v>
      </c>
      <c r="HH97" s="21">
        <f>EXP(-LN(2)/25)*HH96+(1-EXP(-LN(2)/25))/(LN(2)/25)*Calculateur!HC97*Calculateur!HE97*VLOOKUP('Données projet'!$B$18,Paramètres!$A$1:$I$89,3,0)*0.475*44/12</f>
        <v>4.4098276645840206</v>
      </c>
      <c r="HI97" s="21">
        <f>EXP(-LN(2)/2)*HI96+(1-EXP(-LN(2)/2))/(LN(2)/2)*HC97*HF97*VLOOKUP('Données projet'!$B$18,Paramètres!$A$1:$I$89,3,0)*0.475*44/12</f>
        <v>8.093037966967198E-9</v>
      </c>
      <c r="HJ97" s="22">
        <f t="shared" si="84"/>
        <v>5.5354824728211867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633.69999999999993</v>
      </c>
      <c r="O98" s="13">
        <f>N98*VLOOKUP('Données projet'!$B$9,Paramètres!$A$1:$I$89,3,0)*VLOOKUP('Données projet'!$B$9,Paramètres!$A$1:$I$89,5,0)</f>
        <v>296.57159999999999</v>
      </c>
      <c r="P98" s="13">
        <f t="shared" si="87"/>
        <v>70.457259073622822</v>
      </c>
      <c r="Q98" s="20">
        <f t="shared" si="54"/>
        <v>639.24192955322633</v>
      </c>
      <c r="R98" s="59">
        <f t="shared" si="55"/>
        <v>915.18937547199221</v>
      </c>
      <c r="S98" s="59">
        <f ca="1">AVERAGE(OFFSET($R$3,0,0,'Données projet'!$E$9+1,1))-AVERAGE(OFFSET($H$3,0,0,'Données projet'!$E$9+1,1))</f>
        <v>376.11581547534814</v>
      </c>
      <c r="T98" s="59">
        <f t="shared" si="88"/>
        <v>300.91675649863294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0.8652146690812621</v>
      </c>
      <c r="AA98" s="21">
        <f>EXP(-LN(2)/25)*AA97+(1-EXP(-LN(2)/25))/(LN(2)/25)*Calculateur!V98*Calculateur!X98*VLOOKUP('Données projet'!$B$9,Paramètres!$A$1:$I$89,3,0)*0.475*44/12</f>
        <v>1.2956684197360684</v>
      </c>
      <c r="AB98" s="21">
        <f>EXP(-LN(2)/2)*AB97+(1-EXP(-LN(2)/2))/(LN(2)/2)*V98*Y98*VLOOKUP('Données projet'!$B$9,Paramètres!$A$1:$I$89,3,0)*0.475*44/12</f>
        <v>1.6187314556539471E-9</v>
      </c>
      <c r="AC98" s="22">
        <f t="shared" si="57"/>
        <v>2.1608830904360619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299.94119999999987</v>
      </c>
      <c r="AK98" s="13">
        <f t="shared" si="89"/>
        <v>71.164136596531506</v>
      </c>
      <c r="AL98" s="20">
        <f t="shared" si="58"/>
        <v>646.3417945722922</v>
      </c>
      <c r="AM98" s="59">
        <f t="shared" si="59"/>
        <v>922.28924049105808</v>
      </c>
      <c r="AN98" s="59">
        <f ca="1">AVERAGE(OFFSET($AM$3,0,0,'Données projet'!$E$10+1,1))-AVERAGE(OFFSET($H$3,0,0,'Données projet'!$E$10+1,1))</f>
        <v>505.38595282220405</v>
      </c>
      <c r="AO98" s="59">
        <f t="shared" si="90"/>
        <v>351.72130415456365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0.66481449320308394</v>
      </c>
      <c r="AV98" s="21">
        <f>EXP(-LN(2)/25)*AV97+(1-EXP(-LN(2)/25))/(LN(2)/25)*Calculateur!AQ98*Calculateur!AS98*VLOOKUP('Données projet'!$B$10,Paramètres!$A$1:$I$89,3,0)*0.475*44/12</f>
        <v>1.8609710169108244</v>
      </c>
      <c r="AW98" s="21">
        <f>EXP(-LN(2)/2)*AW97+(1-EXP(-LN(2)/2))/(LN(2)/2)*AQ98*AT98*VLOOKUP('Données projet'!$B$10,Paramètres!$A$1:$I$89,3,0)*0.475*44/12</f>
        <v>3.5484578903224837E-9</v>
      </c>
      <c r="AX98" s="21">
        <f t="shared" si="60"/>
        <v>2.5257855136623664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-4.0702161641092972E-13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394.14657090341535</v>
      </c>
      <c r="BJ98" s="59">
        <f t="shared" si="92"/>
        <v>424.06445894109982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0.90065836764631968</v>
      </c>
      <c r="BQ98" s="21">
        <f>EXP(-LN(2)/25)*BQ97+(1-EXP(-LN(2)/25))/(LN(2)/25)*Calculateur!BL98*Calculateur!BN98*VLOOKUP('Données projet'!$B$11,Paramètres!$A$1:$I$89,3,0)*0.475*44/12</f>
        <v>3.3844722651608343</v>
      </c>
      <c r="BR98" s="21">
        <f>EXP(-LN(2)/2)*BR97+(1-EXP(-LN(2)/2))/(LN(2)/2)*BL98*BO98*VLOOKUP('Données projet'!$B$11,Paramètres!$A$1:$I$89,3,0)*0.475*44/12</f>
        <v>3.9576934960904455E-9</v>
      </c>
      <c r="BS98" s="22">
        <f t="shared" si="63"/>
        <v>4.2851306367648476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5.6843418860808015E-13</v>
      </c>
      <c r="BZ98" s="13">
        <f>BY98*VLOOKUP('Données projet'!$B$12,Paramètres!$A$1:$I$89,3,0)*VLOOKUP('Données projet'!$B$12,Paramètres!$A$1:$I$89,5,0)</f>
        <v>3.1036506698001181E-13</v>
      </c>
      <c r="CA98" s="13">
        <f t="shared" si="93"/>
        <v>4.086682523110923E-12</v>
      </c>
      <c r="CB98" s="20">
        <f t="shared" si="64"/>
        <v>7.6581912194083782E-12</v>
      </c>
      <c r="CC98" s="59">
        <f t="shared" si="65"/>
        <v>275.94744591877361</v>
      </c>
      <c r="CD98" s="59">
        <f ca="1">AVERAGE(OFFSET($CC$3,0,0,'Données projet'!$E$12+1,1))-AVERAGE(OFFSET($H$3,0,0,'Données projet'!$E$12+1,1))</f>
        <v>382.09004346384319</v>
      </c>
      <c r="CE98" s="59">
        <f t="shared" si="94"/>
        <v>410.18893995284986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2.3511081916805119</v>
      </c>
      <c r="CL98" s="21">
        <f>EXP(-LN(2)/25)*CL97+(1-EXP(-LN(2)/25))/(LN(2)/25)*Calculateur!CG98*Calculateur!CI98*VLOOKUP('Données projet'!$B$12,Paramètres!$A$1:$I$89,3,0)*0.475*44/12</f>
        <v>5.6141333550891952</v>
      </c>
      <c r="CM98" s="21">
        <f>EXP(-LN(2)/2)*CM97+(1-EXP(-LN(2)/2))/(LN(2)/2)*CG98*CJ98*VLOOKUP('Données projet'!$B$12,Paramètres!$A$1:$I$89,3,0)*0.475*44/12</f>
        <v>4.1459371039064442E-9</v>
      </c>
      <c r="CN98" s="22">
        <f t="shared" si="66"/>
        <v>7.9652415509156445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363.02374534486341</v>
      </c>
      <c r="CZ98" s="59">
        <f t="shared" si="96"/>
        <v>489.00477393029598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2.0173681173059106</v>
      </c>
      <c r="DG98" s="21">
        <f>EXP(-LN(2)/25)*DG97+(1-EXP(-LN(2)/25))/(LN(2)/25)*Calculateur!DB98*Calculateur!DD98*VLOOKUP('Données projet'!$B$13,Paramètres!$A$1:$I$89,3,0)*0.475*44/12</f>
        <v>3.1936097028638177</v>
      </c>
      <c r="DH98" s="21">
        <f>EXP(-LN(2)/2)*DH97+(1-EXP(-LN(2)/2))/(LN(2)/2)*DB98*DE98*VLOOKUP('Données projet'!$B$13,Paramètres!$A$1:$I$89,3,0)*0.475*44/12</f>
        <v>4.8262980551687997E-9</v>
      </c>
      <c r="DI98" s="22">
        <f t="shared" si="69"/>
        <v>5.2109778249960268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>
        <f>DO98*VLOOKUP('Données projet'!$B$14,Paramètres!$A$1:$I$89,3,0)*VLOOKUP('Données projet'!$B$14,Paramètres!$A$1:$I$89,5,0)</f>
        <v>-3.7509835237869992E-13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368.03281986807173</v>
      </c>
      <c r="DU98" s="59">
        <f t="shared" si="98"/>
        <v>395.83504504492248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0.67341123233933131</v>
      </c>
      <c r="EB98" s="21">
        <f>EXP(-LN(2)/25)*EB97+(1-EXP(-LN(2)/25))/(LN(2)/25)*Calculateur!DW98*Calculateur!DY98*VLOOKUP('Données projet'!$B$14,Paramètres!$A$1:$I$89,3,0)*0.475*44/12</f>
        <v>2.5305284675878861</v>
      </c>
      <c r="EC98" s="21">
        <f>EXP(-LN(2)/2)*EC97+(1-EXP(-LN(2)/2))/(LN(2)/2)*DW98*DZ98*VLOOKUP('Données projet'!$B$14,Paramètres!$A$1:$I$89,3,0)*0.475*44/12</f>
        <v>3.6472861630637624E-9</v>
      </c>
      <c r="ED98" s="22">
        <f t="shared" si="72"/>
        <v>3.2039397035745036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225.2264820414552</v>
      </c>
      <c r="EP98" s="59">
        <f t="shared" si="100"/>
        <v>249.91838548328681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0.61064394428924362</v>
      </c>
      <c r="EW98" s="21">
        <f>EXP(-LN(2)/25)*EW97+(1-EXP(-LN(2)/25))/(LN(2)/25)*Calculateur!ER98*Calculateur!ET98*VLOOKUP('Données projet'!$B$15,Paramètres!$A$1:$I$89,3,0)*0.475*44/12</f>
        <v>1.4276398032008291</v>
      </c>
      <c r="EX98" s="21">
        <f>EXP(-LN(2)/2)*EX97+(1-EXP(-LN(2)/2))/(LN(2)/2)*ER98*EU98*VLOOKUP('Données projet'!$B$15,Paramètres!$A$1:$I$89,3,0)*0.475*44/12</f>
        <v>6.6603917429530287E-10</v>
      </c>
      <c r="EY98" s="22">
        <f t="shared" si="75"/>
        <v>2.038283748156112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-1.2505552149377763E-12</v>
      </c>
      <c r="FF98" s="17">
        <f>FE98*VLOOKUP('Données projet'!$B$16,Paramètres!$A$1:$I$89,3,0)*VLOOKUP('Données projet'!$B$16,Paramètres!$A$1:$I$89,5,0)</f>
        <v>-6.9906036515021697E-13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549.85684198202534</v>
      </c>
      <c r="FK98" s="59">
        <f t="shared" si="102"/>
        <v>539.63748606275431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3.1521376832904884</v>
      </c>
      <c r="FR98" s="21">
        <f>EXP(-LN(2)/25)*FR97+(1-EXP(-LN(2)/25))/(LN(2)/25)*Calculateur!FM98*Calculateur!FO98*VLOOKUP('Données projet'!$B$16,Paramètres!$A$1:$I$89,3,0)*0.475*44/12</f>
        <v>6.3929185313182817</v>
      </c>
      <c r="FS98" s="21">
        <f>EXP(-LN(2)/2)*FS97+(1-EXP(-LN(2)/2))/(LN(2)/2)*FM98*FP98*VLOOKUP('Données projet'!$B$16,Paramètres!$A$1:$I$89,3,0)*0.475*44/12</f>
        <v>6.0045909369000301E-9</v>
      </c>
      <c r="FT98" s="22">
        <f t="shared" si="78"/>
        <v>9.5450562206133611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-5.6843418860808015E-13</v>
      </c>
      <c r="GA98" s="17">
        <f>FZ98*VLOOKUP('Données projet'!$B$17,Paramètres!$A$1:$I$89,3,0)*VLOOKUP('Données projet'!$B$17,Paramètres!$A$1:$I$89,5,0)</f>
        <v>-3.39923644787632E-13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495.6641415122013</v>
      </c>
      <c r="GF98" s="59">
        <f t="shared" si="104"/>
        <v>488.90534169400757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1.1035813960949352</v>
      </c>
      <c r="GM98" s="21">
        <f>EXP(-LN(2)/25)*GM97+(1-EXP(-LN(2)/25))/(LN(2)/25)*Calculateur!GH98*Calculateur!GJ98*VLOOKUP('Données projet'!$B$17,Paramètres!$A$1:$I$89,3,0)*0.475*44/12</f>
        <v>4.2892406951932127</v>
      </c>
      <c r="GN98" s="21">
        <f>EXP(-LN(2)/2)*GN97+(1-EXP(-LN(2)/2))/(LN(2)/2)*GH98*GK98*VLOOKUP('Données projet'!$B$17,Paramètres!$A$1:$I$89,3,0)*0.475*44/12</f>
        <v>5.722642026842696E-9</v>
      </c>
      <c r="GO98" s="21">
        <f t="shared" si="81"/>
        <v>5.3928220970107894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-5.6843418860808015E-13</v>
      </c>
      <c r="GV98" s="17">
        <f>GU98*VLOOKUP('Données projet'!$B$18,Paramètres!$A$1:$I$89,3,0)*VLOOKUP('Données projet'!$B$18,Paramètres!$A$1:$I$89,5,0)</f>
        <v>-3.39923644787632E-13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-18.333333333333343</v>
      </c>
      <c r="HA98" s="59">
        <f t="shared" si="106"/>
        <v>-18.333333333333343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1.1035813960949352</v>
      </c>
      <c r="HH98" s="21">
        <f>EXP(-LN(2)/25)*HH97+(1-EXP(-LN(2)/25))/(LN(2)/25)*Calculateur!HC98*Calculateur!HE98*VLOOKUP('Données projet'!$B$18,Paramètres!$A$1:$I$89,3,0)*0.475*44/12</f>
        <v>4.2892406951932127</v>
      </c>
      <c r="HI98" s="21">
        <f>EXP(-LN(2)/2)*HI97+(1-EXP(-LN(2)/2))/(LN(2)/2)*HC98*HF98*VLOOKUP('Données projet'!$B$18,Paramètres!$A$1:$I$89,3,0)*0.475*44/12</f>
        <v>5.722642026842696E-9</v>
      </c>
      <c r="HJ98" s="22">
        <f t="shared" si="84"/>
        <v>5.3928220970107894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652.19999999999993</v>
      </c>
      <c r="O99" s="13">
        <f>N99*VLOOKUP('Données projet'!$B$9,Paramètres!$A$1:$I$89,3,0)*VLOOKUP('Données projet'!$B$9,Paramètres!$A$1:$I$89,5,0)</f>
        <v>305.22959999999995</v>
      </c>
      <c r="P99" s="13">
        <f t="shared" si="87"/>
        <v>72.271683388093081</v>
      </c>
      <c r="Q99" s="20">
        <f t="shared" ref="Q99:Q130" si="107">(O99+P99)*0.475*44/12</f>
        <v>657.48140190092874</v>
      </c>
      <c r="R99" s="59">
        <f t="shared" si="55"/>
        <v>933.73045409731617</v>
      </c>
      <c r="S99" s="59">
        <f ca="1">AVERAGE(OFFSET($R$3,0,0,'Données projet'!$E$9+1,1))-AVERAGE(OFFSET($H$3,0,0,'Données projet'!$E$9+1,1))</f>
        <v>376.11581547534814</v>
      </c>
      <c r="T99" s="59">
        <f t="shared" si="88"/>
        <v>300.91675649863294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0.84824833714941783</v>
      </c>
      <c r="AA99" s="21">
        <f>EXP(-LN(2)/25)*AA98+(1-EXP(-LN(2)/25))/(LN(2)/25)*Calculateur!V99*Calculateur!X99*VLOOKUP('Données projet'!$B$9,Paramètres!$A$1:$I$89,3,0)*0.475*44/12</f>
        <v>1.2602382986621448</v>
      </c>
      <c r="AB99" s="21">
        <f>EXP(-LN(2)/2)*AB98+(1-EXP(-LN(2)/2))/(LN(2)/2)*V99*Y99*VLOOKUP('Données projet'!$B$9,Paramètres!$A$1:$I$89,3,0)*0.475*44/12</f>
        <v>1.1446159892128771E-9</v>
      </c>
      <c r="AC99" s="22">
        <f t="shared" si="57"/>
        <v>2.1084866369561786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305.27951999999982</v>
      </c>
      <c r="AK99" s="13">
        <f t="shared" si="89"/>
        <v>72.282127407576809</v>
      </c>
      <c r="AL99" s="20">
        <f t="shared" si="58"/>
        <v>657.58653590152937</v>
      </c>
      <c r="AM99" s="59">
        <f t="shared" si="59"/>
        <v>933.8355880979168</v>
      </c>
      <c r="AN99" s="59">
        <f ca="1">AVERAGE(OFFSET($AM$3,0,0,'Données projet'!$E$10+1,1))-AVERAGE(OFFSET($H$3,0,0,'Données projet'!$E$10+1,1))</f>
        <v>505.38595282220405</v>
      </c>
      <c r="AO99" s="59">
        <f t="shared" si="90"/>
        <v>351.72130415456365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0.65177788648817281</v>
      </c>
      <c r="AV99" s="21">
        <f>EXP(-LN(2)/25)*AV98+(1-EXP(-LN(2)/25))/(LN(2)/25)*Calculateur!AQ99*Calculateur!AS99*VLOOKUP('Données projet'!$B$10,Paramètres!$A$1:$I$89,3,0)*0.475*44/12</f>
        <v>1.8100826665891854</v>
      </c>
      <c r="AW99" s="21">
        <f>EXP(-LN(2)/2)*AW98+(1-EXP(-LN(2)/2))/(LN(2)/2)*AQ99*AT99*VLOOKUP('Données projet'!$B$10,Paramètres!$A$1:$I$89,3,0)*0.475*44/12</f>
        <v>2.5091386370019385E-9</v>
      </c>
      <c r="AX99" s="21">
        <f t="shared" si="60"/>
        <v>2.461860555586497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-4.0702161641092972E-13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394.14657090341535</v>
      </c>
      <c r="BJ99" s="59">
        <f t="shared" si="92"/>
        <v>424.06445894109982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0.88299700640413603</v>
      </c>
      <c r="BQ99" s="21">
        <f>EXP(-LN(2)/25)*BQ98+(1-EXP(-LN(2)/25))/(LN(2)/25)*Calculateur!BL99*Calculateur!BN99*VLOOKUP('Données projet'!$B$11,Paramètres!$A$1:$I$89,3,0)*0.475*44/12</f>
        <v>3.2919236930883504</v>
      </c>
      <c r="BR99" s="21">
        <f>EXP(-LN(2)/2)*BR98+(1-EXP(-LN(2)/2))/(LN(2)/2)*BL99*BO99*VLOOKUP('Données projet'!$B$11,Paramètres!$A$1:$I$89,3,0)*0.475*44/12</f>
        <v>2.7985119089434489E-9</v>
      </c>
      <c r="BS99" s="22">
        <f t="shared" si="63"/>
        <v>4.174920702290998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5.6843418860808015E-13</v>
      </c>
      <c r="BZ99" s="13">
        <f>BY99*VLOOKUP('Données projet'!$B$12,Paramètres!$A$1:$I$89,3,0)*VLOOKUP('Données projet'!$B$12,Paramètres!$A$1:$I$89,5,0)</f>
        <v>3.1036506698001181E-13</v>
      </c>
      <c r="CA99" s="13">
        <f t="shared" si="93"/>
        <v>4.086682523110923E-12</v>
      </c>
      <c r="CB99" s="20">
        <f t="shared" si="64"/>
        <v>7.6581912194083782E-12</v>
      </c>
      <c r="CC99" s="59">
        <f t="shared" si="65"/>
        <v>276.2490521963951</v>
      </c>
      <c r="CD99" s="59">
        <f ca="1">AVERAGE(OFFSET($CC$3,0,0,'Données projet'!$E$12+1,1))-AVERAGE(OFFSET($H$3,0,0,'Données projet'!$E$12+1,1))</f>
        <v>382.09004346384319</v>
      </c>
      <c r="CE99" s="59">
        <f t="shared" si="94"/>
        <v>410.18893995284986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2.3050043940760547</v>
      </c>
      <c r="CL99" s="21">
        <f>EXP(-LN(2)/25)*CL98+(1-EXP(-LN(2)/25))/(LN(2)/25)*Calculateur!CG99*Calculateur!CI99*VLOOKUP('Données projet'!$B$12,Paramètres!$A$1:$I$89,3,0)*0.475*44/12</f>
        <v>5.4606145832598392</v>
      </c>
      <c r="CM99" s="21">
        <f>EXP(-LN(2)/2)*CM98+(1-EXP(-LN(2)/2))/(LN(2)/2)*CG99*CJ99*VLOOKUP('Données projet'!$B$12,Paramètres!$A$1:$I$89,3,0)*0.475*44/12</f>
        <v>2.9316202405451626E-9</v>
      </c>
      <c r="CN99" s="22">
        <f t="shared" si="66"/>
        <v>7.7656189802675142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363.02374534486341</v>
      </c>
      <c r="CZ99" s="59">
        <f t="shared" si="96"/>
        <v>489.00477393029598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1.9778087589985942</v>
      </c>
      <c r="DG99" s="21">
        <f>EXP(-LN(2)/25)*DG98+(1-EXP(-LN(2)/25))/(LN(2)/25)*Calculateur!DB99*Calculateur!DD99*VLOOKUP('Données projet'!$B$13,Paramètres!$A$1:$I$89,3,0)*0.475*44/12</f>
        <v>3.1062802775943714</v>
      </c>
      <c r="DH99" s="21">
        <f>EXP(-LN(2)/2)*DH98+(1-EXP(-LN(2)/2))/(LN(2)/2)*DB99*DE99*VLOOKUP('Données projet'!$B$13,Paramètres!$A$1:$I$89,3,0)*0.475*44/12</f>
        <v>3.4127080828373044E-9</v>
      </c>
      <c r="DI99" s="22">
        <f t="shared" si="69"/>
        <v>5.084089040005674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>
        <f>DO99*VLOOKUP('Données projet'!$B$14,Paramètres!$A$1:$I$89,3,0)*VLOOKUP('Données projet'!$B$14,Paramètres!$A$1:$I$89,5,0)</f>
        <v>-3.7509835237869992E-13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368.03281986807173</v>
      </c>
      <c r="DU99" s="59">
        <f t="shared" si="98"/>
        <v>395.83504504492248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0.66020604881345146</v>
      </c>
      <c r="EB99" s="21">
        <f>EXP(-LN(2)/25)*EB98+(1-EXP(-LN(2)/25))/(LN(2)/25)*Calculateur!DW99*Calculateur!DY99*VLOOKUP('Données projet'!$B$14,Paramètres!$A$1:$I$89,3,0)*0.475*44/12</f>
        <v>2.4613310335669869</v>
      </c>
      <c r="EC99" s="21">
        <f>EXP(-LN(2)/2)*EC98+(1-EXP(-LN(2)/2))/(LN(2)/2)*DW99*DZ99*VLOOKUP('Données projet'!$B$14,Paramètres!$A$1:$I$89,3,0)*0.475*44/12</f>
        <v>2.5790207788302506E-9</v>
      </c>
      <c r="ED99" s="22">
        <f t="shared" si="72"/>
        <v>3.1215370849594595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225.2264820414552</v>
      </c>
      <c r="EP99" s="59">
        <f t="shared" si="100"/>
        <v>249.91838548328681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0.59866958899776057</v>
      </c>
      <c r="EW99" s="21">
        <f>EXP(-LN(2)/25)*EW98+(1-EXP(-LN(2)/25))/(LN(2)/25)*Calculateur!ER99*Calculateur!ET99*VLOOKUP('Données projet'!$B$15,Paramètres!$A$1:$I$89,3,0)*0.475*44/12</f>
        <v>1.3886009177059881</v>
      </c>
      <c r="EX99" s="21">
        <f>EXP(-LN(2)/2)*EX98+(1-EXP(-LN(2)/2))/(LN(2)/2)*ER99*EU99*VLOOKUP('Données projet'!$B$15,Paramètres!$A$1:$I$89,3,0)*0.475*44/12</f>
        <v>4.7096081668009751E-10</v>
      </c>
      <c r="EY99" s="22">
        <f t="shared" si="75"/>
        <v>1.9872705071747097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-1.2505552149377763E-12</v>
      </c>
      <c r="FF99" s="17">
        <f>FE99*VLOOKUP('Données projet'!$B$16,Paramètres!$A$1:$I$89,3,0)*VLOOKUP('Données projet'!$B$16,Paramètres!$A$1:$I$89,5,0)</f>
        <v>-6.9906036515021697E-13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549.85684198202534</v>
      </c>
      <c r="FK99" s="59">
        <f t="shared" si="102"/>
        <v>539.63748606275431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3.0903261859353064</v>
      </c>
      <c r="FR99" s="21">
        <f>EXP(-LN(2)/25)*FR98+(1-EXP(-LN(2)/25))/(LN(2)/25)*Calculateur!FM99*Calculateur!FO99*VLOOKUP('Données projet'!$B$16,Paramètres!$A$1:$I$89,3,0)*0.475*44/12</f>
        <v>6.2181038378904088</v>
      </c>
      <c r="FS99" s="21">
        <f>EXP(-LN(2)/2)*FS98+(1-EXP(-LN(2)/2))/(LN(2)/2)*FM99*FP99*VLOOKUP('Données projet'!$B$16,Paramètres!$A$1:$I$89,3,0)*0.475*44/12</f>
        <v>4.2458869697332959E-9</v>
      </c>
      <c r="FT99" s="22">
        <f t="shared" si="78"/>
        <v>9.3084300280716015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-5.6843418860808015E-13</v>
      </c>
      <c r="GA99" s="17">
        <f>FZ99*VLOOKUP('Données projet'!$B$17,Paramètres!$A$1:$I$89,3,0)*VLOOKUP('Données projet'!$B$17,Paramètres!$A$1:$I$89,5,0)</f>
        <v>-3.39923644787632E-13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495.6641415122013</v>
      </c>
      <c r="GF99" s="59">
        <f t="shared" si="104"/>
        <v>488.90534169400757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1.0819408380357003</v>
      </c>
      <c r="GM99" s="21">
        <f>EXP(-LN(2)/25)*GM98+(1-EXP(-LN(2)/25))/(LN(2)/25)*Calculateur!GH99*Calculateur!GJ99*VLOOKUP('Données projet'!$B$17,Paramètres!$A$1:$I$89,3,0)*0.475*44/12</f>
        <v>4.1719511828217897</v>
      </c>
      <c r="GN99" s="21">
        <f>EXP(-LN(2)/2)*GN98+(1-EXP(-LN(2)/2))/(LN(2)/2)*GH99*GK99*VLOOKUP('Données projet'!$B$17,Paramètres!$A$1:$I$89,3,0)*0.475*44/12</f>
        <v>4.046518983483599E-9</v>
      </c>
      <c r="GO99" s="21">
        <f t="shared" si="81"/>
        <v>5.2538920249040091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-5.6843418860808015E-13</v>
      </c>
      <c r="GV99" s="17">
        <f>GU99*VLOOKUP('Données projet'!$B$18,Paramètres!$A$1:$I$89,3,0)*VLOOKUP('Données projet'!$B$18,Paramètres!$A$1:$I$89,5,0)</f>
        <v>-3.39923644787632E-13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-18.333333333333343</v>
      </c>
      <c r="HA99" s="59">
        <f t="shared" si="106"/>
        <v>-18.333333333333343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1.0819408380357003</v>
      </c>
      <c r="HH99" s="21">
        <f>EXP(-LN(2)/25)*HH98+(1-EXP(-LN(2)/25))/(LN(2)/25)*Calculateur!HC99*Calculateur!HE99*VLOOKUP('Données projet'!$B$18,Paramètres!$A$1:$I$89,3,0)*0.475*44/12</f>
        <v>4.1719511828217897</v>
      </c>
      <c r="HI99" s="21">
        <f>EXP(-LN(2)/2)*HI98+(1-EXP(-LN(2)/2))/(LN(2)/2)*HC99*HF99*VLOOKUP('Données projet'!$B$18,Paramètres!$A$1:$I$89,3,0)*0.475*44/12</f>
        <v>4.046518983483599E-9</v>
      </c>
      <c r="HJ99" s="22">
        <f t="shared" si="84"/>
        <v>5.2538920249040091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670.69999999999993</v>
      </c>
      <c r="O100" s="13">
        <f>N100*VLOOKUP('Données projet'!$B$9,Paramètres!$A$1:$I$89,3,0)*VLOOKUP('Données projet'!$B$9,Paramètres!$A$1:$I$89,5,0)</f>
        <v>313.88759999999996</v>
      </c>
      <c r="P100" s="13">
        <f t="shared" si="87"/>
        <v>74.080125962367049</v>
      </c>
      <c r="Q100" s="20">
        <f t="shared" si="107"/>
        <v>675.71045605112249</v>
      </c>
      <c r="R100" s="59">
        <f t="shared" si="55"/>
        <v>952.2558823305053</v>
      </c>
      <c r="S100" s="59">
        <f ca="1">AVERAGE(OFFSET($R$3,0,0,'Données projet'!$E$9+1,1))-AVERAGE(OFFSET($H$3,0,0,'Données projet'!$E$9+1,1))</f>
        <v>376.11581547534814</v>
      </c>
      <c r="T100" s="59">
        <f t="shared" si="88"/>
        <v>300.91675649863294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0.83161470463831633</v>
      </c>
      <c r="AA100" s="21">
        <f>EXP(-LN(2)/25)*AA99+(1-EXP(-LN(2)/25))/(LN(2)/25)*Calculateur!V100*Calculateur!X100*VLOOKUP('Données projet'!$B$9,Paramètres!$A$1:$I$89,3,0)*0.475*44/12</f>
        <v>1.2257770161121766</v>
      </c>
      <c r="AB100" s="21">
        <f>EXP(-LN(2)/2)*AB99+(1-EXP(-LN(2)/2))/(LN(2)/2)*V100*Y100*VLOOKUP('Données projet'!$B$9,Paramètres!$A$1:$I$89,3,0)*0.475*44/12</f>
        <v>8.0936572782697355E-10</v>
      </c>
      <c r="AC100" s="22">
        <f t="shared" si="57"/>
        <v>2.0573917215598589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310.61783999999983</v>
      </c>
      <c r="AK100" s="13">
        <f t="shared" si="89"/>
        <v>73.397844798859666</v>
      </c>
      <c r="AL100" s="20">
        <f t="shared" si="58"/>
        <v>668.82731769134693</v>
      </c>
      <c r="AM100" s="59">
        <f t="shared" si="59"/>
        <v>945.37274397072974</v>
      </c>
      <c r="AN100" s="59">
        <f ca="1">AVERAGE(OFFSET($AM$3,0,0,'Données projet'!$E$10+1,1))-AVERAGE(OFFSET($H$3,0,0,'Données projet'!$E$10+1,1))</f>
        <v>505.38595282220405</v>
      </c>
      <c r="AO100" s="59">
        <f t="shared" si="90"/>
        <v>351.72130415456365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0.6389969196793962</v>
      </c>
      <c r="AV100" s="21">
        <f>EXP(-LN(2)/25)*AV99+(1-EXP(-LN(2)/25))/(LN(2)/25)*Calculateur!AQ100*Calculateur!AS100*VLOOKUP('Données projet'!$B$10,Paramètres!$A$1:$I$89,3,0)*0.475*44/12</f>
        <v>1.7605858608831937</v>
      </c>
      <c r="AW100" s="21">
        <f>EXP(-LN(2)/2)*AW99+(1-EXP(-LN(2)/2))/(LN(2)/2)*AQ100*AT100*VLOOKUP('Données projet'!$B$10,Paramètres!$A$1:$I$89,3,0)*0.475*44/12</f>
        <v>1.7742289451612418E-9</v>
      </c>
      <c r="AX100" s="21">
        <f t="shared" si="60"/>
        <v>2.3995827823368185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-4.0702161641092972E-13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394.14657090341535</v>
      </c>
      <c r="BJ100" s="59">
        <f t="shared" si="92"/>
        <v>424.06445894109982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0.86568197368354494</v>
      </c>
      <c r="BQ100" s="21">
        <f>EXP(-LN(2)/25)*BQ99+(1-EXP(-LN(2)/25))/(LN(2)/25)*Calculateur!BL100*Calculateur!BN100*VLOOKUP('Données projet'!$B$11,Paramètres!$A$1:$I$89,3,0)*0.475*44/12</f>
        <v>3.2019058665861064</v>
      </c>
      <c r="BR100" s="21">
        <f>EXP(-LN(2)/2)*BR99+(1-EXP(-LN(2)/2))/(LN(2)/2)*BL100*BO100*VLOOKUP('Données projet'!$B$11,Paramètres!$A$1:$I$89,3,0)*0.475*44/12</f>
        <v>1.9788467480452227E-9</v>
      </c>
      <c r="BS100" s="22">
        <f t="shared" si="63"/>
        <v>4.0675878422484981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5.6843418860808015E-13</v>
      </c>
      <c r="BZ100" s="13">
        <f>BY100*VLOOKUP('Données projet'!$B$12,Paramètres!$A$1:$I$89,3,0)*VLOOKUP('Données projet'!$B$12,Paramètres!$A$1:$I$89,5,0)</f>
        <v>3.1036506698001181E-13</v>
      </c>
      <c r="CA100" s="13">
        <f t="shared" si="93"/>
        <v>4.086682523110923E-12</v>
      </c>
      <c r="CB100" s="20">
        <f t="shared" si="64"/>
        <v>7.6581912194083782E-12</v>
      </c>
      <c r="CC100" s="59">
        <f t="shared" si="65"/>
        <v>276.54542627939048</v>
      </c>
      <c r="CD100" s="59">
        <f ca="1">AVERAGE(OFFSET($CC$3,0,0,'Données projet'!$E$12+1,1))-AVERAGE(OFFSET($H$3,0,0,'Données projet'!$E$12+1,1))</f>
        <v>382.09004346384319</v>
      </c>
      <c r="CE100" s="59">
        <f t="shared" si="94"/>
        <v>410.18893995284986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2.2598046638220812</v>
      </c>
      <c r="CL100" s="21">
        <f>EXP(-LN(2)/25)*CL99+(1-EXP(-LN(2)/25))/(LN(2)/25)*Calculateur!CG100*Calculateur!CI100*VLOOKUP('Données projet'!$B$12,Paramètres!$A$1:$I$89,3,0)*0.475*44/12</f>
        <v>5.3112937903193584</v>
      </c>
      <c r="CM100" s="21">
        <f>EXP(-LN(2)/2)*CM99+(1-EXP(-LN(2)/2))/(LN(2)/2)*CG100*CJ100*VLOOKUP('Données projet'!$B$12,Paramètres!$A$1:$I$89,3,0)*0.475*44/12</f>
        <v>2.0729685519532221E-9</v>
      </c>
      <c r="CN100" s="22">
        <f t="shared" si="66"/>
        <v>7.5710984562144086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363.02374534486341</v>
      </c>
      <c r="CZ100" s="59">
        <f t="shared" si="96"/>
        <v>489.00477393029598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1.9390251355788581</v>
      </c>
      <c r="DG100" s="21">
        <f>EXP(-LN(2)/25)*DG99+(1-EXP(-LN(2)/25))/(LN(2)/25)*Calculateur!DB100*Calculateur!DD100*VLOOKUP('Données projet'!$B$13,Paramètres!$A$1:$I$89,3,0)*0.475*44/12</f>
        <v>3.0213388800513732</v>
      </c>
      <c r="DH100" s="21">
        <f>EXP(-LN(2)/2)*DH99+(1-EXP(-LN(2)/2))/(LN(2)/2)*DB100*DE100*VLOOKUP('Données projet'!$B$13,Paramètres!$A$1:$I$89,3,0)*0.475*44/12</f>
        <v>2.4131490275843999E-9</v>
      </c>
      <c r="DI100" s="22">
        <f t="shared" si="69"/>
        <v>4.9603640180433803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>
        <f>DO100*VLOOKUP('Données projet'!$B$14,Paramètres!$A$1:$I$89,3,0)*VLOOKUP('Données projet'!$B$14,Paramètres!$A$1:$I$89,5,0)</f>
        <v>-3.7509835237869992E-13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368.03281986807173</v>
      </c>
      <c r="DU100" s="59">
        <f t="shared" si="98"/>
        <v>395.83504504492248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0.64725981088214757</v>
      </c>
      <c r="EB100" s="21">
        <f>EXP(-LN(2)/25)*EB99+(1-EXP(-LN(2)/25))/(LN(2)/25)*Calculateur!DW100*Calculateur!DY100*VLOOKUP('Données projet'!$B$14,Paramètres!$A$1:$I$89,3,0)*0.475*44/12</f>
        <v>2.3940258070183242</v>
      </c>
      <c r="EC100" s="21">
        <f>EXP(-LN(2)/2)*EC99+(1-EXP(-LN(2)/2))/(LN(2)/2)*DW100*DZ100*VLOOKUP('Données projet'!$B$14,Paramètres!$A$1:$I$89,3,0)*0.475*44/12</f>
        <v>1.8236430815318816E-9</v>
      </c>
      <c r="ED100" s="22">
        <f t="shared" si="72"/>
        <v>3.0412856197241149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225.2264820414552</v>
      </c>
      <c r="EP100" s="59">
        <f t="shared" si="100"/>
        <v>249.91838548328681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0.58693004350990796</v>
      </c>
      <c r="EW100" s="21">
        <f>EXP(-LN(2)/25)*EW99+(1-EXP(-LN(2)/25))/(LN(2)/25)*Calculateur!ER100*Calculateur!ET100*VLOOKUP('Données projet'!$B$15,Paramètres!$A$1:$I$89,3,0)*0.475*44/12</f>
        <v>1.3506295525879692</v>
      </c>
      <c r="EX100" s="21">
        <f>EXP(-LN(2)/2)*EX99+(1-EXP(-LN(2)/2))/(LN(2)/2)*ER100*EU100*VLOOKUP('Données projet'!$B$15,Paramètres!$A$1:$I$89,3,0)*0.475*44/12</f>
        <v>3.3301958714765143E-10</v>
      </c>
      <c r="EY100" s="22">
        <f t="shared" si="75"/>
        <v>1.9375595964308967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-1.2505552149377763E-12</v>
      </c>
      <c r="FF100" s="17">
        <f>FE100*VLOOKUP('Données projet'!$B$16,Paramètres!$A$1:$I$89,3,0)*VLOOKUP('Données projet'!$B$16,Paramètres!$A$1:$I$89,5,0)</f>
        <v>-6.9906036515021697E-13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549.85684198202534</v>
      </c>
      <c r="FK100" s="59">
        <f t="shared" si="102"/>
        <v>539.63748606275431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3.0297267743419689</v>
      </c>
      <c r="FR100" s="21">
        <f>EXP(-LN(2)/25)*FR99+(1-EXP(-LN(2)/25))/(LN(2)/25)*Calculateur!FM100*Calculateur!FO100*VLOOKUP('Données projet'!$B$16,Paramètres!$A$1:$I$89,3,0)*0.475*44/12</f>
        <v>6.048069461447426</v>
      </c>
      <c r="FS100" s="21">
        <f>EXP(-LN(2)/2)*FS99+(1-EXP(-LN(2)/2))/(LN(2)/2)*FM100*FP100*VLOOKUP('Données projet'!$B$16,Paramètres!$A$1:$I$89,3,0)*0.475*44/12</f>
        <v>3.0022954684500151E-9</v>
      </c>
      <c r="FT100" s="22">
        <f t="shared" si="78"/>
        <v>9.0777962387916897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-5.6843418860808015E-13</v>
      </c>
      <c r="GA100" s="17">
        <f>FZ100*VLOOKUP('Données projet'!$B$17,Paramètres!$A$1:$I$89,3,0)*VLOOKUP('Données projet'!$B$17,Paramètres!$A$1:$I$89,5,0)</f>
        <v>-3.39923644787632E-13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495.6641415122013</v>
      </c>
      <c r="GF100" s="59">
        <f t="shared" si="104"/>
        <v>488.90534169400757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1.0607246381205699</v>
      </c>
      <c r="GM100" s="21">
        <f>EXP(-LN(2)/25)*GM99+(1-EXP(-LN(2)/25))/(LN(2)/25)*Calculateur!GH100*Calculateur!GJ100*VLOOKUP('Données projet'!$B$17,Paramètres!$A$1:$I$89,3,0)*0.475*44/12</f>
        <v>4.0578689583341498</v>
      </c>
      <c r="GN100" s="21">
        <f>EXP(-LN(2)/2)*GN99+(1-EXP(-LN(2)/2))/(LN(2)/2)*GH100*GK100*VLOOKUP('Données projet'!$B$17,Paramètres!$A$1:$I$89,3,0)*0.475*44/12</f>
        <v>2.861321013421348E-9</v>
      </c>
      <c r="GO100" s="21">
        <f t="shared" si="81"/>
        <v>5.118593599316041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-5.6843418860808015E-13</v>
      </c>
      <c r="GV100" s="17">
        <f>GU100*VLOOKUP('Données projet'!$B$18,Paramètres!$A$1:$I$89,3,0)*VLOOKUP('Données projet'!$B$18,Paramètres!$A$1:$I$89,5,0)</f>
        <v>-3.39923644787632E-13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-18.333333333333343</v>
      </c>
      <c r="HA100" s="59">
        <f t="shared" si="106"/>
        <v>-18.333333333333343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1.0607246381205699</v>
      </c>
      <c r="HH100" s="21">
        <f>EXP(-LN(2)/25)*HH99+(1-EXP(-LN(2)/25))/(LN(2)/25)*Calculateur!HC100*Calculateur!HE100*VLOOKUP('Données projet'!$B$18,Paramètres!$A$1:$I$89,3,0)*0.475*44/12</f>
        <v>4.0578689583341498</v>
      </c>
      <c r="HI100" s="21">
        <f>EXP(-LN(2)/2)*HI99+(1-EXP(-LN(2)/2))/(LN(2)/2)*HC100*HF100*VLOOKUP('Données projet'!$B$18,Paramètres!$A$1:$I$89,3,0)*0.475*44/12</f>
        <v>2.861321013421348E-9</v>
      </c>
      <c r="HJ100" s="22">
        <f t="shared" si="84"/>
        <v>5.118593599316041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689.19999999999993</v>
      </c>
      <c r="O101" s="13">
        <f>N101*VLOOKUP('Données projet'!$B$9,Paramètres!$A$1:$I$89,3,0)*VLOOKUP('Données projet'!$B$9,Paramètres!$A$1:$I$89,5,0)</f>
        <v>322.54559999999998</v>
      </c>
      <c r="P101" s="13">
        <f t="shared" si="87"/>
        <v>75.882770748800752</v>
      </c>
      <c r="Q101" s="20">
        <f t="shared" si="107"/>
        <v>693.92941238749461</v>
      </c>
      <c r="R101" s="59">
        <f t="shared" si="55"/>
        <v>970.76607132212598</v>
      </c>
      <c r="S101" s="59">
        <f ca="1">AVERAGE(OFFSET($R$3,0,0,'Données projet'!$E$9+1,1))-AVERAGE(OFFSET($H$3,0,0,'Données projet'!$E$9+1,1))</f>
        <v>376.11581547534814</v>
      </c>
      <c r="T101" s="59">
        <f t="shared" si="88"/>
        <v>300.91675649863294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0.81530724751524353</v>
      </c>
      <c r="AA101" s="21">
        <f>EXP(-LN(2)/25)*AA100+(1-EXP(-LN(2)/25))/(LN(2)/25)*Calculateur!V101*Calculateur!X101*VLOOKUP('Données projet'!$B$9,Paramètres!$A$1:$I$89,3,0)*0.475*44/12</f>
        <v>1.1922580791457773</v>
      </c>
      <c r="AB101" s="21">
        <f>EXP(-LN(2)/2)*AB100+(1-EXP(-LN(2)/2))/(LN(2)/2)*V101*Y101*VLOOKUP('Données projet'!$B$9,Paramètres!$A$1:$I$89,3,0)*0.475*44/12</f>
        <v>5.7230799460643855E-10</v>
      </c>
      <c r="AC101" s="22">
        <f t="shared" si="57"/>
        <v>2.0075653272333289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315.95615999999984</v>
      </c>
      <c r="AK101" s="13">
        <f t="shared" si="89"/>
        <v>74.511332350300975</v>
      </c>
      <c r="AL101" s="20">
        <f t="shared" si="58"/>
        <v>680.06421584344059</v>
      </c>
      <c r="AM101" s="59">
        <f t="shared" si="59"/>
        <v>956.90087477807197</v>
      </c>
      <c r="AN101" s="59">
        <f ca="1">AVERAGE(OFFSET($AM$3,0,0,'Données projet'!$E$10+1,1))-AVERAGE(OFFSET($H$3,0,0,'Données projet'!$E$10+1,1))</f>
        <v>505.38595282220405</v>
      </c>
      <c r="AO101" s="59">
        <f t="shared" si="90"/>
        <v>351.72130415456365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0.62646657983411969</v>
      </c>
      <c r="AV101" s="21">
        <f>EXP(-LN(2)/25)*AV100+(1-EXP(-LN(2)/25))/(LN(2)/25)*Calculateur!AQ101*Calculateur!AS101*VLOOKUP('Données projet'!$B$10,Paramètres!$A$1:$I$89,3,0)*0.475*44/12</f>
        <v>1.7124425479321561</v>
      </c>
      <c r="AW101" s="21">
        <f>EXP(-LN(2)/2)*AW100+(1-EXP(-LN(2)/2))/(LN(2)/2)*AQ101*AT101*VLOOKUP('Données projet'!$B$10,Paramètres!$A$1:$I$89,3,0)*0.475*44/12</f>
        <v>1.2545693185009692E-9</v>
      </c>
      <c r="AX101" s="21">
        <f t="shared" si="60"/>
        <v>2.3389091290208452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-4.0702161641092972E-13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394.14657090341535</v>
      </c>
      <c r="BJ101" s="59">
        <f t="shared" si="92"/>
        <v>424.06445894109982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0.84870647819347755</v>
      </c>
      <c r="BQ101" s="21">
        <f>EXP(-LN(2)/25)*BQ100+(1-EXP(-LN(2)/25))/(LN(2)/25)*Calculateur!BL101*Calculateur!BN101*VLOOKUP('Données projet'!$B$11,Paramètres!$A$1:$I$89,3,0)*0.475*44/12</f>
        <v>3.1143495822833978</v>
      </c>
      <c r="BR101" s="21">
        <f>EXP(-LN(2)/2)*BR100+(1-EXP(-LN(2)/2))/(LN(2)/2)*BL101*BO101*VLOOKUP('Données projet'!$B$11,Paramètres!$A$1:$I$89,3,0)*0.475*44/12</f>
        <v>1.3992559544717245E-9</v>
      </c>
      <c r="BS101" s="22">
        <f t="shared" si="63"/>
        <v>3.9630560618761312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5.6843418860808015E-13</v>
      </c>
      <c r="BZ101" s="13">
        <f>BY101*VLOOKUP('Données projet'!$B$12,Paramètres!$A$1:$I$89,3,0)*VLOOKUP('Données projet'!$B$12,Paramètres!$A$1:$I$89,5,0)</f>
        <v>3.1036506698001181E-13</v>
      </c>
      <c r="CA101" s="13">
        <f t="shared" si="93"/>
        <v>4.086682523110923E-12</v>
      </c>
      <c r="CB101" s="20">
        <f t="shared" si="64"/>
        <v>7.6581912194083782E-12</v>
      </c>
      <c r="CC101" s="59">
        <f t="shared" si="65"/>
        <v>276.83665893463905</v>
      </c>
      <c r="CD101" s="59">
        <f ca="1">AVERAGE(OFFSET($CC$3,0,0,'Données projet'!$E$12+1,1))-AVERAGE(OFFSET($H$3,0,0,'Données projet'!$E$12+1,1))</f>
        <v>382.09004346384319</v>
      </c>
      <c r="CE101" s="59">
        <f t="shared" si="94"/>
        <v>410.18893995284986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2.2154912727092748</v>
      </c>
      <c r="CL101" s="21">
        <f>EXP(-LN(2)/25)*CL100+(1-EXP(-LN(2)/25))/(LN(2)/25)*Calculateur!CG101*Calculateur!CI101*VLOOKUP('Données projet'!$B$12,Paramètres!$A$1:$I$89,3,0)*0.475*44/12</f>
        <v>5.1660561823142741</v>
      </c>
      <c r="CM101" s="21">
        <f>EXP(-LN(2)/2)*CM100+(1-EXP(-LN(2)/2))/(LN(2)/2)*CG101*CJ101*VLOOKUP('Données projet'!$B$12,Paramètres!$A$1:$I$89,3,0)*0.475*44/12</f>
        <v>1.4658101202725813E-9</v>
      </c>
      <c r="CN101" s="22">
        <f t="shared" si="66"/>
        <v>7.3815474564893586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363.02374534486341</v>
      </c>
      <c r="CZ101" s="59">
        <f t="shared" si="96"/>
        <v>489.00477393029598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1.9010020353587087</v>
      </c>
      <c r="DG101" s="21">
        <f>EXP(-LN(2)/25)*DG100+(1-EXP(-LN(2)/25))/(LN(2)/25)*Calculateur!DB101*Calculateur!DD101*VLOOKUP('Données projet'!$B$13,Paramètres!$A$1:$I$89,3,0)*0.475*44/12</f>
        <v>2.9387202094910618</v>
      </c>
      <c r="DH101" s="21">
        <f>EXP(-LN(2)/2)*DH100+(1-EXP(-LN(2)/2))/(LN(2)/2)*DB101*DE101*VLOOKUP('Données projet'!$B$13,Paramètres!$A$1:$I$89,3,0)*0.475*44/12</f>
        <v>1.7063540414186522E-9</v>
      </c>
      <c r="DI101" s="22">
        <f t="shared" si="69"/>
        <v>4.8397222465561249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>
        <f>DO101*VLOOKUP('Données projet'!$B$14,Paramètres!$A$1:$I$89,3,0)*VLOOKUP('Données projet'!$B$14,Paramètres!$A$1:$I$89,5,0)</f>
        <v>-3.7509835237869992E-13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368.03281986807173</v>
      </c>
      <c r="DU101" s="59">
        <f t="shared" si="98"/>
        <v>395.83504504492248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0.63456744078025107</v>
      </c>
      <c r="EB101" s="21">
        <f>EXP(-LN(2)/25)*EB100+(1-EXP(-LN(2)/25))/(LN(2)/25)*Calculateur!DW101*Calculateur!DY101*VLOOKUP('Données projet'!$B$14,Paramètres!$A$1:$I$89,3,0)*0.475*44/12</f>
        <v>2.3285610454290624</v>
      </c>
      <c r="EC101" s="21">
        <f>EXP(-LN(2)/2)*EC100+(1-EXP(-LN(2)/2))/(LN(2)/2)*DW101*DZ101*VLOOKUP('Données projet'!$B$14,Paramètres!$A$1:$I$89,3,0)*0.475*44/12</f>
        <v>1.2895103894151255E-9</v>
      </c>
      <c r="ED101" s="22">
        <f t="shared" si="72"/>
        <v>2.9631284874988237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225.2264820414552</v>
      </c>
      <c r="EP101" s="59">
        <f t="shared" si="100"/>
        <v>249.91838548328681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0.57542070334865647</v>
      </c>
      <c r="EW101" s="21">
        <f>EXP(-LN(2)/25)*EW100+(1-EXP(-LN(2)/25))/(LN(2)/25)*Calculateur!ER101*Calculateur!ET101*VLOOKUP('Données projet'!$B$15,Paramètres!$A$1:$I$89,3,0)*0.475*44/12</f>
        <v>1.31369651644593</v>
      </c>
      <c r="EX101" s="21">
        <f>EXP(-LN(2)/2)*EX100+(1-EXP(-LN(2)/2))/(LN(2)/2)*ER101*EU101*VLOOKUP('Données projet'!$B$15,Paramètres!$A$1:$I$89,3,0)*0.475*44/12</f>
        <v>2.3548040834004875E-10</v>
      </c>
      <c r="EY101" s="22">
        <f t="shared" si="75"/>
        <v>1.8891172200300668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-1.2505552149377763E-12</v>
      </c>
      <c r="FF101" s="17">
        <f>FE101*VLOOKUP('Données projet'!$B$16,Paramètres!$A$1:$I$89,3,0)*VLOOKUP('Données projet'!$B$16,Paramètres!$A$1:$I$89,5,0)</f>
        <v>-6.9906036515021697E-13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549.85684198202534</v>
      </c>
      <c r="FK101" s="59">
        <f t="shared" si="102"/>
        <v>539.63748606275431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2.9703156802479853</v>
      </c>
      <c r="FR101" s="21">
        <f>EXP(-LN(2)/25)*FR100+(1-EXP(-LN(2)/25))/(LN(2)/25)*Calculateur!FM101*Calculateur!FO101*VLOOKUP('Données projet'!$B$16,Paramètres!$A$1:$I$89,3,0)*0.475*44/12</f>
        <v>5.8826846839699964</v>
      </c>
      <c r="FS101" s="21">
        <f>EXP(-LN(2)/2)*FS100+(1-EXP(-LN(2)/2))/(LN(2)/2)*FM101*FP101*VLOOKUP('Données projet'!$B$16,Paramètres!$A$1:$I$89,3,0)*0.475*44/12</f>
        <v>2.122943484866648E-9</v>
      </c>
      <c r="FT101" s="22">
        <f t="shared" si="78"/>
        <v>8.8530003663409254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-5.6843418860808015E-13</v>
      </c>
      <c r="GA101" s="17">
        <f>FZ101*VLOOKUP('Données projet'!$B$17,Paramètres!$A$1:$I$89,3,0)*VLOOKUP('Données projet'!$B$17,Paramètres!$A$1:$I$89,5,0)</f>
        <v>-3.39923644787632E-13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495.6641415122013</v>
      </c>
      <c r="GF101" s="59">
        <f t="shared" si="104"/>
        <v>488.90534169400757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1.039924474945171</v>
      </c>
      <c r="GM101" s="21">
        <f>EXP(-LN(2)/25)*GM100+(1-EXP(-LN(2)/25))/(LN(2)/25)*Calculateur!GH101*Calculateur!GJ101*VLOOKUP('Données projet'!$B$17,Paramètres!$A$1:$I$89,3,0)*0.475*44/12</f>
        <v>3.9469063182744484</v>
      </c>
      <c r="GN101" s="21">
        <f>EXP(-LN(2)/2)*GN100+(1-EXP(-LN(2)/2))/(LN(2)/2)*GH101*GK101*VLOOKUP('Données projet'!$B$17,Paramètres!$A$1:$I$89,3,0)*0.475*44/12</f>
        <v>2.0232594917417995E-9</v>
      </c>
      <c r="GO101" s="21">
        <f t="shared" si="81"/>
        <v>4.986830795242879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-5.6843418860808015E-13</v>
      </c>
      <c r="GV101" s="17">
        <f>GU101*VLOOKUP('Données projet'!$B$18,Paramètres!$A$1:$I$89,3,0)*VLOOKUP('Données projet'!$B$18,Paramètres!$A$1:$I$89,5,0)</f>
        <v>-3.39923644787632E-13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-18.333333333333343</v>
      </c>
      <c r="HA101" s="59">
        <f t="shared" si="106"/>
        <v>-18.333333333333343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1.039924474945171</v>
      </c>
      <c r="HH101" s="21">
        <f>EXP(-LN(2)/25)*HH100+(1-EXP(-LN(2)/25))/(LN(2)/25)*Calculateur!HC101*Calculateur!HE101*VLOOKUP('Données projet'!$B$18,Paramètres!$A$1:$I$89,3,0)*0.475*44/12</f>
        <v>3.9469063182744484</v>
      </c>
      <c r="HI101" s="21">
        <f>EXP(-LN(2)/2)*HI100+(1-EXP(-LN(2)/2))/(LN(2)/2)*HC101*HF101*VLOOKUP('Données projet'!$B$18,Paramètres!$A$1:$I$89,3,0)*0.475*44/12</f>
        <v>2.0232594917417995E-9</v>
      </c>
      <c r="HJ101" s="22">
        <f t="shared" si="84"/>
        <v>4.986830795242879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707.69999999999993</v>
      </c>
      <c r="O102" s="13">
        <f>N102*VLOOKUP('Données projet'!$B$9,Paramètres!$A$1:$I$89,3,0)*VLOOKUP('Données projet'!$B$9,Paramètres!$A$1:$I$89,5,0)</f>
        <v>331.20359999999994</v>
      </c>
      <c r="P102" s="13">
        <f t="shared" si="87"/>
        <v>77.67979126195354</v>
      </c>
      <c r="Q102" s="20">
        <f t="shared" si="107"/>
        <v>712.13857311456889</v>
      </c>
      <c r="R102" s="59">
        <f t="shared" si="55"/>
        <v>989.26141246897896</v>
      </c>
      <c r="S102" s="59">
        <f ca="1">AVERAGE(OFFSET($R$3,0,0,'Données projet'!$E$9+1,1))-AVERAGE(OFFSET($H$3,0,0,'Données projet'!$E$9+1,1))</f>
        <v>376.11581547534814</v>
      </c>
      <c r="T102" s="59">
        <f t="shared" si="88"/>
        <v>300.91675649863294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0.79931956967978746</v>
      </c>
      <c r="AA102" s="21">
        <f>EXP(-LN(2)/25)*AA101+(1-EXP(-LN(2)/25))/(LN(2)/25)*Calculateur!V102*Calculateur!X102*VLOOKUP('Données projet'!$B$9,Paramètres!$A$1:$I$89,3,0)*0.475*44/12</f>
        <v>1.1596557192734085</v>
      </c>
      <c r="AB102" s="21">
        <f>EXP(-LN(2)/2)*AB101+(1-EXP(-LN(2)/2))/(LN(2)/2)*V102*Y102*VLOOKUP('Données projet'!$B$9,Paramètres!$A$1:$I$89,3,0)*0.475*44/12</f>
        <v>4.0468286391348677E-10</v>
      </c>
      <c r="AC102" s="22">
        <f t="shared" si="57"/>
        <v>1.9589752893578789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321.29447999999979</v>
      </c>
      <c r="AK102" s="13">
        <f t="shared" si="89"/>
        <v>75.6226320847924</v>
      </c>
      <c r="AL102" s="20">
        <f t="shared" si="58"/>
        <v>691.29730354767969</v>
      </c>
      <c r="AM102" s="59">
        <f t="shared" si="59"/>
        <v>968.42014290208976</v>
      </c>
      <c r="AN102" s="59">
        <f ca="1">AVERAGE(OFFSET($AM$3,0,0,'Données projet'!$E$10+1,1))-AVERAGE(OFFSET($H$3,0,0,'Données projet'!$E$10+1,1))</f>
        <v>505.38595282220405</v>
      </c>
      <c r="AO102" s="59">
        <f t="shared" si="90"/>
        <v>351.72130415456365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0.61418195231045636</v>
      </c>
      <c r="AV102" s="21">
        <f>EXP(-LN(2)/25)*AV101+(1-EXP(-LN(2)/25))/(LN(2)/25)*Calculateur!AQ102*Calculateur!AS102*VLOOKUP('Données projet'!$B$10,Paramètres!$A$1:$I$89,3,0)*0.475*44/12</f>
        <v>1.6656157164055116</v>
      </c>
      <c r="AW102" s="21">
        <f>EXP(-LN(2)/2)*AW101+(1-EXP(-LN(2)/2))/(LN(2)/2)*AQ102*AT102*VLOOKUP('Données projet'!$B$10,Paramètres!$A$1:$I$89,3,0)*0.475*44/12</f>
        <v>8.8711447258062092E-10</v>
      </c>
      <c r="AX102" s="21">
        <f t="shared" si="60"/>
        <v>2.2797976696030826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-4.0702161641092972E-13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394.14657090341535</v>
      </c>
      <c r="BJ102" s="59">
        <f t="shared" si="92"/>
        <v>424.06445894109982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0.8320638618159405</v>
      </c>
      <c r="BQ102" s="21">
        <f>EXP(-LN(2)/25)*BQ101+(1-EXP(-LN(2)/25))/(LN(2)/25)*Calculateur!BL102*Calculateur!BN102*VLOOKUP('Données projet'!$B$11,Paramètres!$A$1:$I$89,3,0)*0.475*44/12</f>
        <v>3.0291875291793318</v>
      </c>
      <c r="BR102" s="21">
        <f>EXP(-LN(2)/2)*BR101+(1-EXP(-LN(2)/2))/(LN(2)/2)*BL102*BO102*VLOOKUP('Données projet'!$B$11,Paramètres!$A$1:$I$89,3,0)*0.475*44/12</f>
        <v>9.8942337402261137E-10</v>
      </c>
      <c r="BS102" s="22">
        <f t="shared" si="63"/>
        <v>3.8612513919846956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5.6843418860808015E-13</v>
      </c>
      <c r="BZ102" s="13">
        <f>BY102*VLOOKUP('Données projet'!$B$12,Paramètres!$A$1:$I$89,3,0)*VLOOKUP('Données projet'!$B$12,Paramètres!$A$1:$I$89,5,0)</f>
        <v>3.1036506698001181E-13</v>
      </c>
      <c r="CA102" s="13">
        <f t="shared" si="93"/>
        <v>4.086682523110923E-12</v>
      </c>
      <c r="CB102" s="20">
        <f t="shared" si="64"/>
        <v>7.6581912194083782E-12</v>
      </c>
      <c r="CC102" s="59">
        <f t="shared" si="65"/>
        <v>277.12283935441781</v>
      </c>
      <c r="CD102" s="59">
        <f ca="1">AVERAGE(OFFSET($CC$3,0,0,'Données projet'!$E$12+1,1))-AVERAGE(OFFSET($H$3,0,0,'Données projet'!$E$12+1,1))</f>
        <v>382.09004346384319</v>
      </c>
      <c r="CE102" s="59">
        <f t="shared" si="94"/>
        <v>410.18893995284986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2.1720468401676909</v>
      </c>
      <c r="CL102" s="21">
        <f>EXP(-LN(2)/25)*CL101+(1-EXP(-LN(2)/25))/(LN(2)/25)*Calculateur!CG102*Calculateur!CI102*VLOOKUP('Données projet'!$B$12,Paramètres!$A$1:$I$89,3,0)*0.475*44/12</f>
        <v>5.0247901043378027</v>
      </c>
      <c r="CM102" s="21">
        <f>EXP(-LN(2)/2)*CM101+(1-EXP(-LN(2)/2))/(LN(2)/2)*CG102*CJ102*VLOOKUP('Données projet'!$B$12,Paramètres!$A$1:$I$89,3,0)*0.475*44/12</f>
        <v>1.036484275976611E-9</v>
      </c>
      <c r="CN102" s="22">
        <f t="shared" si="66"/>
        <v>7.1968369455419783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363.02374534486341</v>
      </c>
      <c r="CZ102" s="59">
        <f t="shared" si="96"/>
        <v>489.00477393029598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1.8637245449420752</v>
      </c>
      <c r="DG102" s="21">
        <f>EXP(-LN(2)/25)*DG101+(1-EXP(-LN(2)/25))/(LN(2)/25)*Calculateur!DB102*Calculateur!DD102*VLOOKUP('Données projet'!$B$13,Paramètres!$A$1:$I$89,3,0)*0.475*44/12</f>
        <v>2.8583607508219493</v>
      </c>
      <c r="DH102" s="21">
        <f>EXP(-LN(2)/2)*DH101+(1-EXP(-LN(2)/2))/(LN(2)/2)*DB102*DE102*VLOOKUP('Données projet'!$B$13,Paramètres!$A$1:$I$89,3,0)*0.475*44/12</f>
        <v>1.2065745137921999E-9</v>
      </c>
      <c r="DI102" s="22">
        <f t="shared" si="69"/>
        <v>4.7220852969705991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>
        <f>DO102*VLOOKUP('Données projet'!$B$14,Paramètres!$A$1:$I$89,3,0)*VLOOKUP('Données projet'!$B$14,Paramètres!$A$1:$I$89,5,0)</f>
        <v>-3.7509835237869992E-13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368.03281986807173</v>
      </c>
      <c r="DU102" s="59">
        <f t="shared" si="98"/>
        <v>395.83504504492248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0.62212396031447137</v>
      </c>
      <c r="EB102" s="21">
        <f>EXP(-LN(2)/25)*EB101+(1-EXP(-LN(2)/25))/(LN(2)/25)*Calculateur!DW102*Calculateur!DY102*VLOOKUP('Données projet'!$B$14,Paramètres!$A$1:$I$89,3,0)*0.475*44/12</f>
        <v>2.2648864211881015</v>
      </c>
      <c r="EC102" s="21">
        <f>EXP(-LN(2)/2)*EC101+(1-EXP(-LN(2)/2))/(LN(2)/2)*DW102*DZ102*VLOOKUP('Données projet'!$B$14,Paramètres!$A$1:$I$89,3,0)*0.475*44/12</f>
        <v>9.1182154076594091E-10</v>
      </c>
      <c r="ED102" s="22">
        <f t="shared" si="72"/>
        <v>2.8870103824143944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225.2264820414552</v>
      </c>
      <c r="EP102" s="59">
        <f t="shared" si="100"/>
        <v>249.91838548328681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0.56413705432796279</v>
      </c>
      <c r="EW102" s="21">
        <f>EXP(-LN(2)/25)*EW101+(1-EXP(-LN(2)/25))/(LN(2)/25)*Calculateur!ER102*Calculateur!ET102*VLOOKUP('Données projet'!$B$15,Paramètres!$A$1:$I$89,3,0)*0.475*44/12</f>
        <v>1.2777734161194187</v>
      </c>
      <c r="EX102" s="21">
        <f>EXP(-LN(2)/2)*EX101+(1-EXP(-LN(2)/2))/(LN(2)/2)*ER102*EU102*VLOOKUP('Données projet'!$B$15,Paramètres!$A$1:$I$89,3,0)*0.475*44/12</f>
        <v>1.6650979357382572E-10</v>
      </c>
      <c r="EY102" s="22">
        <f t="shared" si="75"/>
        <v>1.8419104706138911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-1.2505552149377763E-12</v>
      </c>
      <c r="FF102" s="17">
        <f>FE102*VLOOKUP('Données projet'!$B$16,Paramètres!$A$1:$I$89,3,0)*VLOOKUP('Données projet'!$B$16,Paramètres!$A$1:$I$89,5,0)</f>
        <v>-6.9906036515021697E-13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549.85684198202534</v>
      </c>
      <c r="FK102" s="59">
        <f t="shared" si="102"/>
        <v>539.63748606275431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2.9120696014719956</v>
      </c>
      <c r="FR102" s="21">
        <f>EXP(-LN(2)/25)*FR101+(1-EXP(-LN(2)/25))/(LN(2)/25)*Calculateur!FM102*Calculateur!FO102*VLOOKUP('Données projet'!$B$16,Paramètres!$A$1:$I$89,3,0)*0.475*44/12</f>
        <v>5.7218223619298945</v>
      </c>
      <c r="FS102" s="21">
        <f>EXP(-LN(2)/2)*FS101+(1-EXP(-LN(2)/2))/(LN(2)/2)*FM102*FP102*VLOOKUP('Données projet'!$B$16,Paramètres!$A$1:$I$89,3,0)*0.475*44/12</f>
        <v>1.5011477342250075E-9</v>
      </c>
      <c r="FT102" s="22">
        <f t="shared" si="78"/>
        <v>8.6338919649030377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-5.6843418860808015E-13</v>
      </c>
      <c r="GA102" s="17">
        <f>FZ102*VLOOKUP('Données projet'!$B$17,Paramètres!$A$1:$I$89,3,0)*VLOOKUP('Données projet'!$B$17,Paramètres!$A$1:$I$89,5,0)</f>
        <v>-3.39923644787632E-13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495.6641415122013</v>
      </c>
      <c r="GF102" s="59">
        <f t="shared" si="104"/>
        <v>488.90534169400757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1.019532190282795</v>
      </c>
      <c r="GM102" s="21">
        <f>EXP(-LN(2)/25)*GM101+(1-EXP(-LN(2)/25))/(LN(2)/25)*Calculateur!GH102*Calculateur!GJ102*VLOOKUP('Données projet'!$B$17,Paramètres!$A$1:$I$89,3,0)*0.475*44/12</f>
        <v>3.838977957442451</v>
      </c>
      <c r="GN102" s="21">
        <f>EXP(-LN(2)/2)*GN101+(1-EXP(-LN(2)/2))/(LN(2)/2)*GH102*GK102*VLOOKUP('Données projet'!$B$17,Paramètres!$A$1:$I$89,3,0)*0.475*44/12</f>
        <v>1.430660506710674E-9</v>
      </c>
      <c r="GO102" s="21">
        <f t="shared" si="81"/>
        <v>4.8585101491559071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-5.6843418860808015E-13</v>
      </c>
      <c r="GV102" s="17">
        <f>GU102*VLOOKUP('Données projet'!$B$18,Paramètres!$A$1:$I$89,3,0)*VLOOKUP('Données projet'!$B$18,Paramètres!$A$1:$I$89,5,0)</f>
        <v>-3.39923644787632E-13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-18.333333333333343</v>
      </c>
      <c r="HA102" s="59">
        <f t="shared" si="106"/>
        <v>-18.333333333333343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1.019532190282795</v>
      </c>
      <c r="HH102" s="21">
        <f>EXP(-LN(2)/25)*HH101+(1-EXP(-LN(2)/25))/(LN(2)/25)*Calculateur!HC102*Calculateur!HE102*VLOOKUP('Données projet'!$B$18,Paramètres!$A$1:$I$89,3,0)*0.475*44/12</f>
        <v>3.838977957442451</v>
      </c>
      <c r="HI102" s="21">
        <f>EXP(-LN(2)/2)*HI101+(1-EXP(-LN(2)/2))/(LN(2)/2)*HC102*HF102*VLOOKUP('Données projet'!$B$18,Paramètres!$A$1:$I$89,3,0)*0.475*44/12</f>
        <v>1.430660506710674E-9</v>
      </c>
      <c r="HJ102" s="22">
        <f t="shared" si="84"/>
        <v>4.8585101491559071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726.2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726.19999999999993</v>
      </c>
      <c r="O103" s="13">
        <f>N103*VLOOKUP('Données projet'!$B$9,Paramètres!$A$1:$I$89,3,0)*VLOOKUP('Données projet'!$B$9,Paramètres!$A$1:$I$89,5,0)</f>
        <v>339.86159999999995</v>
      </c>
      <c r="P103" s="13">
        <f t="shared" si="87"/>
        <v>79.47135142801136</v>
      </c>
      <c r="Q103" s="20">
        <f t="shared" si="107"/>
        <v>730.33822373711973</v>
      </c>
      <c r="R103" s="59">
        <f t="shared" si="55"/>
        <v>1007.742278920829</v>
      </c>
      <c r="S103" s="59">
        <f ca="1">AVERAGE(OFFSET($R$3,0,0,'Données projet'!$E$9+1,1))-AVERAGE(OFFSET($H$3,0,0,'Données projet'!$E$9+1,1))</f>
        <v>376.11581547534814</v>
      </c>
      <c r="T103" s="59">
        <f t="shared" si="88"/>
        <v>300.91675649863294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726.2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0.78364540045516407</v>
      </c>
      <c r="AA103" s="21">
        <f>EXP(-LN(2)/25)*AA102+(1-EXP(-LN(2)/25))/(LN(2)/25)*Calculateur!V103*Calculateur!X103*VLOOKUP('Données projet'!$B$9,Paramètres!$A$1:$I$89,3,0)*0.475*44/12</f>
        <v>1.1279448726462333</v>
      </c>
      <c r="AB103" s="21">
        <f>EXP(-LN(2)/2)*AB102+(1-EXP(-LN(2)/2))/(LN(2)/2)*V103*Y103*VLOOKUP('Données projet'!$B$9,Paramètres!$A$1:$I$89,3,0)*0.475*44/12</f>
        <v>2.8615399730321928E-10</v>
      </c>
      <c r="AC103" s="22">
        <f t="shared" si="57"/>
        <v>1.9115902733875514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326.6327999999998</v>
      </c>
      <c r="AK103" s="13">
        <f t="shared" si="89"/>
        <v>76.731784548754774</v>
      </c>
      <c r="AL103" s="20">
        <f t="shared" si="58"/>
        <v>702.52665142241415</v>
      </c>
      <c r="AM103" s="59">
        <f t="shared" si="59"/>
        <v>979.93070660612329</v>
      </c>
      <c r="AN103" s="59">
        <f ca="1">AVERAGE(OFFSET($AM$3,0,0,'Données projet'!$E$10+1,1))-AVERAGE(OFFSET($H$3,0,0,'Données projet'!$E$10+1,1))</f>
        <v>505.38595282220405</v>
      </c>
      <c r="AO103" s="59">
        <f t="shared" si="90"/>
        <v>351.72130415456365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0.60213821883964913</v>
      </c>
      <c r="AV103" s="21">
        <f>EXP(-LN(2)/25)*AV102+(1-EXP(-LN(2)/25))/(LN(2)/25)*Calculateur!AQ103*Calculateur!AS103*VLOOKUP('Données projet'!$B$10,Paramètres!$A$1:$I$89,3,0)*0.475*44/12</f>
        <v>1.6200693670494792</v>
      </c>
      <c r="AW103" s="21">
        <f>EXP(-LN(2)/2)*AW102+(1-EXP(-LN(2)/2))/(LN(2)/2)*AQ103*AT103*VLOOKUP('Données projet'!$B$10,Paramètres!$A$1:$I$89,3,0)*0.475*44/12</f>
        <v>6.2728465925048462E-10</v>
      </c>
      <c r="AX103" s="21">
        <f t="shared" si="60"/>
        <v>2.2222075865164128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-4.0702161641092972E-13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394.14657090341535</v>
      </c>
      <c r="BJ103" s="59">
        <f t="shared" si="92"/>
        <v>424.06445894109982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0.81574759699457322</v>
      </c>
      <c r="BQ103" s="21">
        <f>EXP(-LN(2)/25)*BQ102+(1-EXP(-LN(2)/25))/(LN(2)/25)*Calculateur!BL103*Calculateur!BN103*VLOOKUP('Données projet'!$B$11,Paramètres!$A$1:$I$89,3,0)*0.475*44/12</f>
        <v>2.9463542368958739</v>
      </c>
      <c r="BR103" s="21">
        <f>EXP(-LN(2)/2)*BR102+(1-EXP(-LN(2)/2))/(LN(2)/2)*BL103*BO103*VLOOKUP('Données projet'!$B$11,Paramètres!$A$1:$I$89,3,0)*0.475*44/12</f>
        <v>6.9962797723586224E-10</v>
      </c>
      <c r="BS103" s="22">
        <f t="shared" si="63"/>
        <v>3.7621018345900752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5.6843418860808015E-13</v>
      </c>
      <c r="BZ103" s="13">
        <f>BY103*VLOOKUP('Données projet'!$B$12,Paramètres!$A$1:$I$89,3,0)*VLOOKUP('Données projet'!$B$12,Paramètres!$A$1:$I$89,5,0)</f>
        <v>3.1036506698001181E-13</v>
      </c>
      <c r="CA103" s="13">
        <f t="shared" si="93"/>
        <v>4.086682523110923E-12</v>
      </c>
      <c r="CB103" s="20">
        <f t="shared" si="64"/>
        <v>7.6581912194083782E-12</v>
      </c>
      <c r="CC103" s="59">
        <f t="shared" si="65"/>
        <v>277.40405518371688</v>
      </c>
      <c r="CD103" s="59">
        <f ca="1">AVERAGE(OFFSET($CC$3,0,0,'Données projet'!$E$12+1,1))-AVERAGE(OFFSET($H$3,0,0,'Données projet'!$E$12+1,1))</f>
        <v>382.09004346384319</v>
      </c>
      <c r="CE103" s="59">
        <f t="shared" si="94"/>
        <v>410.18893995284986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2.1294543264497601</v>
      </c>
      <c r="CL103" s="21">
        <f>EXP(-LN(2)/25)*CL102+(1-EXP(-LN(2)/25))/(LN(2)/25)*Calculateur!CG103*Calculateur!CI103*VLOOKUP('Données projet'!$B$12,Paramètres!$A$1:$I$89,3,0)*0.475*44/12</f>
        <v>4.8873869546924587</v>
      </c>
      <c r="CM103" s="21">
        <f>EXP(-LN(2)/2)*CM102+(1-EXP(-LN(2)/2))/(LN(2)/2)*CG103*CJ103*VLOOKUP('Données projet'!$B$12,Paramètres!$A$1:$I$89,3,0)*0.475*44/12</f>
        <v>7.3290506013629064E-10</v>
      </c>
      <c r="CN103" s="22">
        <f t="shared" si="66"/>
        <v>7.0168412818751236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363.02374534486341</v>
      </c>
      <c r="CZ103" s="59">
        <f t="shared" si="96"/>
        <v>489.00477393029598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1.8271780433754878</v>
      </c>
      <c r="DG103" s="21">
        <f>EXP(-LN(2)/25)*DG102+(1-EXP(-LN(2)/25))/(LN(2)/25)*Calculateur!DB103*Calculateur!DD103*VLOOKUP('Données projet'!$B$13,Paramètres!$A$1:$I$89,3,0)*0.475*44/12</f>
        <v>2.7801987257760641</v>
      </c>
      <c r="DH103" s="21">
        <f>EXP(-LN(2)/2)*DH102+(1-EXP(-LN(2)/2))/(LN(2)/2)*DB103*DE103*VLOOKUP('Données projet'!$B$13,Paramètres!$A$1:$I$89,3,0)*0.475*44/12</f>
        <v>8.531770207093261E-10</v>
      </c>
      <c r="DI103" s="22">
        <f t="shared" si="69"/>
        <v>4.6073767700047288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>
        <f>DO103*VLOOKUP('Données projet'!$B$14,Paramètres!$A$1:$I$89,3,0)*VLOOKUP('Données projet'!$B$14,Paramètres!$A$1:$I$89,5,0)</f>
        <v>-3.7509835237869992E-13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368.03281986807173</v>
      </c>
      <c r="DU103" s="59">
        <f t="shared" si="98"/>
        <v>395.83504504492248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0.60992448891085205</v>
      </c>
      <c r="EB103" s="21">
        <f>EXP(-LN(2)/25)*EB102+(1-EXP(-LN(2)/25))/(LN(2)/25)*Calculateur!DW103*Calculateur!DY103*VLOOKUP('Données projet'!$B$14,Paramètres!$A$1:$I$89,3,0)*0.475*44/12</f>
        <v>2.2029529828955123</v>
      </c>
      <c r="EC103" s="21">
        <f>EXP(-LN(2)/2)*EC102+(1-EXP(-LN(2)/2))/(LN(2)/2)*DW103*DZ103*VLOOKUP('Données projet'!$B$14,Paramètres!$A$1:$I$89,3,0)*0.475*44/12</f>
        <v>6.4475519470756286E-10</v>
      </c>
      <c r="ED103" s="22">
        <f t="shared" si="72"/>
        <v>2.8128774724511199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225.2264820414552</v>
      </c>
      <c r="EP103" s="59">
        <f t="shared" si="100"/>
        <v>249.91838548328681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0.5530746707822185</v>
      </c>
      <c r="EW103" s="21">
        <f>EXP(-LN(2)/25)*EW102+(1-EXP(-LN(2)/25))/(LN(2)/25)*Calculateur!ER103*Calculateur!ET103*VLOOKUP('Données projet'!$B$15,Paramètres!$A$1:$I$89,3,0)*0.475*44/12</f>
        <v>1.2428326348604497</v>
      </c>
      <c r="EX103" s="21">
        <f>EXP(-LN(2)/2)*EX102+(1-EXP(-LN(2)/2))/(LN(2)/2)*ER103*EU103*VLOOKUP('Données projet'!$B$15,Paramètres!$A$1:$I$89,3,0)*0.475*44/12</f>
        <v>1.1774020417002438E-10</v>
      </c>
      <c r="EY103" s="22">
        <f t="shared" si="75"/>
        <v>1.7959073057604085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-1.2505552149377763E-12</v>
      </c>
      <c r="FF103" s="17">
        <f>FE103*VLOOKUP('Données projet'!$B$16,Paramètres!$A$1:$I$89,3,0)*VLOOKUP('Données projet'!$B$16,Paramètres!$A$1:$I$89,5,0)</f>
        <v>-6.9906036515021697E-13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549.85684198202534</v>
      </c>
      <c r="FK103" s="59">
        <f t="shared" si="102"/>
        <v>539.63748606275431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2.8549656927742029</v>
      </c>
      <c r="FR103" s="21">
        <f>EXP(-LN(2)/25)*FR102+(1-EXP(-LN(2)/25))/(LN(2)/25)*Calculateur!FM103*Calculateur!FO103*VLOOKUP('Données projet'!$B$16,Paramètres!$A$1:$I$89,3,0)*0.475*44/12</f>
        <v>5.565358828545361</v>
      </c>
      <c r="FS103" s="21">
        <f>EXP(-LN(2)/2)*FS102+(1-EXP(-LN(2)/2))/(LN(2)/2)*FM103*FP103*VLOOKUP('Données projet'!$B$16,Paramètres!$A$1:$I$89,3,0)*0.475*44/12</f>
        <v>1.061471742433324E-9</v>
      </c>
      <c r="FT103" s="22">
        <f t="shared" si="78"/>
        <v>8.4203245223810352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-5.6843418860808015E-13</v>
      </c>
      <c r="GA103" s="17">
        <f>FZ103*VLOOKUP('Données projet'!$B$17,Paramètres!$A$1:$I$89,3,0)*VLOOKUP('Données projet'!$B$17,Paramètres!$A$1:$I$89,5,0)</f>
        <v>-3.39923644787632E-13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495.6641415122013</v>
      </c>
      <c r="GF103" s="59">
        <f t="shared" si="104"/>
        <v>488.90534169400757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0.99953978588458248</v>
      </c>
      <c r="GM103" s="21">
        <f>EXP(-LN(2)/25)*GM102+(1-EXP(-LN(2)/25))/(LN(2)/25)*Calculateur!GH103*Calculateur!GJ103*VLOOKUP('Données projet'!$B$17,Paramètres!$A$1:$I$89,3,0)*0.475*44/12</f>
        <v>3.7340009033131105</v>
      </c>
      <c r="GN103" s="21">
        <f>EXP(-LN(2)/2)*GN102+(1-EXP(-LN(2)/2))/(LN(2)/2)*GH103*GK103*VLOOKUP('Données projet'!$B$17,Paramètres!$A$1:$I$89,3,0)*0.475*44/12</f>
        <v>1.0116297458708997E-9</v>
      </c>
      <c r="GO103" s="21">
        <f t="shared" si="81"/>
        <v>4.7335406902093231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-5.6843418860808015E-13</v>
      </c>
      <c r="GV103" s="17">
        <f>GU103*VLOOKUP('Données projet'!$B$18,Paramètres!$A$1:$I$89,3,0)*VLOOKUP('Données projet'!$B$18,Paramètres!$A$1:$I$89,5,0)</f>
        <v>-3.39923644787632E-13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-18.333333333333343</v>
      </c>
      <c r="HA103" s="59">
        <f t="shared" si="106"/>
        <v>-18.333333333333343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0.99953978588458248</v>
      </c>
      <c r="HH103" s="21">
        <f>EXP(-LN(2)/25)*HH102+(1-EXP(-LN(2)/25))/(LN(2)/25)*Calculateur!HC103*Calculateur!HE103*VLOOKUP('Données projet'!$B$18,Paramètres!$A$1:$I$89,3,0)*0.475*44/12</f>
        <v>3.7340009033131105</v>
      </c>
      <c r="HI103" s="21">
        <f>EXP(-LN(2)/2)*HI102+(1-EXP(-LN(2)/2))/(LN(2)/2)*HC103*HF103*VLOOKUP('Données projet'!$B$18,Paramètres!$A$1:$I$89,3,0)*0.475*44/12</f>
        <v>1.0116297458708997E-9</v>
      </c>
      <c r="HJ103" s="22">
        <f t="shared" si="84"/>
        <v>4.7335406902093231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376.11581547534814</v>
      </c>
      <c r="T104" s="59">
        <f t="shared" si="88"/>
        <v>300.91675649863294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0.76827859212873628</v>
      </c>
      <c r="AA104" s="21">
        <f>EXP(-LN(2)/25)*AA103+(1-EXP(-LN(2)/25))/(LN(2)/25)*Calculateur!V104*Calculateur!X104*VLOOKUP('Données projet'!$B$9,Paramètres!$A$1:$I$89,3,0)*0.475*44/12</f>
        <v>1.0971011607876793</v>
      </c>
      <c r="AB104" s="21">
        <f>EXP(-LN(2)/2)*AB103+(1-EXP(-LN(2)/2))/(LN(2)/2)*V104*Y104*VLOOKUP('Données projet'!$B$9,Paramètres!$A$1:$I$89,3,0)*0.475*44/12</f>
        <v>2.0234143195674339E-10</v>
      </c>
      <c r="AC104" s="22">
        <f t="shared" si="57"/>
        <v>1.865379753118757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281.57375999999977</v>
      </c>
      <c r="AK104" s="13">
        <f t="shared" si="89"/>
        <v>67.299481043334993</v>
      </c>
      <c r="AL104" s="20">
        <f t="shared" si="58"/>
        <v>607.62089481714133</v>
      </c>
      <c r="AM104" s="59">
        <f t="shared" si="59"/>
        <v>885.3012873642158</v>
      </c>
      <c r="AN104" s="59">
        <f ca="1">AVERAGE(OFFSET($AM$3,0,0,'Données projet'!$E$10+1,1))-AVERAGE(OFFSET($H$3,0,0,'Données projet'!$E$10+1,1))</f>
        <v>505.38595282220405</v>
      </c>
      <c r="AO104" s="59">
        <f t="shared" si="90"/>
        <v>351.72130415456365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0.59033065563625242</v>
      </c>
      <c r="AV104" s="21">
        <f>EXP(-LN(2)/25)*AV103+(1-EXP(-LN(2)/25))/(LN(2)/25)*Calculateur!AQ104*Calculateur!AS104*VLOOKUP('Données projet'!$B$10,Paramètres!$A$1:$I$89,3,0)*0.475*44/12</f>
        <v>1.5757684850117659</v>
      </c>
      <c r="AW104" s="21">
        <f>EXP(-LN(2)/2)*AW103+(1-EXP(-LN(2)/2))/(LN(2)/2)*AQ104*AT104*VLOOKUP('Données projet'!$B$10,Paramètres!$A$1:$I$89,3,0)*0.475*44/12</f>
        <v>4.4355723629031046E-10</v>
      </c>
      <c r="AX104" s="21">
        <f t="shared" si="60"/>
        <v>2.1660991410915758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-4.0702161641092972E-13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394.14657090341535</v>
      </c>
      <c r="BJ104" s="59">
        <f t="shared" si="92"/>
        <v>424.06445894109982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0.7997512841744141</v>
      </c>
      <c r="BQ104" s="21">
        <f>EXP(-LN(2)/25)*BQ103+(1-EXP(-LN(2)/25))/(LN(2)/25)*Calculateur!BL104*Calculateur!BN104*VLOOKUP('Données projet'!$B$11,Paramètres!$A$1:$I$89,3,0)*0.475*44/12</f>
        <v>2.8657860253459209</v>
      </c>
      <c r="BR104" s="21">
        <f>EXP(-LN(2)/2)*BR103+(1-EXP(-LN(2)/2))/(LN(2)/2)*BL104*BO104*VLOOKUP('Données projet'!$B$11,Paramètres!$A$1:$I$89,3,0)*0.475*44/12</f>
        <v>4.9471168701130569E-10</v>
      </c>
      <c r="BS104" s="22">
        <f t="shared" si="63"/>
        <v>3.665537310015047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5.6843418860808015E-13</v>
      </c>
      <c r="BZ104" s="13">
        <f>BY104*VLOOKUP('Données projet'!$B$12,Paramètres!$A$1:$I$89,3,0)*VLOOKUP('Données projet'!$B$12,Paramètres!$A$1:$I$89,5,0)</f>
        <v>3.1036506698001181E-13</v>
      </c>
      <c r="CA104" s="13">
        <f t="shared" si="93"/>
        <v>4.086682523110923E-12</v>
      </c>
      <c r="CB104" s="20">
        <f t="shared" si="64"/>
        <v>7.6581912194083782E-12</v>
      </c>
      <c r="CC104" s="59">
        <f t="shared" si="65"/>
        <v>277.68039254708208</v>
      </c>
      <c r="CD104" s="59">
        <f ca="1">AVERAGE(OFFSET($CC$3,0,0,'Données projet'!$E$12+1,1))-AVERAGE(OFFSET($H$3,0,0,'Données projet'!$E$12+1,1))</f>
        <v>382.09004346384319</v>
      </c>
      <c r="CE104" s="59">
        <f t="shared" si="94"/>
        <v>410.18893995284986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2.0876970259469698</v>
      </c>
      <c r="CL104" s="21">
        <f>EXP(-LN(2)/25)*CL103+(1-EXP(-LN(2)/25))/(LN(2)/25)*Calculateur!CG104*Calculateur!CI104*VLOOKUP('Données projet'!$B$12,Paramètres!$A$1:$I$89,3,0)*0.475*44/12</f>
        <v>4.7537411013998838</v>
      </c>
      <c r="CM104" s="21">
        <f>EXP(-LN(2)/2)*CM103+(1-EXP(-LN(2)/2))/(LN(2)/2)*CG104*CJ104*VLOOKUP('Données projet'!$B$12,Paramètres!$A$1:$I$89,3,0)*0.475*44/12</f>
        <v>5.1824213798830552E-10</v>
      </c>
      <c r="CN104" s="22">
        <f t="shared" si="66"/>
        <v>6.8414381278650955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363.02374534486341</v>
      </c>
      <c r="CZ104" s="59">
        <f t="shared" si="96"/>
        <v>489.00477393029598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1.7913481964134563</v>
      </c>
      <c r="DG104" s="21">
        <f>EXP(-LN(2)/25)*DG103+(1-EXP(-LN(2)/25))/(LN(2)/25)*Calculateur!DB104*Calculateur!DD104*VLOOKUP('Données projet'!$B$13,Paramètres!$A$1:$I$89,3,0)*0.475*44/12</f>
        <v>2.7041740454154208</v>
      </c>
      <c r="DH104" s="21">
        <f>EXP(-LN(2)/2)*DH103+(1-EXP(-LN(2)/2))/(LN(2)/2)*DB104*DE104*VLOOKUP('Données projet'!$B$13,Paramètres!$A$1:$I$89,3,0)*0.475*44/12</f>
        <v>6.0328725689609997E-10</v>
      </c>
      <c r="DI104" s="22">
        <f t="shared" si="69"/>
        <v>4.4955222424321644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>
        <f>DO104*VLOOKUP('Données projet'!$B$14,Paramètres!$A$1:$I$89,3,0)*VLOOKUP('Données projet'!$B$14,Paramètres!$A$1:$I$89,5,0)</f>
        <v>-3.7509835237869992E-13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368.03281986807173</v>
      </c>
      <c r="DU104" s="59">
        <f t="shared" si="98"/>
        <v>395.83504504492248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0.59796424170051488</v>
      </c>
      <c r="EB104" s="21">
        <f>EXP(-LN(2)/25)*EB103+(1-EXP(-LN(2)/25))/(LN(2)/25)*Calculateur!DW104*Calculateur!DY104*VLOOKUP('Données projet'!$B$14,Paramètres!$A$1:$I$89,3,0)*0.475*44/12</f>
        <v>2.1427131177299721</v>
      </c>
      <c r="EC104" s="21">
        <f>EXP(-LN(2)/2)*EC103+(1-EXP(-LN(2)/2))/(LN(2)/2)*DW104*DZ104*VLOOKUP('Données projet'!$B$14,Paramètres!$A$1:$I$89,3,0)*0.475*44/12</f>
        <v>4.5591077038297051E-10</v>
      </c>
      <c r="ED104" s="22">
        <f t="shared" si="72"/>
        <v>2.7406773598863978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225.2264820414552</v>
      </c>
      <c r="EP104" s="59">
        <f t="shared" si="100"/>
        <v>249.91838548328681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0.54222921383041855</v>
      </c>
      <c r="EW104" s="21">
        <f>EXP(-LN(2)/25)*EW103+(1-EXP(-LN(2)/25))/(LN(2)/25)*Calculateur!ER104*Calculateur!ET104*VLOOKUP('Données projet'!$B$15,Paramètres!$A$1:$I$89,3,0)*0.475*44/12</f>
        <v>1.2088473111024629</v>
      </c>
      <c r="EX104" s="21">
        <f>EXP(-LN(2)/2)*EX103+(1-EXP(-LN(2)/2))/(LN(2)/2)*ER104*EU104*VLOOKUP('Données projet'!$B$15,Paramètres!$A$1:$I$89,3,0)*0.475*44/12</f>
        <v>8.3254896786912858E-11</v>
      </c>
      <c r="EY104" s="22">
        <f t="shared" si="75"/>
        <v>1.7510765250161364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-1.2505552149377763E-12</v>
      </c>
      <c r="FF104" s="17">
        <f>FE104*VLOOKUP('Données projet'!$B$16,Paramètres!$A$1:$I$89,3,0)*VLOOKUP('Données projet'!$B$16,Paramètres!$A$1:$I$89,5,0)</f>
        <v>-6.9906036515021697E-13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549.85684198202534</v>
      </c>
      <c r="FK104" s="59">
        <f t="shared" si="102"/>
        <v>539.63748606275431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2.7989815568960288</v>
      </c>
      <c r="FR104" s="21">
        <f>EXP(-LN(2)/25)*FR103+(1-EXP(-LN(2)/25))/(LN(2)/25)*Calculateur!FM104*Calculateur!FO104*VLOOKUP('Données projet'!$B$16,Paramètres!$A$1:$I$89,3,0)*0.475*44/12</f>
        <v>5.4131737987092867</v>
      </c>
      <c r="FS104" s="21">
        <f>EXP(-LN(2)/2)*FS103+(1-EXP(-LN(2)/2))/(LN(2)/2)*FM104*FP104*VLOOKUP('Données projet'!$B$16,Paramètres!$A$1:$I$89,3,0)*0.475*44/12</f>
        <v>7.5057386711250376E-10</v>
      </c>
      <c r="FT104" s="22">
        <f t="shared" si="78"/>
        <v>8.2121553563558898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-5.6843418860808015E-13</v>
      </c>
      <c r="GA104" s="17">
        <f>FZ104*VLOOKUP('Données projet'!$B$17,Paramètres!$A$1:$I$89,3,0)*VLOOKUP('Données projet'!$B$17,Paramètres!$A$1:$I$89,5,0)</f>
        <v>-3.39923644787632E-13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495.6641415122013</v>
      </c>
      <c r="GF104" s="59">
        <f t="shared" si="104"/>
        <v>488.90534169400757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0.9799394203424564</v>
      </c>
      <c r="GM104" s="21">
        <f>EXP(-LN(2)/25)*GM103+(1-EXP(-LN(2)/25))/(LN(2)/25)*Calculateur!GH104*Calculateur!GJ104*VLOOKUP('Données projet'!$B$17,Paramètres!$A$1:$I$89,3,0)*0.475*44/12</f>
        <v>3.6318944522494401</v>
      </c>
      <c r="GN104" s="21">
        <f>EXP(-LN(2)/2)*GN103+(1-EXP(-LN(2)/2))/(LN(2)/2)*GH104*GK104*VLOOKUP('Données projet'!$B$17,Paramètres!$A$1:$I$89,3,0)*0.475*44/12</f>
        <v>7.15330253355337E-10</v>
      </c>
      <c r="GO104" s="21">
        <f t="shared" si="81"/>
        <v>4.6118338733072264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-5.6843418860808015E-13</v>
      </c>
      <c r="GV104" s="17">
        <f>GU104*VLOOKUP('Données projet'!$B$18,Paramètres!$A$1:$I$89,3,0)*VLOOKUP('Données projet'!$B$18,Paramètres!$A$1:$I$89,5,0)</f>
        <v>-3.39923644787632E-13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-18.333333333333343</v>
      </c>
      <c r="HA104" s="59">
        <f t="shared" si="106"/>
        <v>-18.333333333333343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0.9799394203424564</v>
      </c>
      <c r="HH104" s="21">
        <f>EXP(-LN(2)/25)*HH103+(1-EXP(-LN(2)/25))/(LN(2)/25)*Calculateur!HC104*Calculateur!HE104*VLOOKUP('Données projet'!$B$18,Paramètres!$A$1:$I$89,3,0)*0.475*44/12</f>
        <v>3.6318944522494401</v>
      </c>
      <c r="HI104" s="21">
        <f>EXP(-LN(2)/2)*HI103+(1-EXP(-LN(2)/2))/(LN(2)/2)*HC104*HF104*VLOOKUP('Données projet'!$B$18,Paramètres!$A$1:$I$89,3,0)*0.475*44/12</f>
        <v>7.15330253355337E-10</v>
      </c>
      <c r="HJ104" s="22">
        <f t="shared" si="84"/>
        <v>4.6118338733072264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376.11581547534814</v>
      </c>
      <c r="T105" s="59">
        <f t="shared" si="88"/>
        <v>300.91675649863294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0.75321311754076214</v>
      </c>
      <c r="AA105" s="21">
        <f>EXP(-LN(2)/25)*AA104+(1-EXP(-LN(2)/25))/(LN(2)/25)*Calculateur!V105*Calculateur!X105*VLOOKUP('Données projet'!$B$9,Paramètres!$A$1:$I$89,3,0)*0.475*44/12</f>
        <v>1.0671008718518975</v>
      </c>
      <c r="AB105" s="21">
        <f>EXP(-LN(2)/2)*AB104+(1-EXP(-LN(2)/2))/(LN(2)/2)*V105*Y105*VLOOKUP('Données projet'!$B$9,Paramètres!$A$1:$I$89,3,0)*0.475*44/12</f>
        <v>1.4307699865160964E-10</v>
      </c>
      <c r="AC105" s="22">
        <f t="shared" si="57"/>
        <v>1.8203139895357368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286.27871999999974</v>
      </c>
      <c r="AK105" s="13">
        <f t="shared" si="89"/>
        <v>68.292165517667542</v>
      </c>
      <c r="AL105" s="20">
        <f t="shared" si="58"/>
        <v>617.54429227660387</v>
      </c>
      <c r="AM105" s="59">
        <f t="shared" si="59"/>
        <v>895.49622835158675</v>
      </c>
      <c r="AN105" s="59">
        <f ca="1">AVERAGE(OFFSET($AM$3,0,0,'Données projet'!$E$10+1,1))-AVERAGE(OFFSET($H$3,0,0,'Données projet'!$E$10+1,1))</f>
        <v>505.38595282220405</v>
      </c>
      <c r="AO105" s="59">
        <f t="shared" si="90"/>
        <v>351.72130415456365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0.57875463154537188</v>
      </c>
      <c r="AV105" s="21">
        <f>EXP(-LN(2)/25)*AV104+(1-EXP(-LN(2)/25))/(LN(2)/25)*Calculateur!AQ105*Calculateur!AS105*VLOOKUP('Données projet'!$B$10,Paramètres!$A$1:$I$89,3,0)*0.475*44/12</f>
        <v>1.5326790129230561</v>
      </c>
      <c r="AW105" s="21">
        <f>EXP(-LN(2)/2)*AW104+(1-EXP(-LN(2)/2))/(LN(2)/2)*AQ105*AT105*VLOOKUP('Données projet'!$B$10,Paramètres!$A$1:$I$89,3,0)*0.475*44/12</f>
        <v>3.1364232962524231E-10</v>
      </c>
      <c r="AX105" s="21">
        <f t="shared" si="60"/>
        <v>2.1114336447820703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-4.0702161641092972E-13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394.14657090341535</v>
      </c>
      <c r="BJ105" s="59">
        <f t="shared" si="92"/>
        <v>424.06445894109982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0.78406864929187092</v>
      </c>
      <c r="BQ105" s="21">
        <f>EXP(-LN(2)/25)*BQ104+(1-EXP(-LN(2)/25))/(LN(2)/25)*Calculateur!BL105*Calculateur!BN105*VLOOKUP('Données projet'!$B$11,Paramètres!$A$1:$I$89,3,0)*0.475*44/12</f>
        <v>2.7874209557776992</v>
      </c>
      <c r="BR105" s="21">
        <f>EXP(-LN(2)/2)*BR104+(1-EXP(-LN(2)/2))/(LN(2)/2)*BL105*BO105*VLOOKUP('Données projet'!$B$11,Paramètres!$A$1:$I$89,3,0)*0.475*44/12</f>
        <v>3.4981398861793112E-10</v>
      </c>
      <c r="BS105" s="22">
        <f t="shared" si="63"/>
        <v>3.5714896054193841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5.6843418860808015E-13</v>
      </c>
      <c r="BZ105" s="13">
        <f>BY105*VLOOKUP('Données projet'!$B$12,Paramètres!$A$1:$I$89,3,0)*VLOOKUP('Données projet'!$B$12,Paramètres!$A$1:$I$89,5,0)</f>
        <v>3.1036506698001181E-13</v>
      </c>
      <c r="CA105" s="13">
        <f t="shared" si="93"/>
        <v>4.086682523110923E-12</v>
      </c>
      <c r="CB105" s="20">
        <f t="shared" si="64"/>
        <v>7.6581912194083782E-12</v>
      </c>
      <c r="CC105" s="59">
        <f t="shared" si="65"/>
        <v>277.95193607499061</v>
      </c>
      <c r="CD105" s="59">
        <f ca="1">AVERAGE(OFFSET($CC$3,0,0,'Données projet'!$E$12+1,1))-AVERAGE(OFFSET($H$3,0,0,'Données projet'!$E$12+1,1))</f>
        <v>382.09004346384319</v>
      </c>
      <c r="CE105" s="59">
        <f t="shared" si="94"/>
        <v>410.18893995284986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2.0467585606376009</v>
      </c>
      <c r="CL105" s="21">
        <f>EXP(-LN(2)/25)*CL104+(1-EXP(-LN(2)/25))/(LN(2)/25)*Calculateur!CG105*Calculateur!CI105*VLOOKUP('Données projet'!$B$12,Paramètres!$A$1:$I$89,3,0)*0.475*44/12</f>
        <v>4.6237498009937239</v>
      </c>
      <c r="CM105" s="21">
        <f>EXP(-LN(2)/2)*CM104+(1-EXP(-LN(2)/2))/(LN(2)/2)*CG105*CJ105*VLOOKUP('Données projet'!$B$12,Paramètres!$A$1:$I$89,3,0)*0.475*44/12</f>
        <v>3.6645253006814532E-10</v>
      </c>
      <c r="CN105" s="22">
        <f t="shared" si="66"/>
        <v>6.6705083619977774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363.02374534486341</v>
      </c>
      <c r="CZ105" s="59">
        <f t="shared" si="96"/>
        <v>489.00477393029598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1.7562209508963016</v>
      </c>
      <c r="DG105" s="21">
        <f>EXP(-LN(2)/25)*DG104+(1-EXP(-LN(2)/25))/(LN(2)/25)*Calculateur!DB105*Calculateur!DD105*VLOOKUP('Données projet'!$B$13,Paramètres!$A$1:$I$89,3,0)*0.475*44/12</f>
        <v>2.6302282639372034</v>
      </c>
      <c r="DH105" s="21">
        <f>EXP(-LN(2)/2)*DH104+(1-EXP(-LN(2)/2))/(LN(2)/2)*DB105*DE105*VLOOKUP('Données projet'!$B$13,Paramètres!$A$1:$I$89,3,0)*0.475*44/12</f>
        <v>4.2658851035466305E-10</v>
      </c>
      <c r="DI105" s="22">
        <f t="shared" si="69"/>
        <v>4.3864492152600931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>
        <f>DO105*VLOOKUP('Données projet'!$B$14,Paramètres!$A$1:$I$89,3,0)*VLOOKUP('Données projet'!$B$14,Paramètres!$A$1:$I$89,5,0)</f>
        <v>-3.7509835237869992E-13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368.03281986807173</v>
      </c>
      <c r="DU105" s="59">
        <f t="shared" si="98"/>
        <v>395.83504504492248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0.58623852764294193</v>
      </c>
      <c r="EB105" s="21">
        <f>EXP(-LN(2)/25)*EB104+(1-EXP(-LN(2)/25))/(LN(2)/25)*Calculateur!DW105*Calculateur!DY105*VLOOKUP('Données projet'!$B$14,Paramètres!$A$1:$I$89,3,0)*0.475*44/12</f>
        <v>2.0841205148452602</v>
      </c>
      <c r="EC105" s="21">
        <f>EXP(-LN(2)/2)*EC104+(1-EXP(-LN(2)/2))/(LN(2)/2)*DW105*DZ105*VLOOKUP('Données projet'!$B$14,Paramètres!$A$1:$I$89,3,0)*0.475*44/12</f>
        <v>3.2237759735378148E-10</v>
      </c>
      <c r="ED105" s="22">
        <f t="shared" si="72"/>
        <v>2.6703590428105799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225.2264820414552</v>
      </c>
      <c r="EP105" s="59">
        <f t="shared" si="100"/>
        <v>249.91838548328681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0.53159642967436793</v>
      </c>
      <c r="EW105" s="21">
        <f>EXP(-LN(2)/25)*EW104+(1-EXP(-LN(2)/25))/(LN(2)/25)*Calculateur!ER105*Calculateur!ET105*VLOOKUP('Données projet'!$B$15,Paramètres!$A$1:$I$89,3,0)*0.475*44/12</f>
        <v>1.1757913178098489</v>
      </c>
      <c r="EX105" s="21">
        <f>EXP(-LN(2)/2)*EX104+(1-EXP(-LN(2)/2))/(LN(2)/2)*ER105*EU105*VLOOKUP('Données projet'!$B$15,Paramètres!$A$1:$I$89,3,0)*0.475*44/12</f>
        <v>5.8870102085012189E-11</v>
      </c>
      <c r="EY105" s="22">
        <f t="shared" si="75"/>
        <v>1.707387747543087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-1.2505552149377763E-12</v>
      </c>
      <c r="FF105" s="17">
        <f>FE105*VLOOKUP('Données projet'!$B$16,Paramètres!$A$1:$I$89,3,0)*VLOOKUP('Données projet'!$B$16,Paramètres!$A$1:$I$89,5,0)</f>
        <v>-6.9906036515021697E-13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549.85684198202534</v>
      </c>
      <c r="FK105" s="59">
        <f t="shared" si="102"/>
        <v>539.63748606275431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2.7440952357754744</v>
      </c>
      <c r="FR105" s="21">
        <f>EXP(-LN(2)/25)*FR104+(1-EXP(-LN(2)/25))/(LN(2)/25)*Calculateur!FM105*Calculateur!FO105*VLOOKUP('Données projet'!$B$16,Paramètres!$A$1:$I$89,3,0)*0.475*44/12</f>
        <v>5.2651502765171427</v>
      </c>
      <c r="FS105" s="21">
        <f>EXP(-LN(2)/2)*FS104+(1-EXP(-LN(2)/2))/(LN(2)/2)*FM105*FP105*VLOOKUP('Données projet'!$B$16,Paramètres!$A$1:$I$89,3,0)*0.475*44/12</f>
        <v>5.3073587121666199E-10</v>
      </c>
      <c r="FT105" s="22">
        <f t="shared" si="78"/>
        <v>8.0092455128233535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-5.6843418860808015E-13</v>
      </c>
      <c r="GA105" s="17">
        <f>FZ105*VLOOKUP('Données projet'!$B$17,Paramètres!$A$1:$I$89,3,0)*VLOOKUP('Données projet'!$B$17,Paramètres!$A$1:$I$89,5,0)</f>
        <v>-3.39923644787632E-13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495.6641415122013</v>
      </c>
      <c r="GF105" s="59">
        <f t="shared" si="104"/>
        <v>488.90534169400757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0.96072340601356887</v>
      </c>
      <c r="GM105" s="21">
        <f>EXP(-LN(2)/25)*GM104+(1-EXP(-LN(2)/25))/(LN(2)/25)*Calculateur!GH105*Calculateur!GJ105*VLOOKUP('Données projet'!$B$17,Paramètres!$A$1:$I$89,3,0)*0.475*44/12</f>
        <v>3.5325801074596508</v>
      </c>
      <c r="GN105" s="21">
        <f>EXP(-LN(2)/2)*GN104+(1-EXP(-LN(2)/2))/(LN(2)/2)*GH105*GK105*VLOOKUP('Données projet'!$B$17,Paramètres!$A$1:$I$89,3,0)*0.475*44/12</f>
        <v>5.0581487293544987E-10</v>
      </c>
      <c r="GO105" s="21">
        <f t="shared" si="81"/>
        <v>4.4933035139790345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-5.6843418860808015E-13</v>
      </c>
      <c r="GV105" s="17">
        <f>GU105*VLOOKUP('Données projet'!$B$18,Paramètres!$A$1:$I$89,3,0)*VLOOKUP('Données projet'!$B$18,Paramètres!$A$1:$I$89,5,0)</f>
        <v>-3.39923644787632E-13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-18.333333333333343</v>
      </c>
      <c r="HA105" s="59">
        <f t="shared" si="106"/>
        <v>-18.333333333333343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0.96072340601356887</v>
      </c>
      <c r="HH105" s="21">
        <f>EXP(-LN(2)/25)*HH104+(1-EXP(-LN(2)/25))/(LN(2)/25)*Calculateur!HC105*Calculateur!HE105*VLOOKUP('Données projet'!$B$18,Paramètres!$A$1:$I$89,3,0)*0.475*44/12</f>
        <v>3.5325801074596508</v>
      </c>
      <c r="HI105" s="21">
        <f>EXP(-LN(2)/2)*HI104+(1-EXP(-LN(2)/2))/(LN(2)/2)*HC105*HF105*VLOOKUP('Données projet'!$B$18,Paramètres!$A$1:$I$89,3,0)*0.475*44/12</f>
        <v>5.0581487293544987E-10</v>
      </c>
      <c r="HJ105" s="22">
        <f t="shared" si="84"/>
        <v>4.4933035139790345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376.11581547534814</v>
      </c>
      <c r="T106" s="59">
        <f t="shared" si="88"/>
        <v>300.91675649863294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0.73844306772042612</v>
      </c>
      <c r="AA106" s="21">
        <f>EXP(-LN(2)/25)*AA105+(1-EXP(-LN(2)/25))/(LN(2)/25)*Calculateur!V106*Calculateur!X106*VLOOKUP('Données projet'!$B$9,Paramètres!$A$1:$I$89,3,0)*0.475*44/12</f>
        <v>1.0379209423947113</v>
      </c>
      <c r="AB106" s="21">
        <f>EXP(-LN(2)/2)*AB105+(1-EXP(-LN(2)/2))/(LN(2)/2)*V106*Y106*VLOOKUP('Données projet'!$B$9,Paramètres!$A$1:$I$89,3,0)*0.475*44/12</f>
        <v>1.0117071597837169E-10</v>
      </c>
      <c r="AC106" s="22">
        <f t="shared" si="57"/>
        <v>1.7763640102163081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290.98367999999977</v>
      </c>
      <c r="AK106" s="13">
        <f t="shared" si="89"/>
        <v>69.282952690245352</v>
      </c>
      <c r="AL106" s="20">
        <f t="shared" si="58"/>
        <v>627.46438526884356</v>
      </c>
      <c r="AM106" s="59">
        <f t="shared" si="59"/>
        <v>905.68315419860619</v>
      </c>
      <c r="AN106" s="59">
        <f ca="1">AVERAGE(OFFSET($AM$3,0,0,'Données projet'!$E$10+1,1))-AVERAGE(OFFSET($H$3,0,0,'Données projet'!$E$10+1,1))</f>
        <v>505.38595282220405</v>
      </c>
      <c r="AO106" s="59">
        <f t="shared" si="90"/>
        <v>351.72130415456365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0.56740560622623604</v>
      </c>
      <c r="AV106" s="21">
        <f>EXP(-LN(2)/25)*AV105+(1-EXP(-LN(2)/25))/(LN(2)/25)*Calculateur!AQ106*Calculateur!AS106*VLOOKUP('Données projet'!$B$10,Paramètres!$A$1:$I$89,3,0)*0.475*44/12</f>
        <v>1.4907678247145888</v>
      </c>
      <c r="AW106" s="21">
        <f>EXP(-LN(2)/2)*AW105+(1-EXP(-LN(2)/2))/(LN(2)/2)*AQ106*AT106*VLOOKUP('Données projet'!$B$10,Paramètres!$A$1:$I$89,3,0)*0.475*44/12</f>
        <v>2.2177861814515523E-10</v>
      </c>
      <c r="AX106" s="21">
        <f t="shared" si="60"/>
        <v>2.0581734311626034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-4.0702161641092972E-13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394.14657090341535</v>
      </c>
      <c r="BJ106" s="59">
        <f t="shared" si="92"/>
        <v>424.06445894109982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0.76869354131391165</v>
      </c>
      <c r="BQ106" s="21">
        <f>EXP(-LN(2)/25)*BQ105+(1-EXP(-LN(2)/25))/(LN(2)/25)*Calculateur!BL106*Calculateur!BN106*VLOOKUP('Données projet'!$B$11,Paramètres!$A$1:$I$89,3,0)*0.475*44/12</f>
        <v>2.7111987831578608</v>
      </c>
      <c r="BR106" s="21">
        <f>EXP(-LN(2)/2)*BR105+(1-EXP(-LN(2)/2))/(LN(2)/2)*BL106*BO106*VLOOKUP('Données projet'!$B$11,Paramètres!$A$1:$I$89,3,0)*0.475*44/12</f>
        <v>2.4735584350565284E-10</v>
      </c>
      <c r="BS106" s="22">
        <f t="shared" si="63"/>
        <v>3.4798923247191285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5.6843418860808015E-13</v>
      </c>
      <c r="BZ106" s="13">
        <f>BY106*VLOOKUP('Données projet'!$B$12,Paramètres!$A$1:$I$89,3,0)*VLOOKUP('Données projet'!$B$12,Paramètres!$A$1:$I$89,5,0)</f>
        <v>3.1036506698001181E-13</v>
      </c>
      <c r="CA106" s="13">
        <f t="shared" si="93"/>
        <v>4.086682523110923E-12</v>
      </c>
      <c r="CB106" s="20">
        <f t="shared" si="64"/>
        <v>7.6581912194083782E-12</v>
      </c>
      <c r="CC106" s="59">
        <f t="shared" si="65"/>
        <v>278.21876892977036</v>
      </c>
      <c r="CD106" s="59">
        <f ca="1">AVERAGE(OFFSET($CC$3,0,0,'Données projet'!$E$12+1,1))-AVERAGE(OFFSET($H$3,0,0,'Données projet'!$E$12+1,1))</f>
        <v>382.09004346384319</v>
      </c>
      <c r="CE106" s="59">
        <f t="shared" si="94"/>
        <v>410.18893995284986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2.0066228736629501</v>
      </c>
      <c r="CL106" s="21">
        <f>EXP(-LN(2)/25)*CL105+(1-EXP(-LN(2)/25))/(LN(2)/25)*Calculateur!CG106*Calculateur!CI106*VLOOKUP('Données projet'!$B$12,Paramètres!$A$1:$I$89,3,0)*0.475*44/12</f>
        <v>4.497313119533116</v>
      </c>
      <c r="CM106" s="21">
        <f>EXP(-LN(2)/2)*CM105+(1-EXP(-LN(2)/2))/(LN(2)/2)*CG106*CJ106*VLOOKUP('Données projet'!$B$12,Paramètres!$A$1:$I$89,3,0)*0.475*44/12</f>
        <v>2.5912106899415276E-10</v>
      </c>
      <c r="CN106" s="22">
        <f t="shared" si="66"/>
        <v>6.5039359934551868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363.02374534486341</v>
      </c>
      <c r="CZ106" s="59">
        <f t="shared" si="96"/>
        <v>489.00477393029598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1.721782529238234</v>
      </c>
      <c r="DG106" s="21">
        <f>EXP(-LN(2)/25)*DG105+(1-EXP(-LN(2)/25))/(LN(2)/25)*Calculateur!DB106*Calculateur!DD106*VLOOKUP('Données projet'!$B$13,Paramètres!$A$1:$I$89,3,0)*0.475*44/12</f>
        <v>2.5583045337421475</v>
      </c>
      <c r="DH106" s="21">
        <f>EXP(-LN(2)/2)*DH105+(1-EXP(-LN(2)/2))/(LN(2)/2)*DB106*DE106*VLOOKUP('Données projet'!$B$13,Paramètres!$A$1:$I$89,3,0)*0.475*44/12</f>
        <v>3.0164362844804998E-10</v>
      </c>
      <c r="DI106" s="22">
        <f t="shared" si="69"/>
        <v>4.2800870632820258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>
        <f>DO106*VLOOKUP('Données projet'!$B$14,Paramètres!$A$1:$I$89,3,0)*VLOOKUP('Données projet'!$B$14,Paramètres!$A$1:$I$89,5,0)</f>
        <v>-3.7509835237869992E-13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368.03281986807173</v>
      </c>
      <c r="DU106" s="59">
        <f t="shared" si="98"/>
        <v>395.83504504492248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0.5747427476860586</v>
      </c>
      <c r="EB106" s="21">
        <f>EXP(-LN(2)/25)*EB105+(1-EXP(-LN(2)/25))/(LN(2)/25)*Calculateur!DW106*Calculateur!DY106*VLOOKUP('Données projet'!$B$14,Paramètres!$A$1:$I$89,3,0)*0.475*44/12</f>
        <v>2.027130129767682</v>
      </c>
      <c r="EC106" s="21">
        <f>EXP(-LN(2)/2)*EC105+(1-EXP(-LN(2)/2))/(LN(2)/2)*DW106*DZ106*VLOOKUP('Données projet'!$B$14,Paramètres!$A$1:$I$89,3,0)*0.475*44/12</f>
        <v>2.2795538519148531E-10</v>
      </c>
      <c r="ED106" s="22">
        <f t="shared" si="72"/>
        <v>2.601872877681696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225.2264820414552</v>
      </c>
      <c r="EP106" s="59">
        <f t="shared" si="100"/>
        <v>249.91838548328681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0.52117214793025946</v>
      </c>
      <c r="EW106" s="21">
        <f>EXP(-LN(2)/25)*EW105+(1-EXP(-LN(2)/25))/(LN(2)/25)*Calculateur!ER106*Calculateur!ET106*VLOOKUP('Données projet'!$B$15,Paramètres!$A$1:$I$89,3,0)*0.475*44/12</f>
        <v>1.1436392423921604</v>
      </c>
      <c r="EX106" s="21">
        <f>EXP(-LN(2)/2)*EX105+(1-EXP(-LN(2)/2))/(LN(2)/2)*ER106*EU106*VLOOKUP('Données projet'!$B$15,Paramètres!$A$1:$I$89,3,0)*0.475*44/12</f>
        <v>4.1627448393456429E-11</v>
      </c>
      <c r="EY106" s="22">
        <f t="shared" si="75"/>
        <v>1.6648113903640473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-1.2505552149377763E-12</v>
      </c>
      <c r="FF106" s="17">
        <f>FE106*VLOOKUP('Données projet'!$B$16,Paramètres!$A$1:$I$89,3,0)*VLOOKUP('Données projet'!$B$16,Paramètres!$A$1:$I$89,5,0)</f>
        <v>-6.9906036515021697E-13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549.85684198202534</v>
      </c>
      <c r="FK106" s="59">
        <f t="shared" si="102"/>
        <v>539.63748606275431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2.6902852019347439</v>
      </c>
      <c r="FR106" s="21">
        <f>EXP(-LN(2)/25)*FR105+(1-EXP(-LN(2)/25))/(LN(2)/25)*Calculateur!FM106*Calculateur!FO106*VLOOKUP('Données projet'!$B$16,Paramètres!$A$1:$I$89,3,0)*0.475*44/12</f>
        <v>5.1211744653235618</v>
      </c>
      <c r="FS106" s="21">
        <f>EXP(-LN(2)/2)*FS105+(1-EXP(-LN(2)/2))/(LN(2)/2)*FM106*FP106*VLOOKUP('Données projet'!$B$16,Paramètres!$A$1:$I$89,3,0)*0.475*44/12</f>
        <v>3.7528693355625188E-10</v>
      </c>
      <c r="FT106" s="22">
        <f t="shared" si="78"/>
        <v>7.811459667633593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-5.6843418860808015E-13</v>
      </c>
      <c r="GA106" s="17">
        <f>FZ106*VLOOKUP('Données projet'!$B$17,Paramètres!$A$1:$I$89,3,0)*VLOOKUP('Données projet'!$B$17,Paramètres!$A$1:$I$89,5,0)</f>
        <v>-3.39923644787632E-13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495.6641415122013</v>
      </c>
      <c r="GF106" s="59">
        <f t="shared" si="104"/>
        <v>488.90534169400757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0.9418842060050594</v>
      </c>
      <c r="GM106" s="21">
        <f>EXP(-LN(2)/25)*GM105+(1-EXP(-LN(2)/25))/(LN(2)/25)*Calculateur!GH106*Calculateur!GJ106*VLOOKUP('Données projet'!$B$17,Paramètres!$A$1:$I$89,3,0)*0.475*44/12</f>
        <v>3.4359815186508524</v>
      </c>
      <c r="GN106" s="21">
        <f>EXP(-LN(2)/2)*GN105+(1-EXP(-LN(2)/2))/(LN(2)/2)*GH106*GK106*VLOOKUP('Données projet'!$B$17,Paramètres!$A$1:$I$89,3,0)*0.475*44/12</f>
        <v>3.576651266776685E-10</v>
      </c>
      <c r="GO106" s="21">
        <f t="shared" si="81"/>
        <v>4.3778657250135771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-5.6843418860808015E-13</v>
      </c>
      <c r="GV106" s="17">
        <f>GU106*VLOOKUP('Données projet'!$B$18,Paramètres!$A$1:$I$89,3,0)*VLOOKUP('Données projet'!$B$18,Paramètres!$A$1:$I$89,5,0)</f>
        <v>-3.39923644787632E-13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-18.333333333333343</v>
      </c>
      <c r="HA106" s="59">
        <f t="shared" si="106"/>
        <v>-18.333333333333343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0.9418842060050594</v>
      </c>
      <c r="HH106" s="21">
        <f>EXP(-LN(2)/25)*HH105+(1-EXP(-LN(2)/25))/(LN(2)/25)*Calculateur!HC106*Calculateur!HE106*VLOOKUP('Données projet'!$B$18,Paramètres!$A$1:$I$89,3,0)*0.475*44/12</f>
        <v>3.4359815186508524</v>
      </c>
      <c r="HI106" s="21">
        <f>EXP(-LN(2)/2)*HI105+(1-EXP(-LN(2)/2))/(LN(2)/2)*HC106*HF106*VLOOKUP('Données projet'!$B$18,Paramètres!$A$1:$I$89,3,0)*0.475*44/12</f>
        <v>3.576651266776685E-10</v>
      </c>
      <c r="HJ106" s="22">
        <f t="shared" si="84"/>
        <v>4.3778657250135771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376.11581547534814</v>
      </c>
      <c r="T107" s="59">
        <f t="shared" si="88"/>
        <v>300.91675649863294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0.72396264956822598</v>
      </c>
      <c r="AA107" s="21">
        <f>EXP(-LN(2)/25)*AA106+(1-EXP(-LN(2)/25))/(LN(2)/25)*Calculateur!V107*Calculateur!X107*VLOOKUP('Données projet'!$B$9,Paramètres!$A$1:$I$89,3,0)*0.475*44/12</f>
        <v>1.0095389396430379</v>
      </c>
      <c r="AB107" s="21">
        <f>EXP(-LN(2)/2)*AB106+(1-EXP(-LN(2)/2))/(LN(2)/2)*V107*Y107*VLOOKUP('Données projet'!$B$9,Paramètres!$A$1:$I$89,3,0)*0.475*44/12</f>
        <v>7.1538499325804819E-11</v>
      </c>
      <c r="AC107" s="22">
        <f t="shared" si="57"/>
        <v>1.7335015892828023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295.68863999999974</v>
      </c>
      <c r="AK107" s="13">
        <f t="shared" si="89"/>
        <v>70.271876780519676</v>
      </c>
      <c r="AL107" s="20">
        <f t="shared" si="58"/>
        <v>637.38123339273795</v>
      </c>
      <c r="AM107" s="59">
        <f t="shared" si="59"/>
        <v>915.86220622379892</v>
      </c>
      <c r="AN107" s="59">
        <f ca="1">AVERAGE(OFFSET($AM$3,0,0,'Données projet'!$E$10+1,1))-AVERAGE(OFFSET($H$3,0,0,'Données projet'!$E$10+1,1))</f>
        <v>505.38595282220405</v>
      </c>
      <c r="AO107" s="59">
        <f t="shared" si="90"/>
        <v>351.72130415456365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0.55627912837138649</v>
      </c>
      <c r="AV107" s="21">
        <f>EXP(-LN(2)/25)*AV106+(1-EXP(-LN(2)/25))/(LN(2)/25)*Calculateur!AQ107*Calculateur!AS107*VLOOKUP('Données projet'!$B$10,Paramètres!$A$1:$I$89,3,0)*0.475*44/12</f>
        <v>1.4500027001516957</v>
      </c>
      <c r="AW107" s="21">
        <f>EXP(-LN(2)/2)*AW106+(1-EXP(-LN(2)/2))/(LN(2)/2)*AQ107*AT107*VLOOKUP('Données projet'!$B$10,Paramètres!$A$1:$I$89,3,0)*0.475*44/12</f>
        <v>1.5682116481262116E-10</v>
      </c>
      <c r="AX107" s="21">
        <f t="shared" si="60"/>
        <v>2.0062818286799033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-4.0702161641092972E-13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394.14657090341535</v>
      </c>
      <c r="BJ107" s="59">
        <f t="shared" si="92"/>
        <v>424.06445894109982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0.75361992982551029</v>
      </c>
      <c r="BQ107" s="21">
        <f>EXP(-LN(2)/25)*BQ106+(1-EXP(-LN(2)/25))/(LN(2)/25)*Calculateur!BL107*Calculateur!BN107*VLOOKUP('Données projet'!$B$11,Paramètres!$A$1:$I$89,3,0)*0.475*44/12</f>
        <v>2.6370609098566615</v>
      </c>
      <c r="BR107" s="21">
        <f>EXP(-LN(2)/2)*BR106+(1-EXP(-LN(2)/2))/(LN(2)/2)*BL107*BO107*VLOOKUP('Données projet'!$B$11,Paramètres!$A$1:$I$89,3,0)*0.475*44/12</f>
        <v>1.7490699430896556E-10</v>
      </c>
      <c r="BS107" s="22">
        <f t="shared" si="63"/>
        <v>3.3906808398570791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5.6843418860808015E-13</v>
      </c>
      <c r="BZ107" s="13">
        <f>BY107*VLOOKUP('Données projet'!$B$12,Paramètres!$A$1:$I$89,3,0)*VLOOKUP('Données projet'!$B$12,Paramètres!$A$1:$I$89,5,0)</f>
        <v>3.1036506698001181E-13</v>
      </c>
      <c r="CA107" s="13">
        <f t="shared" si="93"/>
        <v>4.086682523110923E-12</v>
      </c>
      <c r="CB107" s="20">
        <f t="shared" si="64"/>
        <v>7.6581912194083782E-12</v>
      </c>
      <c r="CC107" s="59">
        <f t="shared" si="65"/>
        <v>278.48097283106858</v>
      </c>
      <c r="CD107" s="59">
        <f ca="1">AVERAGE(OFFSET($CC$3,0,0,'Données projet'!$E$12+1,1))-AVERAGE(OFFSET($H$3,0,0,'Données projet'!$E$12+1,1))</f>
        <v>382.09004346384319</v>
      </c>
      <c r="CE107" s="59">
        <f t="shared" si="94"/>
        <v>410.18893995284986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1.9672742230295206</v>
      </c>
      <c r="CL107" s="21">
        <f>EXP(-LN(2)/25)*CL106+(1-EXP(-LN(2)/25))/(LN(2)/25)*Calculateur!CG107*Calculateur!CI107*VLOOKUP('Données projet'!$B$12,Paramètres!$A$1:$I$89,3,0)*0.475*44/12</f>
        <v>4.3743338557760643</v>
      </c>
      <c r="CM107" s="21">
        <f>EXP(-LN(2)/2)*CM106+(1-EXP(-LN(2)/2))/(LN(2)/2)*CG107*CJ107*VLOOKUP('Données projet'!$B$12,Paramètres!$A$1:$I$89,3,0)*0.475*44/12</f>
        <v>1.8322626503407266E-10</v>
      </c>
      <c r="CN107" s="22">
        <f t="shared" si="66"/>
        <v>6.341608078988811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363.02374534486341</v>
      </c>
      <c r="CZ107" s="59">
        <f t="shared" si="96"/>
        <v>489.00477393029598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1.688019424023518</v>
      </c>
      <c r="DG107" s="21">
        <f>EXP(-LN(2)/25)*DG106+(1-EXP(-LN(2)/25))/(LN(2)/25)*Calculateur!DB107*Calculateur!DD107*VLOOKUP('Données projet'!$B$13,Paramètres!$A$1:$I$89,3,0)*0.475*44/12</f>
        <v>2.48834756173158</v>
      </c>
      <c r="DH107" s="21">
        <f>EXP(-LN(2)/2)*DH106+(1-EXP(-LN(2)/2))/(LN(2)/2)*DB107*DE107*VLOOKUP('Données projet'!$B$13,Paramètres!$A$1:$I$89,3,0)*0.475*44/12</f>
        <v>2.1329425517733152E-10</v>
      </c>
      <c r="DI107" s="22">
        <f t="shared" si="69"/>
        <v>4.1763669859683921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>
        <f>DO107*VLOOKUP('Données projet'!$B$14,Paramètres!$A$1:$I$89,3,0)*VLOOKUP('Données projet'!$B$14,Paramètres!$A$1:$I$89,5,0)</f>
        <v>-3.7509835237869992E-13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368.03281986807173</v>
      </c>
      <c r="DU107" s="59">
        <f t="shared" si="98"/>
        <v>395.83504504492248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0.56347239296239626</v>
      </c>
      <c r="EB107" s="21">
        <f>EXP(-LN(2)/25)*EB106+(1-EXP(-LN(2)/25))/(LN(2)/25)*Calculateur!DW107*Calculateur!DY107*VLOOKUP('Données projet'!$B$14,Paramètres!$A$1:$I$89,3,0)*0.475*44/12</f>
        <v>1.9716981497670443</v>
      </c>
      <c r="EC107" s="21">
        <f>EXP(-LN(2)/2)*EC106+(1-EXP(-LN(2)/2))/(LN(2)/2)*DW107*DZ107*VLOOKUP('Données projet'!$B$14,Paramètres!$A$1:$I$89,3,0)*0.475*44/12</f>
        <v>1.6118879867689077E-10</v>
      </c>
      <c r="ED107" s="22">
        <f t="shared" si="72"/>
        <v>2.5351705428906293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225.2264820414552</v>
      </c>
      <c r="EP107" s="59">
        <f t="shared" si="100"/>
        <v>249.91838548328681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0.51095227999296888</v>
      </c>
      <c r="EW107" s="21">
        <f>EXP(-LN(2)/25)*EW106+(1-EXP(-LN(2)/25))/(LN(2)/25)*Calculateur!ER107*Calculateur!ET107*VLOOKUP('Données projet'!$B$15,Paramètres!$A$1:$I$89,3,0)*0.475*44/12</f>
        <v>1.1123663671675728</v>
      </c>
      <c r="EX107" s="21">
        <f>EXP(-LN(2)/2)*EX106+(1-EXP(-LN(2)/2))/(LN(2)/2)*ER107*EU107*VLOOKUP('Données projet'!$B$15,Paramètres!$A$1:$I$89,3,0)*0.475*44/12</f>
        <v>2.9435051042506094E-11</v>
      </c>
      <c r="EY107" s="22">
        <f t="shared" si="75"/>
        <v>1.6233186471899768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-1.2505552149377763E-12</v>
      </c>
      <c r="FF107" s="17">
        <f>FE107*VLOOKUP('Données projet'!$B$16,Paramètres!$A$1:$I$89,3,0)*VLOOKUP('Données projet'!$B$16,Paramètres!$A$1:$I$89,5,0)</f>
        <v>-6.9906036515021697E-13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549.85684198202534</v>
      </c>
      <c r="FK107" s="59">
        <f t="shared" si="102"/>
        <v>539.63748606275431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2.6375303500367502</v>
      </c>
      <c r="FR107" s="21">
        <f>EXP(-LN(2)/25)*FR106+(1-EXP(-LN(2)/25))/(LN(2)/25)*Calculateur!FM107*Calculateur!FO107*VLOOKUP('Données projet'!$B$16,Paramètres!$A$1:$I$89,3,0)*0.475*44/12</f>
        <v>4.9811356802584283</v>
      </c>
      <c r="FS107" s="21">
        <f>EXP(-LN(2)/2)*FS106+(1-EXP(-LN(2)/2))/(LN(2)/2)*FM107*FP107*VLOOKUP('Données projet'!$B$16,Paramètres!$A$1:$I$89,3,0)*0.475*44/12</f>
        <v>2.65367935608331E-10</v>
      </c>
      <c r="FT107" s="22">
        <f t="shared" si="78"/>
        <v>7.6186660305605471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-5.6843418860808015E-13</v>
      </c>
      <c r="GA107" s="17">
        <f>FZ107*VLOOKUP('Données projet'!$B$17,Paramètres!$A$1:$I$89,3,0)*VLOOKUP('Données projet'!$B$17,Paramètres!$A$1:$I$89,5,0)</f>
        <v>-3.39923644787632E-13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495.6641415122013</v>
      </c>
      <c r="GF107" s="59">
        <f t="shared" si="104"/>
        <v>488.90534169400757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0.92341443121793942</v>
      </c>
      <c r="GM107" s="21">
        <f>EXP(-LN(2)/25)*GM106+(1-EXP(-LN(2)/25))/(LN(2)/25)*Calculateur!GH107*Calculateur!GJ107*VLOOKUP('Données projet'!$B$17,Paramètres!$A$1:$I$89,3,0)*0.475*44/12</f>
        <v>3.3420244233329299</v>
      </c>
      <c r="GN107" s="21">
        <f>EXP(-LN(2)/2)*GN106+(1-EXP(-LN(2)/2))/(LN(2)/2)*GH107*GK107*VLOOKUP('Données projet'!$B$17,Paramètres!$A$1:$I$89,3,0)*0.475*44/12</f>
        <v>2.5290743646772494E-10</v>
      </c>
      <c r="GO107" s="21">
        <f t="shared" si="81"/>
        <v>4.2654388548037767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-5.6843418860808015E-13</v>
      </c>
      <c r="GV107" s="17">
        <f>GU107*VLOOKUP('Données projet'!$B$18,Paramètres!$A$1:$I$89,3,0)*VLOOKUP('Données projet'!$B$18,Paramètres!$A$1:$I$89,5,0)</f>
        <v>-3.39923644787632E-13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-18.333333333333343</v>
      </c>
      <c r="HA107" s="59">
        <f t="shared" si="106"/>
        <v>-18.333333333333343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0.92341443121793942</v>
      </c>
      <c r="HH107" s="21">
        <f>EXP(-LN(2)/25)*HH106+(1-EXP(-LN(2)/25))/(LN(2)/25)*Calculateur!HC107*Calculateur!HE107*VLOOKUP('Données projet'!$B$18,Paramètres!$A$1:$I$89,3,0)*0.475*44/12</f>
        <v>3.3420244233329299</v>
      </c>
      <c r="HI107" s="21">
        <f>EXP(-LN(2)/2)*HI106+(1-EXP(-LN(2)/2))/(LN(2)/2)*HC107*HF107*VLOOKUP('Données projet'!$B$18,Paramètres!$A$1:$I$89,3,0)*0.475*44/12</f>
        <v>2.5290743646772494E-10</v>
      </c>
      <c r="HJ107" s="22">
        <f t="shared" si="84"/>
        <v>4.2654388548037767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376.11581547534814</v>
      </c>
      <c r="T108" s="59">
        <f t="shared" si="88"/>
        <v>300.91675649863294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0.7097661835838075</v>
      </c>
      <c r="AA108" s="21">
        <f>EXP(-LN(2)/25)*AA107+(1-EXP(-LN(2)/25))/(LN(2)/25)*Calculateur!V108*Calculateur!X108*VLOOKUP('Données projet'!$B$9,Paramètres!$A$1:$I$89,3,0)*0.475*44/12</f>
        <v>0.98193304424915351</v>
      </c>
      <c r="AB108" s="21">
        <f>EXP(-LN(2)/2)*AB107+(1-EXP(-LN(2)/2))/(LN(2)/2)*V108*Y108*VLOOKUP('Données projet'!$B$9,Paramètres!$A$1:$I$89,3,0)*0.475*44/12</f>
        <v>5.0585357989185847E-11</v>
      </c>
      <c r="AC108" s="22">
        <f t="shared" si="57"/>
        <v>1.6916992278835463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300.39359999999976</v>
      </c>
      <c r="AK108" s="13">
        <f t="shared" si="89"/>
        <v>71.258970856492667</v>
      </c>
      <c r="AL108" s="20">
        <f t="shared" si="58"/>
        <v>647.29489424172436</v>
      </c>
      <c r="AM108" s="59">
        <f t="shared" si="59"/>
        <v>926.03352232259613</v>
      </c>
      <c r="AN108" s="59">
        <f ca="1">AVERAGE(OFFSET($AM$3,0,0,'Données projet'!$E$10+1,1))-AVERAGE(OFFSET($H$3,0,0,'Données projet'!$E$10+1,1))</f>
        <v>505.38595282220405</v>
      </c>
      <c r="AO108" s="59">
        <f t="shared" si="90"/>
        <v>351.72130415456365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0.54537083396078911</v>
      </c>
      <c r="AV108" s="21">
        <f>EXP(-LN(2)/25)*AV107+(1-EXP(-LN(2)/25))/(LN(2)/25)*Calculateur!AQ108*Calculateur!AS108*VLOOKUP('Données projet'!$B$10,Paramètres!$A$1:$I$89,3,0)*0.475*44/12</f>
        <v>1.4103523000637197</v>
      </c>
      <c r="AW108" s="21">
        <f>EXP(-LN(2)/2)*AW107+(1-EXP(-LN(2)/2))/(LN(2)/2)*AQ108*AT108*VLOOKUP('Données projet'!$B$10,Paramètres!$A$1:$I$89,3,0)*0.475*44/12</f>
        <v>1.1088930907257761E-10</v>
      </c>
      <c r="AX108" s="21">
        <f t="shared" si="60"/>
        <v>1.955723134135398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-4.0702161641092972E-13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394.14657090341535</v>
      </c>
      <c r="BJ108" s="59">
        <f t="shared" si="92"/>
        <v>424.06445894109982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0.73884190266440131</v>
      </c>
      <c r="BQ108" s="21">
        <f>EXP(-LN(2)/25)*BQ107+(1-EXP(-LN(2)/25))/(LN(2)/25)*Calculateur!BL108*Calculateur!BN108*VLOOKUP('Données projet'!$B$11,Paramètres!$A$1:$I$89,3,0)*0.475*44/12</f>
        <v>2.564950340599625</v>
      </c>
      <c r="BR108" s="21">
        <f>EXP(-LN(2)/2)*BR107+(1-EXP(-LN(2)/2))/(LN(2)/2)*BL108*BO108*VLOOKUP('Données projet'!$B$11,Paramètres!$A$1:$I$89,3,0)*0.475*44/12</f>
        <v>1.2367792175282642E-10</v>
      </c>
      <c r="BS108" s="22">
        <f t="shared" si="63"/>
        <v>3.3037922433877043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5.6843418860808015E-13</v>
      </c>
      <c r="BZ108" s="13">
        <f>BY108*VLOOKUP('Données projet'!$B$12,Paramètres!$A$1:$I$89,3,0)*VLOOKUP('Données projet'!$B$12,Paramètres!$A$1:$I$89,5,0)</f>
        <v>3.1036506698001181E-13</v>
      </c>
      <c r="CA108" s="13">
        <f t="shared" si="93"/>
        <v>4.086682523110923E-12</v>
      </c>
      <c r="CB108" s="20">
        <f t="shared" si="64"/>
        <v>7.6581912194083782E-12</v>
      </c>
      <c r="CC108" s="59">
        <f t="shared" si="65"/>
        <v>278.73862808087944</v>
      </c>
      <c r="CD108" s="59">
        <f ca="1">AVERAGE(OFFSET($CC$3,0,0,'Données projet'!$E$12+1,1))-AVERAGE(OFFSET($H$3,0,0,'Données projet'!$E$12+1,1))</f>
        <v>382.09004346384319</v>
      </c>
      <c r="CE108" s="59">
        <f t="shared" si="94"/>
        <v>410.18893995284986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1.9286971754347055</v>
      </c>
      <c r="CL108" s="21">
        <f>EXP(-LN(2)/25)*CL107+(1-EXP(-LN(2)/25))/(LN(2)/25)*Calculateur!CG108*Calculateur!CI108*VLOOKUP('Données projet'!$B$12,Paramètres!$A$1:$I$89,3,0)*0.475*44/12</f>
        <v>4.2547174664536476</v>
      </c>
      <c r="CM108" s="21">
        <f>EXP(-LN(2)/2)*CM107+(1-EXP(-LN(2)/2))/(LN(2)/2)*CG108*CJ108*VLOOKUP('Données projet'!$B$12,Paramètres!$A$1:$I$89,3,0)*0.475*44/12</f>
        <v>1.2956053449707638E-10</v>
      </c>
      <c r="CN108" s="22">
        <f t="shared" si="66"/>
        <v>6.1834146420179135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363.02374534486341</v>
      </c>
      <c r="CZ108" s="59">
        <f t="shared" si="96"/>
        <v>489.00477393029598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1.654918392708602</v>
      </c>
      <c r="DG108" s="21">
        <f>EXP(-LN(2)/25)*DG107+(1-EXP(-LN(2)/25))/(LN(2)/25)*Calculateur!DB108*Calculateur!DD108*VLOOKUP('Données projet'!$B$13,Paramètres!$A$1:$I$89,3,0)*0.475*44/12</f>
        <v>2.420303566799519</v>
      </c>
      <c r="DH108" s="21">
        <f>EXP(-LN(2)/2)*DH107+(1-EXP(-LN(2)/2))/(LN(2)/2)*DB108*DE108*VLOOKUP('Données projet'!$B$13,Paramètres!$A$1:$I$89,3,0)*0.475*44/12</f>
        <v>1.5082181422402499E-10</v>
      </c>
      <c r="DI108" s="22">
        <f t="shared" si="69"/>
        <v>4.0752219596589425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>
        <f>DO108*VLOOKUP('Données projet'!$B$14,Paramètres!$A$1:$I$89,3,0)*VLOOKUP('Données projet'!$B$14,Paramètres!$A$1:$I$89,5,0)</f>
        <v>-3.7509835237869992E-13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368.03281986807173</v>
      </c>
      <c r="DU108" s="59">
        <f t="shared" si="98"/>
        <v>395.83504504492248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0.55242304302062739</v>
      </c>
      <c r="EB108" s="21">
        <f>EXP(-LN(2)/25)*EB107+(1-EXP(-LN(2)/25))/(LN(2)/25)*Calculateur!DW108*Calculateur!DY108*VLOOKUP('Données projet'!$B$14,Paramètres!$A$1:$I$89,3,0)*0.475*44/12</f>
        <v>1.9177819601745651</v>
      </c>
      <c r="EC108" s="21">
        <f>EXP(-LN(2)/2)*EC107+(1-EXP(-LN(2)/2))/(LN(2)/2)*DW108*DZ108*VLOOKUP('Données projet'!$B$14,Paramètres!$A$1:$I$89,3,0)*0.475*44/12</f>
        <v>1.1397769259574267E-10</v>
      </c>
      <c r="ED108" s="22">
        <f t="shared" si="72"/>
        <v>2.4702050033091703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225.2264820414552</v>
      </c>
      <c r="EP108" s="59">
        <f t="shared" si="100"/>
        <v>249.91838548328681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0.50093281743242468</v>
      </c>
      <c r="EW108" s="21">
        <f>EXP(-LN(2)/25)*EW107+(1-EXP(-LN(2)/25))/(LN(2)/25)*Calculateur!ER108*Calculateur!ET108*VLOOKUP('Données projet'!$B$15,Paramètres!$A$1:$I$89,3,0)*0.475*44/12</f>
        <v>1.0819486503605706</v>
      </c>
      <c r="EX108" s="21">
        <f>EXP(-LN(2)/2)*EX107+(1-EXP(-LN(2)/2))/(LN(2)/2)*ER108*EU108*VLOOKUP('Données projet'!$B$15,Paramètres!$A$1:$I$89,3,0)*0.475*44/12</f>
        <v>2.0813724196728215E-11</v>
      </c>
      <c r="EY108" s="22">
        <f t="shared" si="75"/>
        <v>1.5828814678138092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-1.2505552149377763E-12</v>
      </c>
      <c r="FF108" s="17">
        <f>FE108*VLOOKUP('Données projet'!$B$16,Paramètres!$A$1:$I$89,3,0)*VLOOKUP('Données projet'!$B$16,Paramètres!$A$1:$I$89,5,0)</f>
        <v>-6.9906036515021697E-13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549.85684198202534</v>
      </c>
      <c r="FK108" s="59">
        <f t="shared" si="102"/>
        <v>539.63748606275431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2.5858099886071937</v>
      </c>
      <c r="FR108" s="21">
        <f>EXP(-LN(2)/25)*FR107+(1-EXP(-LN(2)/25))/(LN(2)/25)*Calculateur!FM108*Calculateur!FO108*VLOOKUP('Données projet'!$B$16,Paramètres!$A$1:$I$89,3,0)*0.475*44/12</f>
        <v>4.8449262631352203</v>
      </c>
      <c r="FS108" s="21">
        <f>EXP(-LN(2)/2)*FS107+(1-EXP(-LN(2)/2))/(LN(2)/2)*FM108*FP108*VLOOKUP('Données projet'!$B$16,Paramètres!$A$1:$I$89,3,0)*0.475*44/12</f>
        <v>1.8764346677812594E-10</v>
      </c>
      <c r="FT108" s="22">
        <f t="shared" si="78"/>
        <v>7.4307362519300577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-5.6843418860808015E-13</v>
      </c>
      <c r="GA108" s="17">
        <f>FZ108*VLOOKUP('Données projet'!$B$17,Paramètres!$A$1:$I$89,3,0)*VLOOKUP('Données projet'!$B$17,Paramètres!$A$1:$I$89,5,0)</f>
        <v>-3.39923644787632E-13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495.6641415122013</v>
      </c>
      <c r="GF108" s="59">
        <f t="shared" si="104"/>
        <v>488.90534169400757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0.90530683744894458</v>
      </c>
      <c r="GM108" s="21">
        <f>EXP(-LN(2)/25)*GM107+(1-EXP(-LN(2)/25))/(LN(2)/25)*Calculateur!GH108*Calculateur!GJ108*VLOOKUP('Données projet'!$B$17,Paramètres!$A$1:$I$89,3,0)*0.475*44/12</f>
        <v>3.2506365897274647</v>
      </c>
      <c r="GN108" s="21">
        <f>EXP(-LN(2)/2)*GN107+(1-EXP(-LN(2)/2))/(LN(2)/2)*GH108*GK108*VLOOKUP('Données projet'!$B$17,Paramètres!$A$1:$I$89,3,0)*0.475*44/12</f>
        <v>1.7883256333883425E-10</v>
      </c>
      <c r="GO108" s="21">
        <f t="shared" si="81"/>
        <v>4.1559434273552425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-5.6843418860808015E-13</v>
      </c>
      <c r="GV108" s="17">
        <f>GU108*VLOOKUP('Données projet'!$B$18,Paramètres!$A$1:$I$89,3,0)*VLOOKUP('Données projet'!$B$18,Paramètres!$A$1:$I$89,5,0)</f>
        <v>-3.39923644787632E-13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-18.333333333333343</v>
      </c>
      <c r="HA108" s="59">
        <f t="shared" si="106"/>
        <v>-18.333333333333343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0.90530683744894458</v>
      </c>
      <c r="HH108" s="21">
        <f>EXP(-LN(2)/25)*HH107+(1-EXP(-LN(2)/25))/(LN(2)/25)*Calculateur!HC108*Calculateur!HE108*VLOOKUP('Données projet'!$B$18,Paramètres!$A$1:$I$89,3,0)*0.475*44/12</f>
        <v>3.2506365897274647</v>
      </c>
      <c r="HI108" s="21">
        <f>EXP(-LN(2)/2)*HI107+(1-EXP(-LN(2)/2))/(LN(2)/2)*HC108*HF108*VLOOKUP('Données projet'!$B$18,Paramètres!$A$1:$I$89,3,0)*0.475*44/12</f>
        <v>1.7883256333883425E-10</v>
      </c>
      <c r="HJ108" s="22">
        <f t="shared" si="84"/>
        <v>4.1559434273552425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376.11581547534814</v>
      </c>
      <c r="T109" s="59">
        <f t="shared" si="88"/>
        <v>300.91675649863294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0.6958481016383542</v>
      </c>
      <c r="AA109" s="21">
        <f>EXP(-LN(2)/25)*AA108+(1-EXP(-LN(2)/25))/(LN(2)/25)*Calculateur!V109*Calculateur!X109*VLOOKUP('Données projet'!$B$9,Paramètres!$A$1:$I$89,3,0)*0.475*44/12</f>
        <v>0.95508203351654586</v>
      </c>
      <c r="AB109" s="21">
        <f>EXP(-LN(2)/2)*AB108+(1-EXP(-LN(2)/2))/(LN(2)/2)*V109*Y109*VLOOKUP('Données projet'!$B$9,Paramètres!$A$1:$I$89,3,0)*0.475*44/12</f>
        <v>3.576924966290241E-11</v>
      </c>
      <c r="AC109" s="22">
        <f t="shared" si="57"/>
        <v>1.6509301351906691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305.09855999999974</v>
      </c>
      <c r="AK109" s="13">
        <f t="shared" si="89"/>
        <v>72.244266890878734</v>
      </c>
      <c r="AL109" s="20">
        <f t="shared" si="58"/>
        <v>657.20542350161338</v>
      </c>
      <c r="AM109" s="59">
        <f t="shared" si="59"/>
        <v>936.19723708974243</v>
      </c>
      <c r="AN109" s="59">
        <f ca="1">AVERAGE(OFFSET($AM$3,0,0,'Données projet'!$E$10+1,1))-AVERAGE(OFFSET($H$3,0,0,'Données projet'!$E$10+1,1))</f>
        <v>505.38595282220405</v>
      </c>
      <c r="AO109" s="59">
        <f t="shared" si="90"/>
        <v>351.72130415456365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0.53467644455018093</v>
      </c>
      <c r="AV109" s="21">
        <f>EXP(-LN(2)/25)*AV108+(1-EXP(-LN(2)/25))/(LN(2)/25)*Calculateur!AQ109*Calculateur!AS109*VLOOKUP('Données projet'!$B$10,Paramètres!$A$1:$I$89,3,0)*0.475*44/12</f>
        <v>1.3717861422512732</v>
      </c>
      <c r="AW109" s="21">
        <f>EXP(-LN(2)/2)*AW108+(1-EXP(-LN(2)/2))/(LN(2)/2)*AQ109*AT109*VLOOKUP('Données projet'!$B$10,Paramètres!$A$1:$I$89,3,0)*0.475*44/12</f>
        <v>7.8410582406310578E-11</v>
      </c>
      <c r="AX109" s="21">
        <f t="shared" si="60"/>
        <v>1.9064625868798646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-4.0702161641092972E-13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394.14657090341535</v>
      </c>
      <c r="BJ109" s="59">
        <f t="shared" si="92"/>
        <v>424.06445894109982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0.72435366360221509</v>
      </c>
      <c r="BQ109" s="21">
        <f>EXP(-LN(2)/25)*BQ108+(1-EXP(-LN(2)/25))/(LN(2)/25)*Calculateur!BL109*Calculateur!BN109*VLOOKUP('Données projet'!$B$11,Paramètres!$A$1:$I$89,3,0)*0.475*44/12</f>
        <v>2.4948116386510519</v>
      </c>
      <c r="BR109" s="21">
        <f>EXP(-LN(2)/2)*BR108+(1-EXP(-LN(2)/2))/(LN(2)/2)*BL109*BO109*VLOOKUP('Données projet'!$B$11,Paramètres!$A$1:$I$89,3,0)*0.475*44/12</f>
        <v>8.7453497154482779E-11</v>
      </c>
      <c r="BS109" s="22">
        <f t="shared" si="63"/>
        <v>3.2191653023407207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5.6843418860808015E-13</v>
      </c>
      <c r="BZ109" s="13">
        <f>BY109*VLOOKUP('Données projet'!$B$12,Paramètres!$A$1:$I$89,3,0)*VLOOKUP('Données projet'!$B$12,Paramètres!$A$1:$I$89,5,0)</f>
        <v>3.1036506698001181E-13</v>
      </c>
      <c r="CA109" s="13">
        <f t="shared" si="93"/>
        <v>4.086682523110923E-12</v>
      </c>
      <c r="CB109" s="20">
        <f t="shared" si="64"/>
        <v>7.6581912194083782E-12</v>
      </c>
      <c r="CC109" s="59">
        <f t="shared" si="65"/>
        <v>278.99181358813678</v>
      </c>
      <c r="CD109" s="59">
        <f ca="1">AVERAGE(OFFSET($CC$3,0,0,'Données projet'!$E$12+1,1))-AVERAGE(OFFSET($H$3,0,0,'Données projet'!$E$12+1,1))</f>
        <v>382.09004346384319</v>
      </c>
      <c r="CE109" s="59">
        <f t="shared" si="94"/>
        <v>410.18893995284986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1.8908766002135493</v>
      </c>
      <c r="CL109" s="21">
        <f>EXP(-LN(2)/25)*CL108+(1-EXP(-LN(2)/25))/(LN(2)/25)*Calculateur!CG109*Calculateur!CI109*VLOOKUP('Données projet'!$B$12,Paramètres!$A$1:$I$89,3,0)*0.475*44/12</f>
        <v>4.1383719935876053</v>
      </c>
      <c r="CM109" s="21">
        <f>EXP(-LN(2)/2)*CM108+(1-EXP(-LN(2)/2))/(LN(2)/2)*CG109*CJ109*VLOOKUP('Données projet'!$B$12,Paramètres!$A$1:$I$89,3,0)*0.475*44/12</f>
        <v>9.161313251703633E-11</v>
      </c>
      <c r="CN109" s="22">
        <f t="shared" si="66"/>
        <v>6.0292485938927678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363.02374534486341</v>
      </c>
      <c r="CZ109" s="59">
        <f t="shared" si="96"/>
        <v>489.00477393029598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1.6224664524281358</v>
      </c>
      <c r="DG109" s="21">
        <f>EXP(-LN(2)/25)*DG108+(1-EXP(-LN(2)/25))/(LN(2)/25)*Calculateur!DB109*Calculateur!DD109*VLOOKUP('Données projet'!$B$13,Paramètres!$A$1:$I$89,3,0)*0.475*44/12</f>
        <v>2.3541202384871531</v>
      </c>
      <c r="DH109" s="21">
        <f>EXP(-LN(2)/2)*DH108+(1-EXP(-LN(2)/2))/(LN(2)/2)*DB109*DE109*VLOOKUP('Données projet'!$B$13,Paramètres!$A$1:$I$89,3,0)*0.475*44/12</f>
        <v>1.0664712758866576E-10</v>
      </c>
      <c r="DI109" s="22">
        <f t="shared" si="69"/>
        <v>3.9765866910219358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>
        <f>DO109*VLOOKUP('Données projet'!$B$14,Paramètres!$A$1:$I$89,3,0)*VLOOKUP('Données projet'!$B$14,Paramètres!$A$1:$I$89,5,0)</f>
        <v>-3.7509835237869992E-13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368.03281986807173</v>
      </c>
      <c r="DU109" s="59">
        <f t="shared" si="98"/>
        <v>395.83504504492248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0.54159036409177863</v>
      </c>
      <c r="EB109" s="21">
        <f>EXP(-LN(2)/25)*EB108+(1-EXP(-LN(2)/25))/(LN(2)/25)*Calculateur!DW109*Calculateur!DY109*VLOOKUP('Données projet'!$B$14,Paramètres!$A$1:$I$89,3,0)*0.475*44/12</f>
        <v>1.8653401116218216</v>
      </c>
      <c r="EC109" s="21">
        <f>EXP(-LN(2)/2)*EC108+(1-EXP(-LN(2)/2))/(LN(2)/2)*DW109*DZ109*VLOOKUP('Données projet'!$B$14,Paramètres!$A$1:$I$89,3,0)*0.475*44/12</f>
        <v>8.0594399338445396E-11</v>
      </c>
      <c r="ED109" s="22">
        <f t="shared" si="72"/>
        <v>2.4069304757941943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225.2264820414552</v>
      </c>
      <c r="EP109" s="59">
        <f t="shared" si="100"/>
        <v>249.91838548328681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0.49110983042142403</v>
      </c>
      <c r="EW109" s="21">
        <f>EXP(-LN(2)/25)*EW108+(1-EXP(-LN(2)/25))/(LN(2)/25)*Calculateur!ER109*Calculateur!ET109*VLOOKUP('Données projet'!$B$15,Paramètres!$A$1:$I$89,3,0)*0.475*44/12</f>
        <v>1.0523627076192541</v>
      </c>
      <c r="EX109" s="21">
        <f>EXP(-LN(2)/2)*EX108+(1-EXP(-LN(2)/2))/(LN(2)/2)*ER109*EU109*VLOOKUP('Données projet'!$B$15,Paramètres!$A$1:$I$89,3,0)*0.475*44/12</f>
        <v>1.4717525521253047E-11</v>
      </c>
      <c r="EY109" s="22">
        <f t="shared" si="75"/>
        <v>1.5434725380553957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-1.2505552149377763E-12</v>
      </c>
      <c r="FF109" s="17">
        <f>FE109*VLOOKUP('Données projet'!$B$16,Paramètres!$A$1:$I$89,3,0)*VLOOKUP('Données projet'!$B$16,Paramètres!$A$1:$I$89,5,0)</f>
        <v>-6.9906036515021697E-13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549.85684198202534</v>
      </c>
      <c r="FK109" s="59">
        <f t="shared" si="102"/>
        <v>539.63748606275431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2.5351038319189652</v>
      </c>
      <c r="FR109" s="21">
        <f>EXP(-LN(2)/25)*FR108+(1-EXP(-LN(2)/25))/(LN(2)/25)*Calculateur!FM109*Calculateur!FO109*VLOOKUP('Données projet'!$B$16,Paramètres!$A$1:$I$89,3,0)*0.475*44/12</f>
        <v>4.7124414996861885</v>
      </c>
      <c r="FS109" s="21">
        <f>EXP(-LN(2)/2)*FS108+(1-EXP(-LN(2)/2))/(LN(2)/2)*FM109*FP109*VLOOKUP('Données projet'!$B$16,Paramètres!$A$1:$I$89,3,0)*0.475*44/12</f>
        <v>1.326839678041655E-10</v>
      </c>
      <c r="FT109" s="22">
        <f t="shared" si="78"/>
        <v>7.2475453317378378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-5.6843418860808015E-13</v>
      </c>
      <c r="GA109" s="17">
        <f>FZ109*VLOOKUP('Données projet'!$B$17,Paramètres!$A$1:$I$89,3,0)*VLOOKUP('Données projet'!$B$17,Paramètres!$A$1:$I$89,5,0)</f>
        <v>-3.39923644787632E-13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495.6641415122013</v>
      </c>
      <c r="GF109" s="59">
        <f t="shared" si="104"/>
        <v>488.90534169400757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0.88755432254921807</v>
      </c>
      <c r="GM109" s="21">
        <f>EXP(-LN(2)/25)*GM108+(1-EXP(-LN(2)/25))/(LN(2)/25)*Calculateur!GH109*Calculateur!GJ109*VLOOKUP('Données projet'!$B$17,Paramètres!$A$1:$I$89,3,0)*0.475*44/12</f>
        <v>3.1617477612378182</v>
      </c>
      <c r="GN109" s="21">
        <f>EXP(-LN(2)/2)*GN108+(1-EXP(-LN(2)/2))/(LN(2)/2)*GH109*GK109*VLOOKUP('Données projet'!$B$17,Paramètres!$A$1:$I$89,3,0)*0.475*44/12</f>
        <v>1.2645371823386247E-10</v>
      </c>
      <c r="GO109" s="21">
        <f t="shared" si="81"/>
        <v>4.0493020839134894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-5.6843418860808015E-13</v>
      </c>
      <c r="GV109" s="17">
        <f>GU109*VLOOKUP('Données projet'!$B$18,Paramètres!$A$1:$I$89,3,0)*VLOOKUP('Données projet'!$B$18,Paramètres!$A$1:$I$89,5,0)</f>
        <v>-3.39923644787632E-13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-18.333333333333343</v>
      </c>
      <c r="HA109" s="59">
        <f t="shared" si="106"/>
        <v>-18.333333333333343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0.88755432254921807</v>
      </c>
      <c r="HH109" s="21">
        <f>EXP(-LN(2)/25)*HH108+(1-EXP(-LN(2)/25))/(LN(2)/25)*Calculateur!HC109*Calculateur!HE109*VLOOKUP('Données projet'!$B$18,Paramètres!$A$1:$I$89,3,0)*0.475*44/12</f>
        <v>3.1617477612378182</v>
      </c>
      <c r="HI109" s="21">
        <f>EXP(-LN(2)/2)*HI108+(1-EXP(-LN(2)/2))/(LN(2)/2)*HC109*HF109*VLOOKUP('Données projet'!$B$18,Paramètres!$A$1:$I$89,3,0)*0.475*44/12</f>
        <v>1.2645371823386247E-10</v>
      </c>
      <c r="HJ109" s="22">
        <f t="shared" si="84"/>
        <v>4.0493020839134894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376.11581547534814</v>
      </c>
      <c r="T110" s="59">
        <f t="shared" si="88"/>
        <v>300.91675649863294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0.68220294479065957</v>
      </c>
      <c r="AA110" s="21">
        <f>EXP(-LN(2)/25)*AA109+(1-EXP(-LN(2)/25))/(LN(2)/25)*Calculateur!V110*Calculateur!X110*VLOOKUP('Données projet'!$B$9,Paramètres!$A$1:$I$89,3,0)*0.475*44/12</f>
        <v>0.92896526508445465</v>
      </c>
      <c r="AB110" s="21">
        <f>EXP(-LN(2)/2)*AB109+(1-EXP(-LN(2)/2))/(LN(2)/2)*V110*Y110*VLOOKUP('Données projet'!$B$9,Paramètres!$A$1:$I$89,3,0)*0.475*44/12</f>
        <v>2.5292678994592923E-11</v>
      </c>
      <c r="AC110" s="22">
        <f t="shared" si="57"/>
        <v>1.611168209900407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309.80351999999971</v>
      </c>
      <c r="AK110" s="13">
        <f t="shared" si="89"/>
        <v>73.227795813703693</v>
      </c>
      <c r="AL110" s="20">
        <f t="shared" si="58"/>
        <v>667.11287504220002</v>
      </c>
      <c r="AM110" s="59">
        <f t="shared" si="59"/>
        <v>946.35348193507366</v>
      </c>
      <c r="AN110" s="59">
        <f ca="1">AVERAGE(OFFSET($AM$3,0,0,'Données projet'!$E$10+1,1))-AVERAGE(OFFSET($H$3,0,0,'Données projet'!$E$10+1,1))</f>
        <v>505.38595282220405</v>
      </c>
      <c r="AO110" s="59">
        <f t="shared" si="90"/>
        <v>351.72130415456365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0.52419176559298131</v>
      </c>
      <c r="AV110" s="21">
        <f>EXP(-LN(2)/25)*AV109+(1-EXP(-LN(2)/25))/(LN(2)/25)*Calculateur!AQ110*Calculateur!AS110*VLOOKUP('Données projet'!$B$10,Paramètres!$A$1:$I$89,3,0)*0.475*44/12</f>
        <v>1.3342745780523142</v>
      </c>
      <c r="AW110" s="21">
        <f>EXP(-LN(2)/2)*AW109+(1-EXP(-LN(2)/2))/(LN(2)/2)*AQ110*AT110*VLOOKUP('Données projet'!$B$10,Paramètres!$A$1:$I$89,3,0)*0.475*44/12</f>
        <v>5.5444654536288807E-11</v>
      </c>
      <c r="AX110" s="21">
        <f t="shared" si="60"/>
        <v>1.8584663437007403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-4.0702161641092972E-13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394.14657090341535</v>
      </c>
      <c r="BJ110" s="59">
        <f t="shared" si="92"/>
        <v>424.06445894109982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0.71014953007108517</v>
      </c>
      <c r="BQ110" s="21">
        <f>EXP(-LN(2)/25)*BQ109+(1-EXP(-LN(2)/25))/(LN(2)/25)*Calculateur!BL110*Calculateur!BN110*VLOOKUP('Données projet'!$B$11,Paramètres!$A$1:$I$89,3,0)*0.475*44/12</f>
        <v>2.4265908831956966</v>
      </c>
      <c r="BR110" s="21">
        <f>EXP(-LN(2)/2)*BR109+(1-EXP(-LN(2)/2))/(LN(2)/2)*BL110*BO110*VLOOKUP('Données projet'!$B$11,Paramètres!$A$1:$I$89,3,0)*0.475*44/12</f>
        <v>6.1838960876413211E-11</v>
      </c>
      <c r="BS110" s="22">
        <f t="shared" si="63"/>
        <v>3.1367404133286207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5.6843418860808015E-13</v>
      </c>
      <c r="BZ110" s="13">
        <f>BY110*VLOOKUP('Données projet'!$B$12,Paramètres!$A$1:$I$89,3,0)*VLOOKUP('Données projet'!$B$12,Paramètres!$A$1:$I$89,5,0)</f>
        <v>3.1036506698001181E-13</v>
      </c>
      <c r="CA110" s="13">
        <f t="shared" si="93"/>
        <v>4.086682523110923E-12</v>
      </c>
      <c r="CB110" s="20">
        <f t="shared" si="64"/>
        <v>7.6581912194083782E-12</v>
      </c>
      <c r="CC110" s="59">
        <f t="shared" si="65"/>
        <v>279.24060689288132</v>
      </c>
      <c r="CD110" s="59">
        <f ca="1">AVERAGE(OFFSET($CC$3,0,0,'Données projet'!$E$12+1,1))-AVERAGE(OFFSET($H$3,0,0,'Données projet'!$E$12+1,1))</f>
        <v>382.09004346384319</v>
      </c>
      <c r="CE110" s="59">
        <f t="shared" si="94"/>
        <v>410.18893995284986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1.8537976634042068</v>
      </c>
      <c r="CL110" s="21">
        <f>EXP(-LN(2)/25)*CL109+(1-EXP(-LN(2)/25))/(LN(2)/25)*Calculateur!CG110*Calculateur!CI110*VLOOKUP('Données projet'!$B$12,Paramètres!$A$1:$I$89,3,0)*0.475*44/12</f>
        <v>4.0252079937954273</v>
      </c>
      <c r="CM110" s="21">
        <f>EXP(-LN(2)/2)*CM109+(1-EXP(-LN(2)/2))/(LN(2)/2)*CG110*CJ110*VLOOKUP('Données projet'!$B$12,Paramètres!$A$1:$I$89,3,0)*0.475*44/12</f>
        <v>6.478026724853819E-11</v>
      </c>
      <c r="CN110" s="22">
        <f t="shared" si="66"/>
        <v>5.8790056572644147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363.02374534486341</v>
      </c>
      <c r="CZ110" s="59">
        <f t="shared" si="96"/>
        <v>489.00477393029598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1.5906508749028405</v>
      </c>
      <c r="DG110" s="21">
        <f>EXP(-LN(2)/25)*DG109+(1-EXP(-LN(2)/25))/(LN(2)/25)*Calculateur!DB110*Calculateur!DD110*VLOOKUP('Données projet'!$B$13,Paramètres!$A$1:$I$89,3,0)*0.475*44/12</f>
        <v>2.289746696767919</v>
      </c>
      <c r="DH110" s="21">
        <f>EXP(-LN(2)/2)*DH109+(1-EXP(-LN(2)/2))/(LN(2)/2)*DB110*DE110*VLOOKUP('Données projet'!$B$13,Paramètres!$A$1:$I$89,3,0)*0.475*44/12</f>
        <v>7.5410907112012496E-11</v>
      </c>
      <c r="DI110" s="22">
        <f t="shared" si="69"/>
        <v>3.8803975717461703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>
        <f>DO110*VLOOKUP('Données projet'!$B$14,Paramètres!$A$1:$I$89,3,0)*VLOOKUP('Données projet'!$B$14,Paramètres!$A$1:$I$89,5,0)</f>
        <v>-3.7509835237869992E-13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368.03281986807173</v>
      </c>
      <c r="DU110" s="59">
        <f t="shared" si="98"/>
        <v>395.83504504492248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0.53097010738944284</v>
      </c>
      <c r="EB110" s="21">
        <f>EXP(-LN(2)/25)*EB109+(1-EXP(-LN(2)/25))/(LN(2)/25)*Calculateur!DW110*Calculateur!DY110*VLOOKUP('Données projet'!$B$14,Paramètres!$A$1:$I$89,3,0)*0.475*44/12</f>
        <v>1.8143322881755497</v>
      </c>
      <c r="EC110" s="21">
        <f>EXP(-LN(2)/2)*EC109+(1-EXP(-LN(2)/2))/(LN(2)/2)*DW110*DZ110*VLOOKUP('Données projet'!$B$14,Paramètres!$A$1:$I$89,3,0)*0.475*44/12</f>
        <v>5.6988846297871346E-11</v>
      </c>
      <c r="ED110" s="22">
        <f t="shared" si="72"/>
        <v>2.3453023956219812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225.2264820414552</v>
      </c>
      <c r="EP110" s="59">
        <f t="shared" si="100"/>
        <v>249.91838548328681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0.48147946619427862</v>
      </c>
      <c r="EW110" s="21">
        <f>EXP(-LN(2)/25)*EW109+(1-EXP(-LN(2)/25))/(LN(2)/25)*Calculateur!ER110*Calculateur!ET110*VLOOKUP('Données projet'!$B$15,Paramètres!$A$1:$I$89,3,0)*0.475*44/12</f>
        <v>1.0235857940380559</v>
      </c>
      <c r="EX110" s="21">
        <f>EXP(-LN(2)/2)*EX109+(1-EXP(-LN(2)/2))/(LN(2)/2)*ER110*EU110*VLOOKUP('Données projet'!$B$15,Paramètres!$A$1:$I$89,3,0)*0.475*44/12</f>
        <v>1.0406862098364107E-11</v>
      </c>
      <c r="EY110" s="22">
        <f t="shared" si="75"/>
        <v>1.5050652602427412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-1.2505552149377763E-12</v>
      </c>
      <c r="FF110" s="17">
        <f>FE110*VLOOKUP('Données projet'!$B$16,Paramètres!$A$1:$I$89,3,0)*VLOOKUP('Données projet'!$B$16,Paramètres!$A$1:$I$89,5,0)</f>
        <v>-6.9906036515021697E-13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549.85684198202534</v>
      </c>
      <c r="FK110" s="59">
        <f t="shared" si="102"/>
        <v>539.63748606275431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2.4853919920356913</v>
      </c>
      <c r="FR110" s="21">
        <f>EXP(-LN(2)/25)*FR109+(1-EXP(-LN(2)/25))/(LN(2)/25)*Calculateur!FM110*Calculateur!FO110*VLOOKUP('Données projet'!$B$16,Paramètres!$A$1:$I$89,3,0)*0.475*44/12</f>
        <v>4.5835795390607412</v>
      </c>
      <c r="FS110" s="21">
        <f>EXP(-LN(2)/2)*FS109+(1-EXP(-LN(2)/2))/(LN(2)/2)*FM110*FP110*VLOOKUP('Données projet'!$B$16,Paramètres!$A$1:$I$89,3,0)*0.475*44/12</f>
        <v>9.3821733389062971E-11</v>
      </c>
      <c r="FT110" s="22">
        <f t="shared" si="78"/>
        <v>7.0689715311902539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-5.6843418860808015E-13</v>
      </c>
      <c r="GA110" s="17">
        <f>FZ110*VLOOKUP('Données projet'!$B$17,Paramètres!$A$1:$I$89,3,0)*VLOOKUP('Données projet'!$B$17,Paramètres!$A$1:$I$89,5,0)</f>
        <v>-3.39923644787632E-13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495.6641415122013</v>
      </c>
      <c r="GF110" s="59">
        <f t="shared" si="104"/>
        <v>488.90534169400757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0.87014992363871035</v>
      </c>
      <c r="GM110" s="21">
        <f>EXP(-LN(2)/25)*GM109+(1-EXP(-LN(2)/25))/(LN(2)/25)*Calculateur!GH110*Calculateur!GJ110*VLOOKUP('Données projet'!$B$17,Paramètres!$A$1:$I$89,3,0)*0.475*44/12</f>
        <v>3.0752896024376817</v>
      </c>
      <c r="GN110" s="21">
        <f>EXP(-LN(2)/2)*GN109+(1-EXP(-LN(2)/2))/(LN(2)/2)*GH110*GK110*VLOOKUP('Données projet'!$B$17,Paramètres!$A$1:$I$89,3,0)*0.475*44/12</f>
        <v>8.9416281669417125E-11</v>
      </c>
      <c r="GO110" s="21">
        <f t="shared" si="81"/>
        <v>3.9454395261658086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-5.6843418860808015E-13</v>
      </c>
      <c r="GV110" s="17">
        <f>GU110*VLOOKUP('Données projet'!$B$18,Paramètres!$A$1:$I$89,3,0)*VLOOKUP('Données projet'!$B$18,Paramètres!$A$1:$I$89,5,0)</f>
        <v>-3.39923644787632E-13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-18.333333333333343</v>
      </c>
      <c r="HA110" s="59">
        <f t="shared" si="106"/>
        <v>-18.333333333333343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0.87014992363871035</v>
      </c>
      <c r="HH110" s="21">
        <f>EXP(-LN(2)/25)*HH109+(1-EXP(-LN(2)/25))/(LN(2)/25)*Calculateur!HC110*Calculateur!HE110*VLOOKUP('Données projet'!$B$18,Paramètres!$A$1:$I$89,3,0)*0.475*44/12</f>
        <v>3.0752896024376817</v>
      </c>
      <c r="HI110" s="21">
        <f>EXP(-LN(2)/2)*HI109+(1-EXP(-LN(2)/2))/(LN(2)/2)*HC110*HF110*VLOOKUP('Données projet'!$B$18,Paramètres!$A$1:$I$89,3,0)*0.475*44/12</f>
        <v>8.9416281669417125E-11</v>
      </c>
      <c r="HJ110" s="22">
        <f t="shared" si="84"/>
        <v>3.9454395261658086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376.11581547534814</v>
      </c>
      <c r="T111" s="59">
        <f t="shared" si="88"/>
        <v>300.91675649863294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0.66882536114602431</v>
      </c>
      <c r="AA111" s="21">
        <f>EXP(-LN(2)/25)*AA110+(1-EXP(-LN(2)/25))/(LN(2)/25)*Calculateur!V111*Calculateur!X111*VLOOKUP('Données projet'!$B$9,Paramètres!$A$1:$I$89,3,0)*0.475*44/12</f>
        <v>0.90356266105856009</v>
      </c>
      <c r="AB111" s="21">
        <f>EXP(-LN(2)/2)*AB110+(1-EXP(-LN(2)/2))/(LN(2)/2)*V111*Y111*VLOOKUP('Données projet'!$B$9,Paramètres!$A$1:$I$89,3,0)*0.475*44/12</f>
        <v>1.7884624831451205E-11</v>
      </c>
      <c r="AC111" s="22">
        <f t="shared" si="57"/>
        <v>1.5723880222224691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314.50847999999968</v>
      </c>
      <c r="AK111" s="13">
        <f t="shared" si="89"/>
        <v>74.209587561617383</v>
      </c>
      <c r="AL111" s="20">
        <f t="shared" si="58"/>
        <v>677.01730100314978</v>
      </c>
      <c r="AM111" s="59">
        <f t="shared" si="59"/>
        <v>956.50238519314917</v>
      </c>
      <c r="AN111" s="59">
        <f ca="1">AVERAGE(OFFSET($AM$3,0,0,'Données projet'!$E$10+1,1))-AVERAGE(OFFSET($H$3,0,0,'Données projet'!$E$10+1,1))</f>
        <v>505.38595282220405</v>
      </c>
      <c r="AO111" s="59">
        <f t="shared" si="90"/>
        <v>351.72130415456365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0.51391268479510965</v>
      </c>
      <c r="AV111" s="21">
        <f>EXP(-LN(2)/25)*AV110+(1-EXP(-LN(2)/25))/(LN(2)/25)*Calculateur!AQ111*Calculateur!AS111*VLOOKUP('Données projet'!$B$10,Paramètres!$A$1:$I$89,3,0)*0.475*44/12</f>
        <v>1.2977887695490231</v>
      </c>
      <c r="AW111" s="21">
        <f>EXP(-LN(2)/2)*AW110+(1-EXP(-LN(2)/2))/(LN(2)/2)*AQ111*AT111*VLOOKUP('Données projet'!$B$10,Paramètres!$A$1:$I$89,3,0)*0.475*44/12</f>
        <v>3.9205291203155289E-11</v>
      </c>
      <c r="AX111" s="21">
        <f t="shared" si="60"/>
        <v>1.8117014543833381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-4.0702161641092972E-13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394.14657090341535</v>
      </c>
      <c r="BJ111" s="59">
        <f t="shared" si="92"/>
        <v>424.06445894109982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0.6962239309348347</v>
      </c>
      <c r="BQ111" s="21">
        <f>EXP(-LN(2)/25)*BQ110+(1-EXP(-LN(2)/25))/(LN(2)/25)*Calculateur!BL111*Calculateur!BN111*VLOOKUP('Données projet'!$B$11,Paramètres!$A$1:$I$89,3,0)*0.475*44/12</f>
        <v>2.3602356278858418</v>
      </c>
      <c r="BR111" s="21">
        <f>EXP(-LN(2)/2)*BR110+(1-EXP(-LN(2)/2))/(LN(2)/2)*BL111*BO111*VLOOKUP('Données projet'!$B$11,Paramètres!$A$1:$I$89,3,0)*0.475*44/12</f>
        <v>4.372674857724139E-11</v>
      </c>
      <c r="BS111" s="22">
        <f t="shared" si="63"/>
        <v>3.0564595588644035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5.6843418860808015E-13</v>
      </c>
      <c r="BZ111" s="13">
        <f>BY111*VLOOKUP('Données projet'!$B$12,Paramètres!$A$1:$I$89,3,0)*VLOOKUP('Données projet'!$B$12,Paramètres!$A$1:$I$89,5,0)</f>
        <v>3.1036506698001181E-13</v>
      </c>
      <c r="CA111" s="13">
        <f t="shared" si="93"/>
        <v>4.086682523110923E-12</v>
      </c>
      <c r="CB111" s="20">
        <f t="shared" si="64"/>
        <v>7.6581912194083782E-12</v>
      </c>
      <c r="CC111" s="59">
        <f t="shared" si="65"/>
        <v>279.485084190007</v>
      </c>
      <c r="CD111" s="59">
        <f ca="1">AVERAGE(OFFSET($CC$3,0,0,'Données projet'!$E$12+1,1))-AVERAGE(OFFSET($H$3,0,0,'Données projet'!$E$12+1,1))</f>
        <v>382.09004346384319</v>
      </c>
      <c r="CE111" s="59">
        <f t="shared" si="94"/>
        <v>410.18893995284986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1.8174458219297771</v>
      </c>
      <c r="CL111" s="21">
        <f>EXP(-LN(2)/25)*CL110+(1-EXP(-LN(2)/25))/(LN(2)/25)*Calculateur!CG111*Calculateur!CI111*VLOOKUP('Données projet'!$B$12,Paramètres!$A$1:$I$89,3,0)*0.475*44/12</f>
        <v>3.9151384695286024</v>
      </c>
      <c r="CM111" s="21">
        <f>EXP(-LN(2)/2)*CM110+(1-EXP(-LN(2)/2))/(LN(2)/2)*CG111*CJ111*VLOOKUP('Données projet'!$B$12,Paramètres!$A$1:$I$89,3,0)*0.475*44/12</f>
        <v>4.5806566258518165E-11</v>
      </c>
      <c r="CN111" s="22">
        <f t="shared" si="66"/>
        <v>5.7325842915041862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363.02374534486341</v>
      </c>
      <c r="CZ111" s="59">
        <f t="shared" si="96"/>
        <v>489.00477393029598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1.5594591814472301</v>
      </c>
      <c r="DG111" s="21">
        <f>EXP(-LN(2)/25)*DG110+(1-EXP(-LN(2)/25))/(LN(2)/25)*Calculateur!DB111*Calculateur!DD111*VLOOKUP('Données projet'!$B$13,Paramètres!$A$1:$I$89,3,0)*0.475*44/12</f>
        <v>2.2271334529322546</v>
      </c>
      <c r="DH111" s="21">
        <f>EXP(-LN(2)/2)*DH110+(1-EXP(-LN(2)/2))/(LN(2)/2)*DB111*DE111*VLOOKUP('Données projet'!$B$13,Paramètres!$A$1:$I$89,3,0)*0.475*44/12</f>
        <v>5.3323563794332881E-11</v>
      </c>
      <c r="DI111" s="22">
        <f t="shared" si="69"/>
        <v>3.7865926344328082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>
        <f>DO111*VLOOKUP('Données projet'!$B$14,Paramètres!$A$1:$I$89,3,0)*VLOOKUP('Données projet'!$B$14,Paramètres!$A$1:$I$89,5,0)</f>
        <v>-3.7509835237869992E-13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368.03281986807173</v>
      </c>
      <c r="DU111" s="59">
        <f t="shared" si="98"/>
        <v>395.83504504492248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0.52055810744332287</v>
      </c>
      <c r="EB111" s="21">
        <f>EXP(-LN(2)/25)*EB110+(1-EXP(-LN(2)/25))/(LN(2)/25)*Calculateur!DW111*Calculateur!DY111*VLOOKUP('Données projet'!$B$14,Paramètres!$A$1:$I$89,3,0)*0.475*44/12</f>
        <v>1.7647192763438009</v>
      </c>
      <c r="EC111" s="21">
        <f>EXP(-LN(2)/2)*EC110+(1-EXP(-LN(2)/2))/(LN(2)/2)*DW111*DZ111*VLOOKUP('Données projet'!$B$14,Paramètres!$A$1:$I$89,3,0)*0.475*44/12</f>
        <v>4.0297199669222705E-11</v>
      </c>
      <c r="ED111" s="22">
        <f t="shared" si="72"/>
        <v>2.2852773838274207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225.2264820414552</v>
      </c>
      <c r="EP111" s="59">
        <f t="shared" si="100"/>
        <v>249.91838548328681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0.47203794753568534</v>
      </c>
      <c r="EW111" s="21">
        <f>EXP(-LN(2)/25)*EW110+(1-EXP(-LN(2)/25))/(LN(2)/25)*Calculateur!ER111*Calculateur!ET111*VLOOKUP('Données projet'!$B$15,Paramètres!$A$1:$I$89,3,0)*0.475*44/12</f>
        <v>0.99559578667204784</v>
      </c>
      <c r="EX111" s="21">
        <f>EXP(-LN(2)/2)*EX110+(1-EXP(-LN(2)/2))/(LN(2)/2)*ER111*EU111*VLOOKUP('Données projet'!$B$15,Paramètres!$A$1:$I$89,3,0)*0.475*44/12</f>
        <v>7.3587627606265236E-12</v>
      </c>
      <c r="EY111" s="22">
        <f t="shared" si="75"/>
        <v>1.467633734215092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-1.2505552149377763E-12</v>
      </c>
      <c r="FF111" s="17">
        <f>FE111*VLOOKUP('Données projet'!$B$16,Paramètres!$A$1:$I$89,3,0)*VLOOKUP('Données projet'!$B$16,Paramètres!$A$1:$I$89,5,0)</f>
        <v>-6.9906036515021697E-13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549.85684198202534</v>
      </c>
      <c r="FK111" s="59">
        <f t="shared" si="102"/>
        <v>539.63748606275431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2.4366549710113001</v>
      </c>
      <c r="FR111" s="21">
        <f>EXP(-LN(2)/25)*FR110+(1-EXP(-LN(2)/25))/(LN(2)/25)*Calculateur!FM111*Calculateur!FO111*VLOOKUP('Données projet'!$B$16,Paramètres!$A$1:$I$89,3,0)*0.475*44/12</f>
        <v>4.4582413155251528</v>
      </c>
      <c r="FS111" s="21">
        <f>EXP(-LN(2)/2)*FS110+(1-EXP(-LN(2)/2))/(LN(2)/2)*FM111*FP111*VLOOKUP('Données projet'!$B$16,Paramètres!$A$1:$I$89,3,0)*0.475*44/12</f>
        <v>6.6341983902082749E-11</v>
      </c>
      <c r="FT111" s="22">
        <f t="shared" si="78"/>
        <v>6.8948962866027941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-5.6843418860808015E-13</v>
      </c>
      <c r="GA111" s="17">
        <f>FZ111*VLOOKUP('Données projet'!$B$17,Paramètres!$A$1:$I$89,3,0)*VLOOKUP('Données projet'!$B$17,Paramètres!$A$1:$I$89,5,0)</f>
        <v>-3.39923644787632E-13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495.6641415122013</v>
      </c>
      <c r="GF111" s="59">
        <f t="shared" si="104"/>
        <v>488.90534169400757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0.85308681437520251</v>
      </c>
      <c r="GM111" s="21">
        <f>EXP(-LN(2)/25)*GM110+(1-EXP(-LN(2)/25))/(LN(2)/25)*Calculateur!GH111*Calculateur!GJ111*VLOOKUP('Données projet'!$B$17,Paramètres!$A$1:$I$89,3,0)*0.475*44/12</f>
        <v>2.9911956465365717</v>
      </c>
      <c r="GN111" s="21">
        <f>EXP(-LN(2)/2)*GN110+(1-EXP(-LN(2)/2))/(LN(2)/2)*GH111*GK111*VLOOKUP('Données projet'!$B$17,Paramètres!$A$1:$I$89,3,0)*0.475*44/12</f>
        <v>6.3226859116931234E-11</v>
      </c>
      <c r="GO111" s="21">
        <f t="shared" si="81"/>
        <v>3.844282460975001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-5.6843418860808015E-13</v>
      </c>
      <c r="GV111" s="17">
        <f>GU111*VLOOKUP('Données projet'!$B$18,Paramètres!$A$1:$I$89,3,0)*VLOOKUP('Données projet'!$B$18,Paramètres!$A$1:$I$89,5,0)</f>
        <v>-3.39923644787632E-13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-18.333333333333343</v>
      </c>
      <c r="HA111" s="59">
        <f t="shared" si="106"/>
        <v>-18.333333333333343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0.85308681437520251</v>
      </c>
      <c r="HH111" s="21">
        <f>EXP(-LN(2)/25)*HH110+(1-EXP(-LN(2)/25))/(LN(2)/25)*Calculateur!HC111*Calculateur!HE111*VLOOKUP('Données projet'!$B$18,Paramètres!$A$1:$I$89,3,0)*0.475*44/12</f>
        <v>2.9911956465365717</v>
      </c>
      <c r="HI111" s="21">
        <f>EXP(-LN(2)/2)*HI110+(1-EXP(-LN(2)/2))/(LN(2)/2)*HC111*HF111*VLOOKUP('Données projet'!$B$18,Paramètres!$A$1:$I$89,3,0)*0.475*44/12</f>
        <v>6.3226859116931234E-11</v>
      </c>
      <c r="HJ111" s="22">
        <f t="shared" si="84"/>
        <v>3.844282460975001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376.11581547534814</v>
      </c>
      <c r="T112" s="59">
        <f t="shared" si="88"/>
        <v>300.91675649863294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0.65571010375714001</v>
      </c>
      <c r="AA112" s="21">
        <f>EXP(-LN(2)/25)*AA111+(1-EXP(-LN(2)/25))/(LN(2)/25)*Calculateur!V112*Calculateur!X112*VLOOKUP('Données projet'!$B$9,Paramètres!$A$1:$I$89,3,0)*0.475*44/12</f>
        <v>0.87885469257561855</v>
      </c>
      <c r="AB112" s="21">
        <f>EXP(-LN(2)/2)*AB111+(1-EXP(-LN(2)/2))/(LN(2)/2)*V112*Y112*VLOOKUP('Données projet'!$B$9,Paramètres!$A$1:$I$89,3,0)*0.475*44/12</f>
        <v>1.2646339497296462E-11</v>
      </c>
      <c r="AC112" s="22">
        <f t="shared" si="57"/>
        <v>1.5345647963454048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319.21343999999971</v>
      </c>
      <c r="AK112" s="13">
        <f t="shared" si="89"/>
        <v>75.189671124171639</v>
      </c>
      <c r="AL112" s="20">
        <f t="shared" si="58"/>
        <v>686.91875187459846</v>
      </c>
      <c r="AM112" s="59">
        <f t="shared" si="59"/>
        <v>966.64407222718773</v>
      </c>
      <c r="AN112" s="59">
        <f ca="1">AVERAGE(OFFSET($AM$3,0,0,'Données projet'!$E$10+1,1))-AVERAGE(OFFSET($H$3,0,0,'Données projet'!$E$10+1,1))</f>
        <v>505.38595282220405</v>
      </c>
      <c r="AO112" s="59">
        <f t="shared" si="90"/>
        <v>351.72130415456365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0.50383517050206406</v>
      </c>
      <c r="AV112" s="21">
        <f>EXP(-LN(2)/25)*AV111+(1-EXP(-LN(2)/25))/(LN(2)/25)*Calculateur!AQ112*Calculateur!AS112*VLOOKUP('Données projet'!$B$10,Paramètres!$A$1:$I$89,3,0)*0.475*44/12</f>
        <v>1.2623006673979598</v>
      </c>
      <c r="AW112" s="21">
        <f>EXP(-LN(2)/2)*AW111+(1-EXP(-LN(2)/2))/(LN(2)/2)*AQ112*AT112*VLOOKUP('Données projet'!$B$10,Paramètres!$A$1:$I$89,3,0)*0.475*44/12</f>
        <v>2.7722327268144404E-11</v>
      </c>
      <c r="AX112" s="21">
        <f t="shared" si="60"/>
        <v>1.7661358379277461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-4.0702161641092972E-13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394.14657090341535</v>
      </c>
      <c r="BJ112" s="59">
        <f t="shared" si="92"/>
        <v>424.06445894109982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0.68257140430386931</v>
      </c>
      <c r="BQ112" s="21">
        <f>EXP(-LN(2)/25)*BQ111+(1-EXP(-LN(2)/25))/(LN(2)/25)*Calculateur!BL112*Calculateur!BN112*VLOOKUP('Données projet'!$B$11,Paramètres!$A$1:$I$89,3,0)*0.475*44/12</f>
        <v>2.2956948605219063</v>
      </c>
      <c r="BR112" s="21">
        <f>EXP(-LN(2)/2)*BR111+(1-EXP(-LN(2)/2))/(LN(2)/2)*BL112*BO112*VLOOKUP('Données projet'!$B$11,Paramètres!$A$1:$I$89,3,0)*0.475*44/12</f>
        <v>3.0919480438206605E-11</v>
      </c>
      <c r="BS112" s="22">
        <f t="shared" si="63"/>
        <v>2.9782662648566949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5.6843418860808015E-13</v>
      </c>
      <c r="BZ112" s="13">
        <f>BY112*VLOOKUP('Données projet'!$B$12,Paramètres!$A$1:$I$89,3,0)*VLOOKUP('Données projet'!$B$12,Paramètres!$A$1:$I$89,5,0)</f>
        <v>3.1036506698001181E-13</v>
      </c>
      <c r="CA112" s="13">
        <f t="shared" si="93"/>
        <v>4.086682523110923E-12</v>
      </c>
      <c r="CB112" s="20">
        <f t="shared" si="64"/>
        <v>7.6581912194083782E-12</v>
      </c>
      <c r="CC112" s="59">
        <f t="shared" si="65"/>
        <v>279.72532035259695</v>
      </c>
      <c r="CD112" s="59">
        <f ca="1">AVERAGE(OFFSET($CC$3,0,0,'Données projet'!$E$12+1,1))-AVERAGE(OFFSET($H$3,0,0,'Données projet'!$E$12+1,1))</f>
        <v>382.09004346384319</v>
      </c>
      <c r="CE112" s="59">
        <f t="shared" si="94"/>
        <v>410.18893995284986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1.781806817894227</v>
      </c>
      <c r="CL112" s="21">
        <f>EXP(-LN(2)/25)*CL111+(1-EXP(-LN(2)/25))/(LN(2)/25)*Calculateur!CG112*Calculateur!CI112*VLOOKUP('Données projet'!$B$12,Paramètres!$A$1:$I$89,3,0)*0.475*44/12</f>
        <v>3.8080788021911589</v>
      </c>
      <c r="CM112" s="21">
        <f>EXP(-LN(2)/2)*CM111+(1-EXP(-LN(2)/2))/(LN(2)/2)*CG112*CJ112*VLOOKUP('Données projet'!$B$12,Paramètres!$A$1:$I$89,3,0)*0.475*44/12</f>
        <v>3.2390133624269095E-11</v>
      </c>
      <c r="CN112" s="22">
        <f t="shared" si="66"/>
        <v>5.5898856201177765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363.02374534486341</v>
      </c>
      <c r="CZ112" s="59">
        <f t="shared" si="96"/>
        <v>489.00477393029598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1.5288791380752298</v>
      </c>
      <c r="DG112" s="21">
        <f>EXP(-LN(2)/25)*DG111+(1-EXP(-LN(2)/25))/(LN(2)/25)*Calculateur!DB112*Calculateur!DD112*VLOOKUP('Données projet'!$B$13,Paramètres!$A$1:$I$89,3,0)*0.475*44/12</f>
        <v>2.1662323715419638</v>
      </c>
      <c r="DH112" s="21">
        <f>EXP(-LN(2)/2)*DH111+(1-EXP(-LN(2)/2))/(LN(2)/2)*DB112*DE112*VLOOKUP('Données projet'!$B$13,Paramètres!$A$1:$I$89,3,0)*0.475*44/12</f>
        <v>3.7705453556006248E-11</v>
      </c>
      <c r="DI112" s="22">
        <f t="shared" si="69"/>
        <v>3.695111509654899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>
        <f>DO112*VLOOKUP('Données projet'!$B$14,Paramètres!$A$1:$I$89,3,0)*VLOOKUP('Données projet'!$B$14,Paramètres!$A$1:$I$89,5,0)</f>
        <v>-3.7509835237869992E-13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368.03281986807173</v>
      </c>
      <c r="DU112" s="59">
        <f t="shared" si="98"/>
        <v>395.83504504492248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0.51035028046545339</v>
      </c>
      <c r="EB112" s="21">
        <f>EXP(-LN(2)/25)*EB111+(1-EXP(-LN(2)/25))/(LN(2)/25)*Calculateur!DW112*Calculateur!DY112*VLOOKUP('Données projet'!$B$14,Paramètres!$A$1:$I$89,3,0)*0.475*44/12</f>
        <v>1.7164629349296263</v>
      </c>
      <c r="EC112" s="21">
        <f>EXP(-LN(2)/2)*EC111+(1-EXP(-LN(2)/2))/(LN(2)/2)*DW112*DZ112*VLOOKUP('Données projet'!$B$14,Paramètres!$A$1:$I$89,3,0)*0.475*44/12</f>
        <v>2.8494423148935676E-11</v>
      </c>
      <c r="ED112" s="22">
        <f t="shared" si="72"/>
        <v>2.226813215423574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225.2264820414552</v>
      </c>
      <c r="EP112" s="59">
        <f t="shared" si="100"/>
        <v>249.91838548328681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0.46278157129922931</v>
      </c>
      <c r="EW112" s="21">
        <f>EXP(-LN(2)/25)*EW111+(1-EXP(-LN(2)/25))/(LN(2)/25)*Calculateur!ER112*Calculateur!ET112*VLOOKUP('Données projet'!$B$15,Paramètres!$A$1:$I$89,3,0)*0.475*44/12</f>
        <v>0.96837116752939378</v>
      </c>
      <c r="EX112" s="21">
        <f>EXP(-LN(2)/2)*EX111+(1-EXP(-LN(2)/2))/(LN(2)/2)*ER112*EU112*VLOOKUP('Données projet'!$B$15,Paramètres!$A$1:$I$89,3,0)*0.475*44/12</f>
        <v>5.2034310491820537E-12</v>
      </c>
      <c r="EY112" s="22">
        <f t="shared" si="75"/>
        <v>1.4311527388338265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-1.2505552149377763E-12</v>
      </c>
      <c r="FF112" s="17">
        <f>FE112*VLOOKUP('Données projet'!$B$16,Paramètres!$A$1:$I$89,3,0)*VLOOKUP('Données projet'!$B$16,Paramètres!$A$1:$I$89,5,0)</f>
        <v>-6.9906036515021697E-13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549.85684198202534</v>
      </c>
      <c r="FK112" s="59">
        <f t="shared" si="102"/>
        <v>539.63748606275431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2.3888736532425496</v>
      </c>
      <c r="FR112" s="21">
        <f>EXP(-LN(2)/25)*FR111+(1-EXP(-LN(2)/25))/(LN(2)/25)*Calculateur!FM112*Calculateur!FO112*VLOOKUP('Données projet'!$B$16,Paramètres!$A$1:$I$89,3,0)*0.475*44/12</f>
        <v>4.3363304723033957</v>
      </c>
      <c r="FS112" s="21">
        <f>EXP(-LN(2)/2)*FS111+(1-EXP(-LN(2)/2))/(LN(2)/2)*FM112*FP112*VLOOKUP('Données projet'!$B$16,Paramètres!$A$1:$I$89,3,0)*0.475*44/12</f>
        <v>4.6910866694531485E-11</v>
      </c>
      <c r="FT112" s="22">
        <f t="shared" si="78"/>
        <v>6.7252041255928559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-5.6843418860808015E-13</v>
      </c>
      <c r="GA112" s="17">
        <f>FZ112*VLOOKUP('Données projet'!$B$17,Paramètres!$A$1:$I$89,3,0)*VLOOKUP('Données projet'!$B$17,Paramètres!$A$1:$I$89,5,0)</f>
        <v>-3.39923644787632E-13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495.6641415122013</v>
      </c>
      <c r="GF112" s="59">
        <f t="shared" si="104"/>
        <v>488.90534169400757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0.83635830227688313</v>
      </c>
      <c r="GM112" s="21">
        <f>EXP(-LN(2)/25)*GM111+(1-EXP(-LN(2)/25))/(LN(2)/25)*Calculateur!GH112*Calculateur!GJ112*VLOOKUP('Données projet'!$B$17,Paramètres!$A$1:$I$89,3,0)*0.475*44/12</f>
        <v>2.9094012442818866</v>
      </c>
      <c r="GN112" s="21">
        <f>EXP(-LN(2)/2)*GN111+(1-EXP(-LN(2)/2))/(LN(2)/2)*GH112*GK112*VLOOKUP('Données projet'!$B$17,Paramètres!$A$1:$I$89,3,0)*0.475*44/12</f>
        <v>4.4708140834708563E-11</v>
      </c>
      <c r="GO112" s="21">
        <f t="shared" si="81"/>
        <v>3.7457595466034781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-5.6843418860808015E-13</v>
      </c>
      <c r="GV112" s="17">
        <f>GU112*VLOOKUP('Données projet'!$B$18,Paramètres!$A$1:$I$89,3,0)*VLOOKUP('Données projet'!$B$18,Paramètres!$A$1:$I$89,5,0)</f>
        <v>-3.39923644787632E-13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-18.333333333333343</v>
      </c>
      <c r="HA112" s="59">
        <f t="shared" si="106"/>
        <v>-18.333333333333343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0.83635830227688313</v>
      </c>
      <c r="HH112" s="21">
        <f>EXP(-LN(2)/25)*HH111+(1-EXP(-LN(2)/25))/(LN(2)/25)*Calculateur!HC112*Calculateur!HE112*VLOOKUP('Données projet'!$B$18,Paramètres!$A$1:$I$89,3,0)*0.475*44/12</f>
        <v>2.9094012442818866</v>
      </c>
      <c r="HI112" s="21">
        <f>EXP(-LN(2)/2)*HI111+(1-EXP(-LN(2)/2))/(LN(2)/2)*HC112*HF112*VLOOKUP('Données projet'!$B$18,Paramètres!$A$1:$I$89,3,0)*0.475*44/12</f>
        <v>4.4708140834708563E-11</v>
      </c>
      <c r="HJ112" s="22">
        <f t="shared" si="84"/>
        <v>3.7457595466034781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376.11581547534814</v>
      </c>
      <c r="T113" s="59">
        <f t="shared" si="88"/>
        <v>300.91675649863294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0.64285202856613466</v>
      </c>
      <c r="AA113" s="21">
        <f>EXP(-LN(2)/25)*AA112+(1-EXP(-LN(2)/25))/(LN(2)/25)*Calculateur!V113*Calculateur!X113*VLOOKUP('Données projet'!$B$9,Paramètres!$A$1:$I$89,3,0)*0.475*44/12</f>
        <v>0.85482236479017859</v>
      </c>
      <c r="AB113" s="21">
        <f>EXP(-LN(2)/2)*AB112+(1-EXP(-LN(2)/2))/(LN(2)/2)*V113*Y113*VLOOKUP('Données projet'!$B$9,Paramètres!$A$1:$I$89,3,0)*0.475*44/12</f>
        <v>8.9423124157256024E-12</v>
      </c>
      <c r="AC113" s="22">
        <f t="shared" si="57"/>
        <v>1.4976743933652557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323.91839999999968</v>
      </c>
      <c r="AK113" s="13">
        <f t="shared" si="89"/>
        <v>76.168074587293034</v>
      </c>
      <c r="AL113" s="20">
        <f t="shared" si="58"/>
        <v>696.8172765728682</v>
      </c>
      <c r="AM113" s="59">
        <f t="shared" si="59"/>
        <v>976.77866552771411</v>
      </c>
      <c r="AN113" s="59">
        <f ca="1">AVERAGE(OFFSET($AM$3,0,0,'Données projet'!$E$10+1,1))-AVERAGE(OFFSET($H$3,0,0,'Données projet'!$E$10+1,1))</f>
        <v>505.38595282220405</v>
      </c>
      <c r="AO113" s="59">
        <f t="shared" si="90"/>
        <v>351.72130415456365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0.49395527011762835</v>
      </c>
      <c r="AV113" s="21">
        <f>EXP(-LN(2)/25)*AV112+(1-EXP(-LN(2)/25))/(LN(2)/25)*Calculateur!AQ113*Calculateur!AS113*VLOOKUP('Données projet'!$B$10,Paramètres!$A$1:$I$89,3,0)*0.475*44/12</f>
        <v>1.2277829892664556</v>
      </c>
      <c r="AW113" s="21">
        <f>EXP(-LN(2)/2)*AW112+(1-EXP(-LN(2)/2))/(LN(2)/2)*AQ113*AT113*VLOOKUP('Données projet'!$B$10,Paramètres!$A$1:$I$89,3,0)*0.475*44/12</f>
        <v>1.9602645601577644E-11</v>
      </c>
      <c r="AX113" s="21">
        <f t="shared" si="60"/>
        <v>1.7217382594036865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-4.0702161641092972E-13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394.14657090341535</v>
      </c>
      <c r="BJ113" s="59">
        <f t="shared" si="92"/>
        <v>424.06445894109982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0.66918659539291814</v>
      </c>
      <c r="BQ113" s="21">
        <f>EXP(-LN(2)/25)*BQ112+(1-EXP(-LN(2)/25))/(LN(2)/25)*Calculateur!BL113*Calculateur!BN113*VLOOKUP('Données projet'!$B$11,Paramètres!$A$1:$I$89,3,0)*0.475*44/12</f>
        <v>2.2329189638355889</v>
      </c>
      <c r="BR113" s="21">
        <f>EXP(-LN(2)/2)*BR112+(1-EXP(-LN(2)/2))/(LN(2)/2)*BL113*BO113*VLOOKUP('Données projet'!$B$11,Paramètres!$A$1:$I$89,3,0)*0.475*44/12</f>
        <v>2.1863374288620695E-11</v>
      </c>
      <c r="BS113" s="22">
        <f t="shared" si="63"/>
        <v>2.9021055592503702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5.6843418860808015E-13</v>
      </c>
      <c r="BZ113" s="13">
        <f>BY113*VLOOKUP('Données projet'!$B$12,Paramètres!$A$1:$I$89,3,0)*VLOOKUP('Données projet'!$B$12,Paramètres!$A$1:$I$89,5,0)</f>
        <v>3.1036506698001181E-13</v>
      </c>
      <c r="CA113" s="13">
        <f t="shared" si="93"/>
        <v>4.086682523110923E-12</v>
      </c>
      <c r="CB113" s="20">
        <f t="shared" si="64"/>
        <v>7.6581912194083782E-12</v>
      </c>
      <c r="CC113" s="59">
        <f t="shared" si="65"/>
        <v>279.96138895485353</v>
      </c>
      <c r="CD113" s="59">
        <f ca="1">AVERAGE(OFFSET($CC$3,0,0,'Données projet'!$E$12+1,1))-AVERAGE(OFFSET($H$3,0,0,'Données projet'!$E$12+1,1))</f>
        <v>382.09004346384319</v>
      </c>
      <c r="CE113" s="59">
        <f t="shared" si="94"/>
        <v>410.18893995284986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1.7468666729901681</v>
      </c>
      <c r="CL113" s="21">
        <f>EXP(-LN(2)/25)*CL112+(1-EXP(-LN(2)/25))/(LN(2)/25)*Calculateur!CG113*Calculateur!CI113*VLOOKUP('Données projet'!$B$12,Paramètres!$A$1:$I$89,3,0)*0.475*44/12</f>
        <v>3.7039466870870807</v>
      </c>
      <c r="CM113" s="21">
        <f>EXP(-LN(2)/2)*CM112+(1-EXP(-LN(2)/2))/(LN(2)/2)*CG113*CJ113*VLOOKUP('Données projet'!$B$12,Paramètres!$A$1:$I$89,3,0)*0.475*44/12</f>
        <v>2.2903283129259083E-11</v>
      </c>
      <c r="CN113" s="22">
        <f t="shared" si="66"/>
        <v>5.4508133601001525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363.02374534486341</v>
      </c>
      <c r="CZ113" s="59">
        <f t="shared" si="96"/>
        <v>489.00477393029598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1.4988987507017697</v>
      </c>
      <c r="DG113" s="21">
        <f>EXP(-LN(2)/25)*DG112+(1-EXP(-LN(2)/25))/(LN(2)/25)*Calculateur!DB113*Calculateur!DD113*VLOOKUP('Données projet'!$B$13,Paramètres!$A$1:$I$89,3,0)*0.475*44/12</f>
        <v>2.1069966334249393</v>
      </c>
      <c r="DH113" s="21">
        <f>EXP(-LN(2)/2)*DH112+(1-EXP(-LN(2)/2))/(LN(2)/2)*DB113*DE113*VLOOKUP('Données projet'!$B$13,Paramètres!$A$1:$I$89,3,0)*0.475*44/12</f>
        <v>2.6661781897166441E-11</v>
      </c>
      <c r="DI113" s="22">
        <f t="shared" si="69"/>
        <v>3.6058953841533707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>
        <f>DO113*VLOOKUP('Données projet'!$B$14,Paramètres!$A$1:$I$89,3,0)*VLOOKUP('Données projet'!$B$14,Paramètres!$A$1:$I$89,5,0)</f>
        <v>-3.7509835237869992E-13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368.03281986807173</v>
      </c>
      <c r="DU113" s="59">
        <f t="shared" si="98"/>
        <v>395.83504504492248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0.50034262274846031</v>
      </c>
      <c r="EB113" s="21">
        <f>EXP(-LN(2)/25)*EB112+(1-EXP(-LN(2)/25))/(LN(2)/25)*Calculateur!DW113*Calculateur!DY113*VLOOKUP('Données projet'!$B$14,Paramètres!$A$1:$I$89,3,0)*0.475*44/12</f>
        <v>1.6695261657091129</v>
      </c>
      <c r="EC113" s="21">
        <f>EXP(-LN(2)/2)*EC112+(1-EXP(-LN(2)/2))/(LN(2)/2)*DW113*DZ113*VLOOKUP('Données projet'!$B$14,Paramètres!$A$1:$I$89,3,0)*0.475*44/12</f>
        <v>2.0148599834611356E-11</v>
      </c>
      <c r="ED113" s="22">
        <f t="shared" si="72"/>
        <v>2.1698687884777219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225.2264820414552</v>
      </c>
      <c r="EP113" s="59">
        <f t="shared" si="100"/>
        <v>249.91838548328681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0.4537067069549382</v>
      </c>
      <c r="EW113" s="21">
        <f>EXP(-LN(2)/25)*EW112+(1-EXP(-LN(2)/25))/(LN(2)/25)*Calculateur!ER113*Calculateur!ET113*VLOOKUP('Données projet'!$B$15,Paramètres!$A$1:$I$89,3,0)*0.475*44/12</f>
        <v>0.94189100702887607</v>
      </c>
      <c r="EX113" s="21">
        <f>EXP(-LN(2)/2)*EX112+(1-EXP(-LN(2)/2))/(LN(2)/2)*ER113*EU113*VLOOKUP('Données projet'!$B$15,Paramètres!$A$1:$I$89,3,0)*0.475*44/12</f>
        <v>3.6793813803132618E-12</v>
      </c>
      <c r="EY113" s="22">
        <f t="shared" si="75"/>
        <v>1.3955977139874935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-1.2505552149377763E-12</v>
      </c>
      <c r="FF113" s="17">
        <f>FE113*VLOOKUP('Données projet'!$B$16,Paramètres!$A$1:$I$89,3,0)*VLOOKUP('Données projet'!$B$16,Paramètres!$A$1:$I$89,5,0)</f>
        <v>-6.9906036515021697E-13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549.85684198202534</v>
      </c>
      <c r="FK113" s="59">
        <f t="shared" si="102"/>
        <v>539.63748606275431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2.3420292979715183</v>
      </c>
      <c r="FR113" s="21">
        <f>EXP(-LN(2)/25)*FR112+(1-EXP(-LN(2)/25))/(LN(2)/25)*Calculateur!FM113*Calculateur!FO113*VLOOKUP('Données projet'!$B$16,Paramètres!$A$1:$I$89,3,0)*0.475*44/12</f>
        <v>4.2177532875005506</v>
      </c>
      <c r="FS113" s="21">
        <f>EXP(-LN(2)/2)*FS112+(1-EXP(-LN(2)/2))/(LN(2)/2)*FM113*FP113*VLOOKUP('Données projet'!$B$16,Paramètres!$A$1:$I$89,3,0)*0.475*44/12</f>
        <v>3.3170991951041374E-11</v>
      </c>
      <c r="FT113" s="22">
        <f t="shared" si="78"/>
        <v>6.5597825855052401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-5.6843418860808015E-13</v>
      </c>
      <c r="GA113" s="17">
        <f>FZ113*VLOOKUP('Données projet'!$B$17,Paramètres!$A$1:$I$89,3,0)*VLOOKUP('Données projet'!$B$17,Paramètres!$A$1:$I$89,5,0)</f>
        <v>-3.39923644787632E-13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495.6641415122013</v>
      </c>
      <c r="GF113" s="59">
        <f t="shared" si="104"/>
        <v>488.90534169400757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0.81995782609742685</v>
      </c>
      <c r="GM113" s="21">
        <f>EXP(-LN(2)/25)*GM112+(1-EXP(-LN(2)/25))/(LN(2)/25)*Calculateur!GH113*Calculateur!GJ113*VLOOKUP('Données projet'!$B$17,Paramètres!$A$1:$I$89,3,0)*0.475*44/12</f>
        <v>2.8298435142582363</v>
      </c>
      <c r="GN113" s="21">
        <f>EXP(-LN(2)/2)*GN112+(1-EXP(-LN(2)/2))/(LN(2)/2)*GH113*GK113*VLOOKUP('Données projet'!$B$17,Paramètres!$A$1:$I$89,3,0)*0.475*44/12</f>
        <v>3.1613429558465617E-11</v>
      </c>
      <c r="GO113" s="21">
        <f t="shared" si="81"/>
        <v>3.6498013403872767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-5.6843418860808015E-13</v>
      </c>
      <c r="GV113" s="17">
        <f>GU113*VLOOKUP('Données projet'!$B$18,Paramètres!$A$1:$I$89,3,0)*VLOOKUP('Données projet'!$B$18,Paramètres!$A$1:$I$89,5,0)</f>
        <v>-3.39923644787632E-13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-18.333333333333343</v>
      </c>
      <c r="HA113" s="59">
        <f t="shared" si="106"/>
        <v>-18.333333333333343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0.81995782609742685</v>
      </c>
      <c r="HH113" s="21">
        <f>EXP(-LN(2)/25)*HH112+(1-EXP(-LN(2)/25))/(LN(2)/25)*Calculateur!HC113*Calculateur!HE113*VLOOKUP('Données projet'!$B$18,Paramètres!$A$1:$I$89,3,0)*0.475*44/12</f>
        <v>2.8298435142582363</v>
      </c>
      <c r="HI113" s="21">
        <f>EXP(-LN(2)/2)*HI112+(1-EXP(-LN(2)/2))/(LN(2)/2)*HC113*HF113*VLOOKUP('Données projet'!$B$18,Paramètres!$A$1:$I$89,3,0)*0.475*44/12</f>
        <v>3.1613429558465617E-11</v>
      </c>
      <c r="HJ113" s="22">
        <f t="shared" si="84"/>
        <v>3.6498013403872767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376.11581547534814</v>
      </c>
      <c r="T114" s="59">
        <f t="shared" si="88"/>
        <v>300.91675649863294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0.63024609238697338</v>
      </c>
      <c r="AA114" s="21">
        <f>EXP(-LN(2)/25)*AA113+(1-EXP(-LN(2)/25))/(LN(2)/25)*Calculateur!V114*Calculateur!X114*VLOOKUP('Données projet'!$B$9,Paramètres!$A$1:$I$89,3,0)*0.475*44/12</f>
        <v>0.83144720227183666</v>
      </c>
      <c r="AB114" s="21">
        <f>EXP(-LN(2)/2)*AB113+(1-EXP(-LN(2)/2))/(LN(2)/2)*V114*Y114*VLOOKUP('Données projet'!$B$9,Paramètres!$A$1:$I$89,3,0)*0.475*44/12</f>
        <v>6.3231697486482308E-12</v>
      </c>
      <c r="AC114" s="22">
        <f t="shared" si="57"/>
        <v>1.4616932946651333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5.4</v>
      </c>
      <c r="AI114" s="13">
        <f>IF('Données projet'!$A$62&gt;35,AI113+AH114-AQ113,IF(A114&lt;'Données projet'!$A$62,$AF$205^A114,IF(A114='Données projet'!$A$62,'Données projet'!$B$62,AI113+AH114-AQ113)))</f>
        <v>312.39999999999964</v>
      </c>
      <c r="AJ114" s="13">
        <f>AI114*VLOOKUP('Données projet'!$B$10,Paramètres!$A$1:$I$89,3,0)*VLOOKUP('Données projet'!$B$10,Paramètres!$A$1:$I$89,5,0)</f>
        <v>282.65951999999965</v>
      </c>
      <c r="AK114" s="13">
        <f t="shared" si="89"/>
        <v>67.528732309967268</v>
      </c>
      <c r="AL114" s="20">
        <f t="shared" si="58"/>
        <v>609.91120610652558</v>
      </c>
      <c r="AM114" s="59">
        <f t="shared" si="59"/>
        <v>890.10456840114921</v>
      </c>
      <c r="AN114" s="59">
        <f ca="1">AVERAGE(OFFSET($AM$3,0,0,'Données projet'!$E$10+1,1))-AVERAGE(OFFSET($H$3,0,0,'Données projet'!$E$10+1,1))</f>
        <v>505.38595282220405</v>
      </c>
      <c r="AO114" s="59">
        <f t="shared" si="90"/>
        <v>351.72130415456365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0.48426910855358724</v>
      </c>
      <c r="AV114" s="21">
        <f>EXP(-LN(2)/25)*AV113+(1-EXP(-LN(2)/25))/(LN(2)/25)*Calculateur!AQ114*Calculateur!AS114*VLOOKUP('Données projet'!$B$10,Paramètres!$A$1:$I$89,3,0)*0.475*44/12</f>
        <v>1.1942091988586632</v>
      </c>
      <c r="AW114" s="21">
        <f>EXP(-LN(2)/2)*AW113+(1-EXP(-LN(2)/2))/(LN(2)/2)*AQ114*AT114*VLOOKUP('Données projet'!$B$10,Paramètres!$A$1:$I$89,3,0)*0.475*44/12</f>
        <v>1.3861163634072202E-11</v>
      </c>
      <c r="AX114" s="21">
        <f t="shared" si="60"/>
        <v>1.6784783074261116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-4.0702161641092972E-13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394.14657090341535</v>
      </c>
      <c r="BJ114" s="59">
        <f t="shared" si="92"/>
        <v>424.06445894109982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0.65606425442078342</v>
      </c>
      <c r="BQ114" s="21">
        <f>EXP(-LN(2)/25)*BQ113+(1-EXP(-LN(2)/25))/(LN(2)/25)*Calculateur!BL114*Calculateur!BN114*VLOOKUP('Données projet'!$B$11,Paramètres!$A$1:$I$89,3,0)*0.475*44/12</f>
        <v>2.1718596773453998</v>
      </c>
      <c r="BR114" s="21">
        <f>EXP(-LN(2)/2)*BR113+(1-EXP(-LN(2)/2))/(LN(2)/2)*BL114*BO114*VLOOKUP('Données projet'!$B$11,Paramètres!$A$1:$I$89,3,0)*0.475*44/12</f>
        <v>1.5459740219103303E-11</v>
      </c>
      <c r="BS114" s="22">
        <f t="shared" si="63"/>
        <v>2.8279239317816427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5.6843418860808015E-13</v>
      </c>
      <c r="BZ114" s="13">
        <f>BY114*VLOOKUP('Données projet'!$B$12,Paramètres!$A$1:$I$89,3,0)*VLOOKUP('Données projet'!$B$12,Paramètres!$A$1:$I$89,5,0)</f>
        <v>3.1036506698001181E-13</v>
      </c>
      <c r="CA114" s="13">
        <f t="shared" si="93"/>
        <v>4.086682523110923E-12</v>
      </c>
      <c r="CB114" s="20">
        <f t="shared" si="64"/>
        <v>7.6581912194083782E-12</v>
      </c>
      <c r="CC114" s="59">
        <f t="shared" si="65"/>
        <v>280.19336229463124</v>
      </c>
      <c r="CD114" s="59">
        <f ca="1">AVERAGE(OFFSET($CC$3,0,0,'Données projet'!$E$12+1,1))-AVERAGE(OFFSET($H$3,0,0,'Données projet'!$E$12+1,1))</f>
        <v>382.09004346384319</v>
      </c>
      <c r="CE114" s="59">
        <f t="shared" si="94"/>
        <v>410.18893995284986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1.7126116830162936</v>
      </c>
      <c r="CL114" s="21">
        <f>EXP(-LN(2)/25)*CL113+(1-EXP(-LN(2)/25))/(LN(2)/25)*Calculateur!CG114*Calculateur!CI114*VLOOKUP('Données projet'!$B$12,Paramètres!$A$1:$I$89,3,0)*0.475*44/12</f>
        <v>3.6026620701465939</v>
      </c>
      <c r="CM114" s="21">
        <f>EXP(-LN(2)/2)*CM113+(1-EXP(-LN(2)/2))/(LN(2)/2)*CG114*CJ114*VLOOKUP('Données projet'!$B$12,Paramètres!$A$1:$I$89,3,0)*0.475*44/12</f>
        <v>1.6195066812134547E-11</v>
      </c>
      <c r="CN114" s="22">
        <f t="shared" si="66"/>
        <v>5.315273753179083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363.02374534486341</v>
      </c>
      <c r="CZ114" s="59">
        <f t="shared" si="96"/>
        <v>489.00477393029598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1.4695062604384723</v>
      </c>
      <c r="DG114" s="21">
        <f>EXP(-LN(2)/25)*DG113+(1-EXP(-LN(2)/25))/(LN(2)/25)*Calculateur!DB114*Calculateur!DD114*VLOOKUP('Données projet'!$B$13,Paramètres!$A$1:$I$89,3,0)*0.475*44/12</f>
        <v>2.0493806996817971</v>
      </c>
      <c r="DH114" s="21">
        <f>EXP(-LN(2)/2)*DH113+(1-EXP(-LN(2)/2))/(LN(2)/2)*DB114*DE114*VLOOKUP('Données projet'!$B$13,Paramètres!$A$1:$I$89,3,0)*0.475*44/12</f>
        <v>1.8852726778003124E-11</v>
      </c>
      <c r="DI114" s="22">
        <f t="shared" si="69"/>
        <v>3.5188869601391226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>
        <f>DO114*VLOOKUP('Données projet'!$B$14,Paramètres!$A$1:$I$89,3,0)*VLOOKUP('Données projet'!$B$14,Paramètres!$A$1:$I$89,5,0)</f>
        <v>-3.7509835237869992E-13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368.03281986807173</v>
      </c>
      <c r="DU114" s="59">
        <f t="shared" si="98"/>
        <v>395.83504504492248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0.49053120909522896</v>
      </c>
      <c r="EB114" s="21">
        <f>EXP(-LN(2)/25)*EB113+(1-EXP(-LN(2)/25))/(LN(2)/25)*Calculateur!DW114*Calculateur!DY114*VLOOKUP('Données projet'!$B$14,Paramètres!$A$1:$I$89,3,0)*0.475*44/12</f>
        <v>1.6238728849112321</v>
      </c>
      <c r="EC114" s="21">
        <f>EXP(-LN(2)/2)*EC113+(1-EXP(-LN(2)/2))/(LN(2)/2)*DW114*DZ114*VLOOKUP('Données projet'!$B$14,Paramètres!$A$1:$I$89,3,0)*0.475*44/12</f>
        <v>1.424721157446784E-11</v>
      </c>
      <c r="ED114" s="22">
        <f t="shared" si="72"/>
        <v>2.1144040940207081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225.2264820414552</v>
      </c>
      <c r="EP114" s="59">
        <f t="shared" si="100"/>
        <v>249.91838548328681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0.44480979516531793</v>
      </c>
      <c r="EW114" s="21">
        <f>EXP(-LN(2)/25)*EW113+(1-EXP(-LN(2)/25))/(LN(2)/25)*Calculateur!ER114*Calculateur!ET114*VLOOKUP('Données projet'!$B$15,Paramètres!$A$1:$I$89,3,0)*0.475*44/12</f>
        <v>0.91613494790977612</v>
      </c>
      <c r="EX114" s="21">
        <f>EXP(-LN(2)/2)*EX113+(1-EXP(-LN(2)/2))/(LN(2)/2)*ER114*EU114*VLOOKUP('Données projet'!$B$15,Paramètres!$A$1:$I$89,3,0)*0.475*44/12</f>
        <v>2.6017155245910268E-12</v>
      </c>
      <c r="EY114" s="22">
        <f t="shared" si="75"/>
        <v>1.3609447430776958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-1.2505552149377763E-12</v>
      </c>
      <c r="FF114" s="17">
        <f>FE114*VLOOKUP('Données projet'!$B$16,Paramètres!$A$1:$I$89,3,0)*VLOOKUP('Données projet'!$B$16,Paramètres!$A$1:$I$89,5,0)</f>
        <v>-6.9906036515021697E-13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549.85684198202534</v>
      </c>
      <c r="FK114" s="59">
        <f t="shared" si="102"/>
        <v>539.63748606275431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2.2961035319351164</v>
      </c>
      <c r="FR114" s="21">
        <f>EXP(-LN(2)/25)*FR113+(1-EXP(-LN(2)/25))/(LN(2)/25)*Calculateur!FM114*Calculateur!FO114*VLOOKUP('Données projet'!$B$16,Paramètres!$A$1:$I$89,3,0)*0.475*44/12</f>
        <v>4.1024186020518423</v>
      </c>
      <c r="FS114" s="21">
        <f>EXP(-LN(2)/2)*FS113+(1-EXP(-LN(2)/2))/(LN(2)/2)*FM114*FP114*VLOOKUP('Données projet'!$B$16,Paramètres!$A$1:$I$89,3,0)*0.475*44/12</f>
        <v>2.3455433347265743E-11</v>
      </c>
      <c r="FT114" s="22">
        <f t="shared" si="78"/>
        <v>6.3985221340104133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-5.6843418860808015E-13</v>
      </c>
      <c r="GA114" s="17">
        <f>FZ114*VLOOKUP('Données projet'!$B$17,Paramètres!$A$1:$I$89,3,0)*VLOOKUP('Données projet'!$B$17,Paramètres!$A$1:$I$89,5,0)</f>
        <v>-3.39923644787632E-13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495.6641415122013</v>
      </c>
      <c r="GF114" s="59">
        <f t="shared" si="104"/>
        <v>488.90534169400757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0.80387895325254699</v>
      </c>
      <c r="GM114" s="21">
        <f>EXP(-LN(2)/25)*GM113+(1-EXP(-LN(2)/25))/(LN(2)/25)*Calculateur!GH114*Calculateur!GJ114*VLOOKUP('Données projet'!$B$17,Paramètres!$A$1:$I$89,3,0)*0.475*44/12</f>
        <v>2.7524612945458422</v>
      </c>
      <c r="GN114" s="21">
        <f>EXP(-LN(2)/2)*GN113+(1-EXP(-LN(2)/2))/(LN(2)/2)*GH114*GK114*VLOOKUP('Données projet'!$B$17,Paramètres!$A$1:$I$89,3,0)*0.475*44/12</f>
        <v>2.2354070417354281E-11</v>
      </c>
      <c r="GO114" s="21">
        <f t="shared" si="81"/>
        <v>3.5563402478207435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-5.6843418860808015E-13</v>
      </c>
      <c r="GV114" s="17">
        <f>GU114*VLOOKUP('Données projet'!$B$18,Paramètres!$A$1:$I$89,3,0)*VLOOKUP('Données projet'!$B$18,Paramètres!$A$1:$I$89,5,0)</f>
        <v>-3.39923644787632E-13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-18.333333333333343</v>
      </c>
      <c r="HA114" s="59">
        <f t="shared" si="106"/>
        <v>-18.333333333333343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0.80387895325254699</v>
      </c>
      <c r="HH114" s="21">
        <f>EXP(-LN(2)/25)*HH113+(1-EXP(-LN(2)/25))/(LN(2)/25)*Calculateur!HC114*Calculateur!HE114*VLOOKUP('Données projet'!$B$18,Paramètres!$A$1:$I$89,3,0)*0.475*44/12</f>
        <v>2.7524612945458422</v>
      </c>
      <c r="HI114" s="21">
        <f>EXP(-LN(2)/2)*HI113+(1-EXP(-LN(2)/2))/(LN(2)/2)*HC114*HF114*VLOOKUP('Données projet'!$B$18,Paramètres!$A$1:$I$89,3,0)*0.475*44/12</f>
        <v>2.2354070417354281E-11</v>
      </c>
      <c r="HJ114" s="22">
        <f t="shared" si="84"/>
        <v>3.5563402478207435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376.11581547534814</v>
      </c>
      <c r="T115" s="59">
        <f t="shared" si="88"/>
        <v>300.91675649863294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0.61788735092742364</v>
      </c>
      <c r="AA115" s="21">
        <f>EXP(-LN(2)/25)*AA114+(1-EXP(-LN(2)/25))/(LN(2)/25)*Calculateur!V115*Calculateur!X115*VLOOKUP('Données projet'!$B$9,Paramètres!$A$1:$I$89,3,0)*0.475*44/12</f>
        <v>0.80871123480180518</v>
      </c>
      <c r="AB115" s="21">
        <f>EXP(-LN(2)/2)*AB114+(1-EXP(-LN(2)/2))/(LN(2)/2)*V115*Y115*VLOOKUP('Données projet'!$B$9,Paramètres!$A$1:$I$89,3,0)*0.475*44/12</f>
        <v>4.4711562078628012E-12</v>
      </c>
      <c r="AC115" s="22">
        <f t="shared" si="57"/>
        <v>1.4265985857337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5.4</v>
      </c>
      <c r="AI115" s="13">
        <f>IF('Données projet'!$A$62&gt;35,AI114+AH115-AQ114,IF(A115&lt;'Données projet'!$A$62,$AF$205^A115,IF(A115='Données projet'!$A$62,'Données projet'!$B$62,AI114+AH115-AQ114)))</f>
        <v>317.79999999999961</v>
      </c>
      <c r="AJ115" s="13">
        <f>AI115*VLOOKUP('Données projet'!$B$10,Paramètres!$A$1:$I$89,3,0)*VLOOKUP('Données projet'!$B$10,Paramètres!$A$1:$I$89,5,0)</f>
        <v>287.54543999999964</v>
      </c>
      <c r="AK115" s="13">
        <f t="shared" si="89"/>
        <v>68.559101107635655</v>
      </c>
      <c r="AL115" s="20">
        <f t="shared" si="58"/>
        <v>620.21540909579812</v>
      </c>
      <c r="AM115" s="59">
        <f t="shared" si="59"/>
        <v>900.63672051136905</v>
      </c>
      <c r="AN115" s="59">
        <f ca="1">AVERAGE(OFFSET($AM$3,0,0,'Données projet'!$E$10+1,1))-AVERAGE(OFFSET($H$3,0,0,'Données projet'!$E$10+1,1))</f>
        <v>505.38595282220405</v>
      </c>
      <c r="AO115" s="59">
        <f t="shared" si="90"/>
        <v>351.72130415456365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0.47477288670984175</v>
      </c>
      <c r="AV115" s="21">
        <f>EXP(-LN(2)/25)*AV114+(1-EXP(-LN(2)/25))/(LN(2)/25)*Calculateur!AQ115*Calculateur!AS115*VLOOKUP('Données projet'!$B$10,Paramètres!$A$1:$I$89,3,0)*0.475*44/12</f>
        <v>1.1615534855151406</v>
      </c>
      <c r="AW115" s="21">
        <f>EXP(-LN(2)/2)*AW114+(1-EXP(-LN(2)/2))/(LN(2)/2)*AQ115*AT115*VLOOKUP('Données projet'!$B$10,Paramètres!$A$1:$I$89,3,0)*0.475*44/12</f>
        <v>9.8013228007888222E-12</v>
      </c>
      <c r="AX115" s="21">
        <f t="shared" si="60"/>
        <v>1.6363263722347836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-4.0702161641092972E-13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394.14657090341535</v>
      </c>
      <c r="BJ115" s="59">
        <f t="shared" si="92"/>
        <v>424.06445894109982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0.64319923455127459</v>
      </c>
      <c r="BQ115" s="21">
        <f>EXP(-LN(2)/25)*BQ114+(1-EXP(-LN(2)/25))/(LN(2)/25)*Calculateur!BL115*Calculateur!BN115*VLOOKUP('Données projet'!$B$11,Paramètres!$A$1:$I$89,3,0)*0.475*44/12</f>
        <v>2.1124700602552533</v>
      </c>
      <c r="BR115" s="21">
        <f>EXP(-LN(2)/2)*BR114+(1-EXP(-LN(2)/2))/(LN(2)/2)*BL115*BO115*VLOOKUP('Données projet'!$B$11,Paramètres!$A$1:$I$89,3,0)*0.475*44/12</f>
        <v>1.0931687144310347E-11</v>
      </c>
      <c r="BS115" s="22">
        <f t="shared" si="63"/>
        <v>2.7556692948174595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5.6843418860808015E-13</v>
      </c>
      <c r="BZ115" s="13">
        <f>BY115*VLOOKUP('Données projet'!$B$12,Paramètres!$A$1:$I$89,3,0)*VLOOKUP('Données projet'!$B$12,Paramètres!$A$1:$I$89,5,0)</f>
        <v>3.1036506698001181E-13</v>
      </c>
      <c r="CA115" s="13">
        <f t="shared" si="93"/>
        <v>4.086682523110923E-12</v>
      </c>
      <c r="CB115" s="20">
        <f t="shared" si="64"/>
        <v>7.6581912194083782E-12</v>
      </c>
      <c r="CC115" s="59">
        <f t="shared" si="65"/>
        <v>280.42131141557854</v>
      </c>
      <c r="CD115" s="59">
        <f ca="1">AVERAGE(OFFSET($CC$3,0,0,'Données projet'!$E$12+1,1))-AVERAGE(OFFSET($H$3,0,0,'Données projet'!$E$12+1,1))</f>
        <v>382.09004346384319</v>
      </c>
      <c r="CE115" s="59">
        <f t="shared" si="94"/>
        <v>410.18893995284986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1.679028412502326</v>
      </c>
      <c r="CL115" s="21">
        <f>EXP(-LN(2)/25)*CL114+(1-EXP(-LN(2)/25))/(LN(2)/25)*Calculateur!CG115*Calculateur!CI115*VLOOKUP('Données projet'!$B$12,Paramètres!$A$1:$I$89,3,0)*0.475*44/12</f>
        <v>3.5041470863826709</v>
      </c>
      <c r="CM115" s="21">
        <f>EXP(-LN(2)/2)*CM114+(1-EXP(-LN(2)/2))/(LN(2)/2)*CG115*CJ115*VLOOKUP('Données projet'!$B$12,Paramètres!$A$1:$I$89,3,0)*0.475*44/12</f>
        <v>1.1451641564629541E-11</v>
      </c>
      <c r="CN115" s="22">
        <f t="shared" si="66"/>
        <v>5.183175498896448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363.02374534486341</v>
      </c>
      <c r="CZ115" s="59">
        <f t="shared" si="96"/>
        <v>489.00477393029598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1.4406901389815894</v>
      </c>
      <c r="DG115" s="21">
        <f>EXP(-LN(2)/25)*DG114+(1-EXP(-LN(2)/25))/(LN(2)/25)*Calculateur!DB115*Calculateur!DD115*VLOOKUP('Données projet'!$B$13,Paramètres!$A$1:$I$89,3,0)*0.475*44/12</f>
        <v>1.9933402766767514</v>
      </c>
      <c r="DH115" s="21">
        <f>EXP(-LN(2)/2)*DH114+(1-EXP(-LN(2)/2))/(LN(2)/2)*DB115*DE115*VLOOKUP('Données projet'!$B$13,Paramètres!$A$1:$I$89,3,0)*0.475*44/12</f>
        <v>1.333089094858322E-11</v>
      </c>
      <c r="DI115" s="22">
        <f t="shared" si="69"/>
        <v>3.4340304156716712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>
        <f>DO115*VLOOKUP('Données projet'!$B$14,Paramètres!$A$1:$I$89,3,0)*VLOOKUP('Données projet'!$B$14,Paramètres!$A$1:$I$89,5,0)</f>
        <v>-3.7509835237869992E-13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368.03281986807173</v>
      </c>
      <c r="DU115" s="59">
        <f t="shared" si="98"/>
        <v>395.83504504492248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0.48091219127936607</v>
      </c>
      <c r="EB115" s="21">
        <f>EXP(-LN(2)/25)*EB114+(1-EXP(-LN(2)/25))/(LN(2)/25)*Calculateur!DW115*Calculateur!DY115*VLOOKUP('Données projet'!$B$14,Paramètres!$A$1:$I$89,3,0)*0.475*44/12</f>
        <v>1.5794679954775708</v>
      </c>
      <c r="EC115" s="21">
        <f>EXP(-LN(2)/2)*EC114+(1-EXP(-LN(2)/2))/(LN(2)/2)*DW115*DZ115*VLOOKUP('Données projet'!$B$14,Paramètres!$A$1:$I$89,3,0)*0.475*44/12</f>
        <v>1.0074299917305679E-11</v>
      </c>
      <c r="ED115" s="22">
        <f t="shared" si="72"/>
        <v>2.0603801867670111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225.2264820414552</v>
      </c>
      <c r="EP115" s="59">
        <f t="shared" si="100"/>
        <v>249.91838548328681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0.43608734638931174</v>
      </c>
      <c r="EW115" s="21">
        <f>EXP(-LN(2)/25)*EW114+(1-EXP(-LN(2)/25))/(LN(2)/25)*Calculateur!ER115*Calculateur!ET115*VLOOKUP('Données projet'!$B$15,Paramètres!$A$1:$I$89,3,0)*0.475*44/12</f>
        <v>0.89108318958174026</v>
      </c>
      <c r="EX115" s="21">
        <f>EXP(-LN(2)/2)*EX114+(1-EXP(-LN(2)/2))/(LN(2)/2)*ER115*EU115*VLOOKUP('Données projet'!$B$15,Paramètres!$A$1:$I$89,3,0)*0.475*44/12</f>
        <v>1.8396906901566309E-12</v>
      </c>
      <c r="EY115" s="22">
        <f t="shared" si="75"/>
        <v>1.3271705359728916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-1.2505552149377763E-12</v>
      </c>
      <c r="FF115" s="17">
        <f>FE115*VLOOKUP('Données projet'!$B$16,Paramètres!$A$1:$I$89,3,0)*VLOOKUP('Données projet'!$B$16,Paramètres!$A$1:$I$89,5,0)</f>
        <v>-6.9906036515021697E-13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549.85684198202534</v>
      </c>
      <c r="FK115" s="59">
        <f t="shared" si="102"/>
        <v>539.63748606275431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2.251078342158737</v>
      </c>
      <c r="FR115" s="21">
        <f>EXP(-LN(2)/25)*FR114+(1-EXP(-LN(2)/25))/(LN(2)/25)*Calculateur!FM115*Calculateur!FO115*VLOOKUP('Données projet'!$B$16,Paramètres!$A$1:$I$89,3,0)*0.475*44/12</f>
        <v>3.9902377496419166</v>
      </c>
      <c r="FS115" s="21">
        <f>EXP(-LN(2)/2)*FS114+(1-EXP(-LN(2)/2))/(LN(2)/2)*FM115*FP115*VLOOKUP('Données projet'!$B$16,Paramètres!$A$1:$I$89,3,0)*0.475*44/12</f>
        <v>1.6585495975520687E-11</v>
      </c>
      <c r="FT115" s="22">
        <f t="shared" si="78"/>
        <v>6.2413160918172395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-5.6843418860808015E-13</v>
      </c>
      <c r="GA115" s="17">
        <f>FZ115*VLOOKUP('Données projet'!$B$17,Paramètres!$A$1:$I$89,3,0)*VLOOKUP('Données projet'!$B$17,Paramètres!$A$1:$I$89,5,0)</f>
        <v>-3.39923644787632E-13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495.6641415122013</v>
      </c>
      <c r="GF115" s="59">
        <f t="shared" si="104"/>
        <v>488.90534169400757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0.7881153772970112</v>
      </c>
      <c r="GM115" s="21">
        <f>EXP(-LN(2)/25)*GM114+(1-EXP(-LN(2)/25))/(LN(2)/25)*Calculateur!GH115*Calculateur!GJ115*VLOOKUP('Données projet'!$B$17,Paramètres!$A$1:$I$89,3,0)*0.475*44/12</f>
        <v>2.6771950957008377</v>
      </c>
      <c r="GN115" s="21">
        <f>EXP(-LN(2)/2)*GN114+(1-EXP(-LN(2)/2))/(LN(2)/2)*GH115*GK115*VLOOKUP('Données projet'!$B$17,Paramètres!$A$1:$I$89,3,0)*0.475*44/12</f>
        <v>1.5806714779232809E-11</v>
      </c>
      <c r="GO115" s="21">
        <f t="shared" si="81"/>
        <v>3.4653104730136559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-5.6843418860808015E-13</v>
      </c>
      <c r="GV115" s="17">
        <f>GU115*VLOOKUP('Données projet'!$B$18,Paramètres!$A$1:$I$89,3,0)*VLOOKUP('Données projet'!$B$18,Paramètres!$A$1:$I$89,5,0)</f>
        <v>-3.39923644787632E-13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-18.333333333333343</v>
      </c>
      <c r="HA115" s="59">
        <f t="shared" si="106"/>
        <v>-18.333333333333343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0.7881153772970112</v>
      </c>
      <c r="HH115" s="21">
        <f>EXP(-LN(2)/25)*HH114+(1-EXP(-LN(2)/25))/(LN(2)/25)*Calculateur!HC115*Calculateur!HE115*VLOOKUP('Données projet'!$B$18,Paramètres!$A$1:$I$89,3,0)*0.475*44/12</f>
        <v>2.6771950957008377</v>
      </c>
      <c r="HI115" s="21">
        <f>EXP(-LN(2)/2)*HI114+(1-EXP(-LN(2)/2))/(LN(2)/2)*HC115*HF115*VLOOKUP('Données projet'!$B$18,Paramètres!$A$1:$I$89,3,0)*0.475*44/12</f>
        <v>1.5806714779232809E-11</v>
      </c>
      <c r="HJ115" s="22">
        <f t="shared" si="84"/>
        <v>3.4653104730136559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376.11581547534814</v>
      </c>
      <c r="T116" s="59">
        <f t="shared" si="88"/>
        <v>300.91675649863294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0.60577095684980775</v>
      </c>
      <c r="AA116" s="21">
        <f>EXP(-LN(2)/25)*AA115+(1-EXP(-LN(2)/25))/(LN(2)/25)*Calculateur!V116*Calculateur!X116*VLOOKUP('Données projet'!$B$9,Paramètres!$A$1:$I$89,3,0)*0.475*44/12</f>
        <v>0.78659698355787433</v>
      </c>
      <c r="AB116" s="21">
        <f>EXP(-LN(2)/2)*AB115+(1-EXP(-LN(2)/2))/(LN(2)/2)*V116*Y116*VLOOKUP('Données projet'!$B$9,Paramètres!$A$1:$I$89,3,0)*0.475*44/12</f>
        <v>3.1615848743241154E-12</v>
      </c>
      <c r="AC116" s="22">
        <f t="shared" si="57"/>
        <v>1.3923679404108438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5.4</v>
      </c>
      <c r="AI116" s="13">
        <f>IF('Données projet'!$A$62&gt;35,AI115+AH116-AQ115,IF(A116&lt;'Données projet'!$A$62,$AF$205^A116,IF(A116='Données projet'!$A$62,'Données projet'!$B$62,AI115+AH116-AQ115)))</f>
        <v>323.19999999999959</v>
      </c>
      <c r="AJ116" s="13">
        <f>AI116*VLOOKUP('Données projet'!$B$10,Paramètres!$A$1:$I$89,3,0)*VLOOKUP('Données projet'!$B$10,Paramètres!$A$1:$I$89,5,0)</f>
        <v>292.43135999999964</v>
      </c>
      <c r="AK116" s="13">
        <f t="shared" si="89"/>
        <v>69.587433903176873</v>
      </c>
      <c r="AL116" s="20">
        <f t="shared" si="58"/>
        <v>630.51606604803237</v>
      </c>
      <c r="AM116" s="59">
        <f t="shared" si="59"/>
        <v>911.16137217691994</v>
      </c>
      <c r="AN116" s="59">
        <f ca="1">AVERAGE(OFFSET($AM$3,0,0,'Données projet'!$E$10+1,1))-AVERAGE(OFFSET($H$3,0,0,'Données projet'!$E$10+1,1))</f>
        <v>505.38595282220405</v>
      </c>
      <c r="AO116" s="59">
        <f t="shared" si="90"/>
        <v>351.72130415456365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0.46546287998432873</v>
      </c>
      <c r="AV116" s="21">
        <f>EXP(-LN(2)/25)*AV115+(1-EXP(-LN(2)/25))/(LN(2)/25)*Calculateur!AQ116*Calculateur!AS116*VLOOKUP('Données projet'!$B$10,Paramètres!$A$1:$I$89,3,0)*0.475*44/12</f>
        <v>1.1297907443702859</v>
      </c>
      <c r="AW116" s="21">
        <f>EXP(-LN(2)/2)*AW115+(1-EXP(-LN(2)/2))/(LN(2)/2)*AQ116*AT116*VLOOKUP('Données projet'!$B$10,Paramètres!$A$1:$I$89,3,0)*0.475*44/12</f>
        <v>6.9305818170361009E-12</v>
      </c>
      <c r="AX116" s="21">
        <f t="shared" si="60"/>
        <v>1.5952536243615454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-4.0702161641092972E-13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394.14657090341535</v>
      </c>
      <c r="BJ116" s="59">
        <f t="shared" si="92"/>
        <v>424.06445894109982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0.63058648987451948</v>
      </c>
      <c r="BQ116" s="21">
        <f>EXP(-LN(2)/25)*BQ115+(1-EXP(-LN(2)/25))/(LN(2)/25)*Calculateur!BL116*Calculateur!BN116*VLOOKUP('Données projet'!$B$11,Paramètres!$A$1:$I$89,3,0)*0.475*44/12</f>
        <v>2.054704455367601</v>
      </c>
      <c r="BR116" s="21">
        <f>EXP(-LN(2)/2)*BR115+(1-EXP(-LN(2)/2))/(LN(2)/2)*BL116*BO116*VLOOKUP('Données projet'!$B$11,Paramètres!$A$1:$I$89,3,0)*0.475*44/12</f>
        <v>7.7298701095516513E-12</v>
      </c>
      <c r="BS116" s="22">
        <f t="shared" si="63"/>
        <v>2.6852909452498501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5.6843418860808015E-13</v>
      </c>
      <c r="BZ116" s="13">
        <f>BY116*VLOOKUP('Données projet'!$B$12,Paramètres!$A$1:$I$89,3,0)*VLOOKUP('Données projet'!$B$12,Paramètres!$A$1:$I$89,5,0)</f>
        <v>3.1036506698001181E-13</v>
      </c>
      <c r="CA116" s="13">
        <f t="shared" si="93"/>
        <v>4.086682523110923E-12</v>
      </c>
      <c r="CB116" s="20">
        <f t="shared" si="64"/>
        <v>7.6581912194083782E-12</v>
      </c>
      <c r="CC116" s="59">
        <f t="shared" si="65"/>
        <v>280.6453061288953</v>
      </c>
      <c r="CD116" s="59">
        <f ca="1">AVERAGE(OFFSET($CC$3,0,0,'Données projet'!$E$12+1,1))-AVERAGE(OFFSET($H$3,0,0,'Données projet'!$E$12+1,1))</f>
        <v>382.09004346384319</v>
      </c>
      <c r="CE116" s="59">
        <f t="shared" si="94"/>
        <v>410.18893995284986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1.646103689439365</v>
      </c>
      <c r="CL116" s="21">
        <f>EXP(-LN(2)/25)*CL115+(1-EXP(-LN(2)/25))/(LN(2)/25)*Calculateur!CG116*Calculateur!CI116*VLOOKUP('Données projet'!$B$12,Paramètres!$A$1:$I$89,3,0)*0.475*44/12</f>
        <v>3.4083260000304505</v>
      </c>
      <c r="CM116" s="21">
        <f>EXP(-LN(2)/2)*CM115+(1-EXP(-LN(2)/2))/(LN(2)/2)*CG116*CJ116*VLOOKUP('Données projet'!$B$12,Paramètres!$A$1:$I$89,3,0)*0.475*44/12</f>
        <v>8.0975334060672737E-12</v>
      </c>
      <c r="CN116" s="22">
        <f t="shared" si="66"/>
        <v>5.0544296894779128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363.02374534486341</v>
      </c>
      <c r="CZ116" s="59">
        <f t="shared" si="96"/>
        <v>489.00477393029598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1.4124390840903773</v>
      </c>
      <c r="DG116" s="21">
        <f>EXP(-LN(2)/25)*DG115+(1-EXP(-LN(2)/25))/(LN(2)/25)*Calculateur!DB116*Calculateur!DD116*VLOOKUP('Données projet'!$B$13,Paramètres!$A$1:$I$89,3,0)*0.475*44/12</f>
        <v>1.9388322819858164</v>
      </c>
      <c r="DH116" s="21">
        <f>EXP(-LN(2)/2)*DH115+(1-EXP(-LN(2)/2))/(LN(2)/2)*DB116*DE116*VLOOKUP('Données projet'!$B$13,Paramètres!$A$1:$I$89,3,0)*0.475*44/12</f>
        <v>9.426363389001562E-12</v>
      </c>
      <c r="DI116" s="22">
        <f t="shared" si="69"/>
        <v>3.3512713660856202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>
        <f>DO116*VLOOKUP('Données projet'!$B$14,Paramètres!$A$1:$I$89,3,0)*VLOOKUP('Données projet'!$B$14,Paramètres!$A$1:$I$89,5,0)</f>
        <v>-3.7509835237869992E-13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368.03281986807173</v>
      </c>
      <c r="DU116" s="59">
        <f t="shared" si="98"/>
        <v>395.83504504492248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0.47148179653585071</v>
      </c>
      <c r="EB116" s="21">
        <f>EXP(-LN(2)/25)*EB115+(1-EXP(-LN(2)/25))/(LN(2)/25)*Calculateur!DW116*Calculateur!DY116*VLOOKUP('Données projet'!$B$14,Paramètres!$A$1:$I$89,3,0)*0.475*44/12</f>
        <v>1.5362773600806245</v>
      </c>
      <c r="EC116" s="21">
        <f>EXP(-LN(2)/2)*EC115+(1-EXP(-LN(2)/2))/(LN(2)/2)*DW116*DZ116*VLOOKUP('Données projet'!$B$14,Paramètres!$A$1:$I$89,3,0)*0.475*44/12</f>
        <v>7.1236057872339215E-12</v>
      </c>
      <c r="ED116" s="22">
        <f t="shared" si="72"/>
        <v>2.0077591566235991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225.2264820414552</v>
      </c>
      <c r="EP116" s="59">
        <f t="shared" si="100"/>
        <v>249.91838548328681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0.42753593951363461</v>
      </c>
      <c r="EW116" s="21">
        <f>EXP(-LN(2)/25)*EW115+(1-EXP(-LN(2)/25))/(LN(2)/25)*Calculateur!ER116*Calculateur!ET116*VLOOKUP('Données projet'!$B$15,Paramètres!$A$1:$I$89,3,0)*0.475*44/12</f>
        <v>0.86671647290259923</v>
      </c>
      <c r="EX116" s="21">
        <f>EXP(-LN(2)/2)*EX115+(1-EXP(-LN(2)/2))/(LN(2)/2)*ER116*EU116*VLOOKUP('Données projet'!$B$15,Paramètres!$A$1:$I$89,3,0)*0.475*44/12</f>
        <v>1.3008577622955134E-12</v>
      </c>
      <c r="EY116" s="22">
        <f t="shared" si="75"/>
        <v>1.2942524124175347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-1.2505552149377763E-12</v>
      </c>
      <c r="FF116" s="17">
        <f>FE116*VLOOKUP('Données projet'!$B$16,Paramètres!$A$1:$I$89,3,0)*VLOOKUP('Données projet'!$B$16,Paramètres!$A$1:$I$89,5,0)</f>
        <v>-6.9906036515021697E-13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549.85684198202534</v>
      </c>
      <c r="FK116" s="59">
        <f t="shared" si="102"/>
        <v>539.63748606275431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2.2069360688912183</v>
      </c>
      <c r="FR116" s="21">
        <f>EXP(-LN(2)/25)*FR115+(1-EXP(-LN(2)/25))/(LN(2)/25)*Calculateur!FM116*Calculateur!FO116*VLOOKUP('Données projet'!$B$16,Paramètres!$A$1:$I$89,3,0)*0.475*44/12</f>
        <v>3.881124488540475</v>
      </c>
      <c r="FS116" s="21">
        <f>EXP(-LN(2)/2)*FS115+(1-EXP(-LN(2)/2))/(LN(2)/2)*FM116*FP116*VLOOKUP('Données projet'!$B$16,Paramètres!$A$1:$I$89,3,0)*0.475*44/12</f>
        <v>1.1727716673632871E-11</v>
      </c>
      <c r="FT116" s="22">
        <f t="shared" si="78"/>
        <v>6.0880605574434208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-5.6843418860808015E-13</v>
      </c>
      <c r="GA116" s="17">
        <f>FZ116*VLOOKUP('Données projet'!$B$17,Paramètres!$A$1:$I$89,3,0)*VLOOKUP('Données projet'!$B$17,Paramètres!$A$1:$I$89,5,0)</f>
        <v>-3.39923644787632E-13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495.6641415122013</v>
      </c>
      <c r="GF116" s="59">
        <f t="shared" si="104"/>
        <v>488.90534169400757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0.77266091545113147</v>
      </c>
      <c r="GM116" s="21">
        <f>EXP(-LN(2)/25)*GM115+(1-EXP(-LN(2)/25))/(LN(2)/25)*Calculateur!GH116*Calculateur!GJ116*VLOOKUP('Données projet'!$B$17,Paramètres!$A$1:$I$89,3,0)*0.475*44/12</f>
        <v>2.6039870550213271</v>
      </c>
      <c r="GN116" s="21">
        <f>EXP(-LN(2)/2)*GN115+(1-EXP(-LN(2)/2))/(LN(2)/2)*GH116*GK116*VLOOKUP('Données projet'!$B$17,Paramètres!$A$1:$I$89,3,0)*0.475*44/12</f>
        <v>1.1177035208677141E-11</v>
      </c>
      <c r="GO116" s="21">
        <f t="shared" si="81"/>
        <v>3.3766479704836354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-5.6843418860808015E-13</v>
      </c>
      <c r="GV116" s="17">
        <f>GU116*VLOOKUP('Données projet'!$B$18,Paramètres!$A$1:$I$89,3,0)*VLOOKUP('Données projet'!$B$18,Paramètres!$A$1:$I$89,5,0)</f>
        <v>-3.39923644787632E-13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-18.333333333333343</v>
      </c>
      <c r="HA116" s="59">
        <f t="shared" si="106"/>
        <v>-18.333333333333343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0.77266091545113147</v>
      </c>
      <c r="HH116" s="21">
        <f>EXP(-LN(2)/25)*HH115+(1-EXP(-LN(2)/25))/(LN(2)/25)*Calculateur!HC116*Calculateur!HE116*VLOOKUP('Données projet'!$B$18,Paramètres!$A$1:$I$89,3,0)*0.475*44/12</f>
        <v>2.6039870550213271</v>
      </c>
      <c r="HI116" s="21">
        <f>EXP(-LN(2)/2)*HI115+(1-EXP(-LN(2)/2))/(LN(2)/2)*HC116*HF116*VLOOKUP('Données projet'!$B$18,Paramètres!$A$1:$I$89,3,0)*0.475*44/12</f>
        <v>1.1177035208677141E-11</v>
      </c>
      <c r="HJ116" s="22">
        <f t="shared" si="84"/>
        <v>3.3766479704836354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376.11581547534814</v>
      </c>
      <c r="T117" s="59">
        <f t="shared" si="88"/>
        <v>300.91675649863294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0.59389215786978322</v>
      </c>
      <c r="AA117" s="21">
        <f>EXP(-LN(2)/25)*AA116+(1-EXP(-LN(2)/25))/(LN(2)/25)*Calculateur!V117*Calculateur!X117*VLOOKUP('Données projet'!$B$9,Paramètres!$A$1:$I$89,3,0)*0.475*44/12</f>
        <v>0.76508744767714665</v>
      </c>
      <c r="AB117" s="21">
        <f>EXP(-LN(2)/2)*AB116+(1-EXP(-LN(2)/2))/(LN(2)/2)*V117*Y117*VLOOKUP('Données projet'!$B$9,Paramètres!$A$1:$I$89,3,0)*0.475*44/12</f>
        <v>2.2355781039314006E-12</v>
      </c>
      <c r="AC117" s="22">
        <f t="shared" si="57"/>
        <v>1.3589796055491654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5.4</v>
      </c>
      <c r="AI117" s="13">
        <f>IF('Données projet'!$A$62&gt;35,AI116+AH117-AQ116,IF(A117&lt;'Données projet'!$A$62,$AF$205^A117,IF(A117='Données projet'!$A$62,'Données projet'!$B$62,AI116+AH117-AQ116)))</f>
        <v>328.59999999999957</v>
      </c>
      <c r="AJ117" s="13">
        <f>AI117*VLOOKUP('Données projet'!$B$10,Paramètres!$A$1:$I$89,3,0)*VLOOKUP('Données projet'!$B$10,Paramètres!$A$1:$I$89,5,0)</f>
        <v>297.31727999999958</v>
      </c>
      <c r="AK117" s="13">
        <f t="shared" si="89"/>
        <v>70.613768640226624</v>
      </c>
      <c r="AL117" s="20">
        <f t="shared" si="58"/>
        <v>640.81324304839393</v>
      </c>
      <c r="AM117" s="59">
        <f t="shared" si="59"/>
        <v>921.67865808309944</v>
      </c>
      <c r="AN117" s="59">
        <f ca="1">AVERAGE(OFFSET($AM$3,0,0,'Données projet'!$E$10+1,1))-AVERAGE(OFFSET($H$3,0,0,'Données projet'!$E$10+1,1))</f>
        <v>505.38595282220405</v>
      </c>
      <c r="AO117" s="59">
        <f t="shared" si="90"/>
        <v>351.72130415456365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0.4563354368121596</v>
      </c>
      <c r="AV117" s="21">
        <f>EXP(-LN(2)/25)*AV116+(1-EXP(-LN(2)/25))/(LN(2)/25)*Calculateur!AQ117*Calculateur!AS117*VLOOKUP('Données projet'!$B$10,Paramètres!$A$1:$I$89,3,0)*0.475*44/12</f>
        <v>1.0988965570523674</v>
      </c>
      <c r="AW117" s="21">
        <f>EXP(-LN(2)/2)*AW116+(1-EXP(-LN(2)/2))/(LN(2)/2)*AQ117*AT117*VLOOKUP('Données projet'!$B$10,Paramètres!$A$1:$I$89,3,0)*0.475*44/12</f>
        <v>4.9006614003944111E-12</v>
      </c>
      <c r="AX117" s="21">
        <f t="shared" si="60"/>
        <v>1.5552319938694279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-4.0702161641092972E-13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394.14657090341535</v>
      </c>
      <c r="BJ117" s="59">
        <f t="shared" si="92"/>
        <v>424.06445894109982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0.61822107342786092</v>
      </c>
      <c r="BQ117" s="21">
        <f>EXP(-LN(2)/25)*BQ116+(1-EXP(-LN(2)/25))/(LN(2)/25)*Calculateur!BL117*Calculateur!BN117*VLOOKUP('Données projet'!$B$11,Paramètres!$A$1:$I$89,3,0)*0.475*44/12</f>
        <v>1.9985184539833627</v>
      </c>
      <c r="BR117" s="21">
        <f>EXP(-LN(2)/2)*BR116+(1-EXP(-LN(2)/2))/(LN(2)/2)*BL117*BO117*VLOOKUP('Données projet'!$B$11,Paramètres!$A$1:$I$89,3,0)*0.475*44/12</f>
        <v>5.4658435721551737E-12</v>
      </c>
      <c r="BS117" s="22">
        <f t="shared" si="63"/>
        <v>2.6167395274166894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5.6843418860808015E-13</v>
      </c>
      <c r="BZ117" s="13">
        <f>BY117*VLOOKUP('Données projet'!$B$12,Paramètres!$A$1:$I$89,3,0)*VLOOKUP('Données projet'!$B$12,Paramètres!$A$1:$I$89,5,0)</f>
        <v>3.1036506698001181E-13</v>
      </c>
      <c r="CA117" s="13">
        <f t="shared" si="93"/>
        <v>4.086682523110923E-12</v>
      </c>
      <c r="CB117" s="20">
        <f t="shared" si="64"/>
        <v>7.6581912194083782E-12</v>
      </c>
      <c r="CC117" s="59">
        <f t="shared" si="65"/>
        <v>280.86541503471312</v>
      </c>
      <c r="CD117" s="59">
        <f ca="1">AVERAGE(OFFSET($CC$3,0,0,'Données projet'!$E$12+1,1))-AVERAGE(OFFSET($H$3,0,0,'Données projet'!$E$12+1,1))</f>
        <v>382.09004346384319</v>
      </c>
      <c r="CE117" s="59">
        <f t="shared" si="94"/>
        <v>410.18893995284986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1.6138246001135705</v>
      </c>
      <c r="CL117" s="21">
        <f>EXP(-LN(2)/25)*CL116+(1-EXP(-LN(2)/25))/(LN(2)/25)*Calculateur!CG117*Calculateur!CI117*VLOOKUP('Données projet'!$B$12,Paramètres!$A$1:$I$89,3,0)*0.475*44/12</f>
        <v>3.3151251463235432</v>
      </c>
      <c r="CM117" s="21">
        <f>EXP(-LN(2)/2)*CM116+(1-EXP(-LN(2)/2))/(LN(2)/2)*CG117*CJ117*VLOOKUP('Données projet'!$B$12,Paramètres!$A$1:$I$89,3,0)*0.475*44/12</f>
        <v>5.7258207823147707E-12</v>
      </c>
      <c r="CN117" s="22">
        <f t="shared" si="66"/>
        <v>4.9289497464428402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363.02374534486341</v>
      </c>
      <c r="CZ117" s="59">
        <f t="shared" si="96"/>
        <v>489.00477393029598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1.3847420151541401</v>
      </c>
      <c r="DG117" s="21">
        <f>EXP(-LN(2)/25)*DG116+(1-EXP(-LN(2)/25))/(LN(2)/25)*Calculateur!DB117*Calculateur!DD117*VLOOKUP('Données projet'!$B$13,Paramètres!$A$1:$I$89,3,0)*0.475*44/12</f>
        <v>1.8858148112761557</v>
      </c>
      <c r="DH117" s="21">
        <f>EXP(-LN(2)/2)*DH116+(1-EXP(-LN(2)/2))/(LN(2)/2)*DB117*DE117*VLOOKUP('Données projet'!$B$13,Paramètres!$A$1:$I$89,3,0)*0.475*44/12</f>
        <v>6.6654454742916101E-12</v>
      </c>
      <c r="DI117" s="22">
        <f t="shared" si="69"/>
        <v>3.2705568264369611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>
        <f>DO117*VLOOKUP('Données projet'!$B$14,Paramètres!$A$1:$I$89,3,0)*VLOOKUP('Données projet'!$B$14,Paramètres!$A$1:$I$89,5,0)</f>
        <v>-3.7509835237869992E-13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368.03281986807173</v>
      </c>
      <c r="DU117" s="59">
        <f t="shared" si="98"/>
        <v>395.83504504492248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0.46223632608128284</v>
      </c>
      <c r="EB117" s="21">
        <f>EXP(-LN(2)/25)*EB116+(1-EXP(-LN(2)/25))/(LN(2)/25)*Calculateur!DW117*Calculateur!DY117*VLOOKUP('Données projet'!$B$14,Paramètres!$A$1:$I$89,3,0)*0.475*44/12</f>
        <v>1.4942677748799047</v>
      </c>
      <c r="EC117" s="21">
        <f>EXP(-LN(2)/2)*EC116+(1-EXP(-LN(2)/2))/(LN(2)/2)*DW117*DZ117*VLOOKUP('Données projet'!$B$14,Paramètres!$A$1:$I$89,3,0)*0.475*44/12</f>
        <v>5.0371499586528405E-12</v>
      </c>
      <c r="ED117" s="22">
        <f t="shared" si="72"/>
        <v>1.9565041009662247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225.2264820414552</v>
      </c>
      <c r="EP117" s="59">
        <f t="shared" si="100"/>
        <v>249.91838548328681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0.41915222051094631</v>
      </c>
      <c r="EW117" s="21">
        <f>EXP(-LN(2)/25)*EW116+(1-EXP(-LN(2)/25))/(LN(2)/25)*Calculateur!ER117*Calculateur!ET117*VLOOKUP('Données projet'!$B$15,Paramètres!$A$1:$I$89,3,0)*0.475*44/12</f>
        <v>0.84301606537243923</v>
      </c>
      <c r="EX117" s="21">
        <f>EXP(-LN(2)/2)*EX116+(1-EXP(-LN(2)/2))/(LN(2)/2)*ER117*EU117*VLOOKUP('Données projet'!$B$15,Paramètres!$A$1:$I$89,3,0)*0.475*44/12</f>
        <v>9.1984534507831545E-13</v>
      </c>
      <c r="EY117" s="22">
        <f t="shared" si="75"/>
        <v>1.2621682858843055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-1.2505552149377763E-12</v>
      </c>
      <c r="FF117" s="17">
        <f>FE117*VLOOKUP('Données projet'!$B$16,Paramètres!$A$1:$I$89,3,0)*VLOOKUP('Données projet'!$B$16,Paramètres!$A$1:$I$89,5,0)</f>
        <v>-6.9906036515021697E-13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549.85684198202534</v>
      </c>
      <c r="FK117" s="59">
        <f t="shared" si="102"/>
        <v>539.63748606275431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2.1636593986783472</v>
      </c>
      <c r="FR117" s="21">
        <f>EXP(-LN(2)/25)*FR116+(1-EXP(-LN(2)/25))/(LN(2)/25)*Calculateur!FM117*Calculateur!FO117*VLOOKUP('Données projet'!$B$16,Paramètres!$A$1:$I$89,3,0)*0.475*44/12</f>
        <v>3.7749949353018692</v>
      </c>
      <c r="FS117" s="21">
        <f>EXP(-LN(2)/2)*FS116+(1-EXP(-LN(2)/2))/(LN(2)/2)*FM117*FP117*VLOOKUP('Données projet'!$B$16,Paramètres!$A$1:$I$89,3,0)*0.475*44/12</f>
        <v>8.2927479877603436E-12</v>
      </c>
      <c r="FT117" s="22">
        <f t="shared" si="78"/>
        <v>5.9386543339885094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-5.6843418860808015E-13</v>
      </c>
      <c r="GA117" s="17">
        <f>FZ117*VLOOKUP('Données projet'!$B$17,Paramètres!$A$1:$I$89,3,0)*VLOOKUP('Données projet'!$B$17,Paramètres!$A$1:$I$89,5,0)</f>
        <v>-3.39923644787632E-13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495.6641415122013</v>
      </c>
      <c r="GF117" s="59">
        <f t="shared" si="104"/>
        <v>488.90534169400757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0.75750950617575852</v>
      </c>
      <c r="GM117" s="21">
        <f>EXP(-LN(2)/25)*GM116+(1-EXP(-LN(2)/25))/(LN(2)/25)*Calculateur!GH117*Calculateur!GJ117*VLOOKUP('Données projet'!$B$17,Paramètres!$A$1:$I$89,3,0)*0.475*44/12</f>
        <v>2.5327808920640411</v>
      </c>
      <c r="GN117" s="21">
        <f>EXP(-LN(2)/2)*GN116+(1-EXP(-LN(2)/2))/(LN(2)/2)*GH117*GK117*VLOOKUP('Données projet'!$B$17,Paramètres!$A$1:$I$89,3,0)*0.475*44/12</f>
        <v>7.9033573896164043E-12</v>
      </c>
      <c r="GO117" s="21">
        <f t="shared" si="81"/>
        <v>3.290290398247703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-5.6843418860808015E-13</v>
      </c>
      <c r="GV117" s="17">
        <f>GU117*VLOOKUP('Données projet'!$B$18,Paramètres!$A$1:$I$89,3,0)*VLOOKUP('Données projet'!$B$18,Paramètres!$A$1:$I$89,5,0)</f>
        <v>-3.39923644787632E-13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-18.333333333333343</v>
      </c>
      <c r="HA117" s="59">
        <f t="shared" si="106"/>
        <v>-18.333333333333343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0.75750950617575852</v>
      </c>
      <c r="HH117" s="21">
        <f>EXP(-LN(2)/25)*HH116+(1-EXP(-LN(2)/25))/(LN(2)/25)*Calculateur!HC117*Calculateur!HE117*VLOOKUP('Données projet'!$B$18,Paramètres!$A$1:$I$89,3,0)*0.475*44/12</f>
        <v>2.5327808920640411</v>
      </c>
      <c r="HI117" s="21">
        <f>EXP(-LN(2)/2)*HI116+(1-EXP(-LN(2)/2))/(LN(2)/2)*HC117*HF117*VLOOKUP('Données projet'!$B$18,Paramètres!$A$1:$I$89,3,0)*0.475*44/12</f>
        <v>7.9033573896164043E-12</v>
      </c>
      <c r="HJ117" s="22">
        <f t="shared" si="84"/>
        <v>3.290290398247703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376.11581547534814</v>
      </c>
      <c r="T118" s="59">
        <f t="shared" si="88"/>
        <v>300.91675649863294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0.58224629489240498</v>
      </c>
      <c r="AA118" s="21">
        <f>EXP(-LN(2)/25)*AA117+(1-EXP(-LN(2)/25))/(LN(2)/25)*Calculateur!V118*Calculateur!X118*VLOOKUP('Données projet'!$B$9,Paramètres!$A$1:$I$89,3,0)*0.475*44/12</f>
        <v>0.7441660911862148</v>
      </c>
      <c r="AB118" s="21">
        <f>EXP(-LN(2)/2)*AB117+(1-EXP(-LN(2)/2))/(LN(2)/2)*V118*Y118*VLOOKUP('Données projet'!$B$9,Paramètres!$A$1:$I$89,3,0)*0.475*44/12</f>
        <v>1.5807924371620577E-12</v>
      </c>
      <c r="AC118" s="22">
        <f t="shared" si="57"/>
        <v>1.3264123860802004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5.4</v>
      </c>
      <c r="AI118" s="13">
        <f>IF('Données projet'!$A$62&gt;35,AI117+AH118-AQ117,IF(A118&lt;'Données projet'!$A$62,$AF$205^A118,IF(A118='Données projet'!$A$62,'Données projet'!$B$62,AI117+AH118-AQ117)))</f>
        <v>333.99999999999955</v>
      </c>
      <c r="AJ118" s="13">
        <f>AI118*VLOOKUP('Données projet'!$B$10,Paramètres!$A$1:$I$89,3,0)*VLOOKUP('Données projet'!$B$10,Paramètres!$A$1:$I$89,5,0)</f>
        <v>302.20319999999958</v>
      </c>
      <c r="AK118" s="13">
        <f t="shared" si="89"/>
        <v>71.638141943842172</v>
      </c>
      <c r="AL118" s="20">
        <f t="shared" si="58"/>
        <v>651.10700388552448</v>
      </c>
      <c r="AM118" s="59">
        <f t="shared" si="59"/>
        <v>932.18870942862168</v>
      </c>
      <c r="AN118" s="59">
        <f ca="1">AVERAGE(OFFSET($AM$3,0,0,'Données projet'!$E$10+1,1))-AVERAGE(OFFSET($H$3,0,0,'Données projet'!$E$10+1,1))</f>
        <v>505.38595282220405</v>
      </c>
      <c r="AO118" s="59">
        <f t="shared" si="90"/>
        <v>351.72130415456365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0.44738697723340609</v>
      </c>
      <c r="AV118" s="21">
        <f>EXP(-LN(2)/25)*AV117+(1-EXP(-LN(2)/25))/(LN(2)/25)*Calculateur!AQ118*Calculateur!AS118*VLOOKUP('Données projet'!$B$10,Paramètres!$A$1:$I$89,3,0)*0.475*44/12</f>
        <v>1.068847172911312</v>
      </c>
      <c r="AW118" s="21">
        <f>EXP(-LN(2)/2)*AW117+(1-EXP(-LN(2)/2))/(LN(2)/2)*AQ118*AT118*VLOOKUP('Données projet'!$B$10,Paramètres!$A$1:$I$89,3,0)*0.475*44/12</f>
        <v>3.4652909085180505E-12</v>
      </c>
      <c r="AX118" s="21">
        <f t="shared" si="60"/>
        <v>1.5162341501481833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-4.0702161641092972E-13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394.14657090341535</v>
      </c>
      <c r="BJ118" s="59">
        <f t="shared" si="92"/>
        <v>424.06445894109982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0.606098135255562</v>
      </c>
      <c r="BQ118" s="21">
        <f>EXP(-LN(2)/25)*BQ117+(1-EXP(-LN(2)/25))/(LN(2)/25)*Calculateur!BL118*Calculateur!BN118*VLOOKUP('Données projet'!$B$11,Paramètres!$A$1:$I$89,3,0)*0.475*44/12</f>
        <v>1.9438688617616697</v>
      </c>
      <c r="BR118" s="21">
        <f>EXP(-LN(2)/2)*BR117+(1-EXP(-LN(2)/2))/(LN(2)/2)*BL118*BO118*VLOOKUP('Données projet'!$B$11,Paramètres!$A$1:$I$89,3,0)*0.475*44/12</f>
        <v>3.8649350547758257E-12</v>
      </c>
      <c r="BS118" s="22">
        <f t="shared" si="63"/>
        <v>2.5499669970210967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5.6843418860808015E-13</v>
      </c>
      <c r="BZ118" s="13">
        <f>BY118*VLOOKUP('Données projet'!$B$12,Paramètres!$A$1:$I$89,3,0)*VLOOKUP('Données projet'!$B$12,Paramètres!$A$1:$I$89,5,0)</f>
        <v>3.1036506698001181E-13</v>
      </c>
      <c r="CA118" s="13">
        <f t="shared" si="93"/>
        <v>4.086682523110923E-12</v>
      </c>
      <c r="CB118" s="20">
        <f t="shared" si="64"/>
        <v>7.6581912194083782E-12</v>
      </c>
      <c r="CC118" s="59">
        <f t="shared" si="65"/>
        <v>281.08170554310493</v>
      </c>
      <c r="CD118" s="59">
        <f ca="1">AVERAGE(OFFSET($CC$3,0,0,'Données projet'!$E$12+1,1))-AVERAGE(OFFSET($H$3,0,0,'Données projet'!$E$12+1,1))</f>
        <v>382.09004346384319</v>
      </c>
      <c r="CE118" s="59">
        <f t="shared" si="94"/>
        <v>410.18893995284986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1.5821784840411544</v>
      </c>
      <c r="CL118" s="21">
        <f>EXP(-LN(2)/25)*CL117+(1-EXP(-LN(2)/25))/(LN(2)/25)*Calculateur!CG118*Calculateur!CI118*VLOOKUP('Données projet'!$B$12,Paramètres!$A$1:$I$89,3,0)*0.475*44/12</f>
        <v>3.2244728748624714</v>
      </c>
      <c r="CM118" s="21">
        <f>EXP(-LN(2)/2)*CM117+(1-EXP(-LN(2)/2))/(LN(2)/2)*CG118*CJ118*VLOOKUP('Données projet'!$B$12,Paramètres!$A$1:$I$89,3,0)*0.475*44/12</f>
        <v>4.0487667030336369E-12</v>
      </c>
      <c r="CN118" s="22">
        <f t="shared" si="66"/>
        <v>4.8066513589076747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363.02374534486341</v>
      </c>
      <c r="CZ118" s="59">
        <f t="shared" si="96"/>
        <v>489.00477393029598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1.3575880688461983</v>
      </c>
      <c r="DG118" s="21">
        <f>EXP(-LN(2)/25)*DG117+(1-EXP(-LN(2)/25))/(LN(2)/25)*Calculateur!DB118*Calculateur!DD118*VLOOKUP('Données projet'!$B$13,Paramètres!$A$1:$I$89,3,0)*0.475*44/12</f>
        <v>1.8342471060911183</v>
      </c>
      <c r="DH118" s="21">
        <f>EXP(-LN(2)/2)*DH117+(1-EXP(-LN(2)/2))/(LN(2)/2)*DB118*DE118*VLOOKUP('Données projet'!$B$13,Paramètres!$A$1:$I$89,3,0)*0.475*44/12</f>
        <v>4.713181694500781E-12</v>
      </c>
      <c r="DI118" s="22">
        <f t="shared" si="69"/>
        <v>3.1918351749420295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>
        <f>DO118*VLOOKUP('Données projet'!$B$14,Paramètres!$A$1:$I$89,3,0)*VLOOKUP('Données projet'!$B$14,Paramètres!$A$1:$I$89,5,0)</f>
        <v>-3.7509835237869992E-13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368.03281986807173</v>
      </c>
      <c r="DU118" s="59">
        <f t="shared" si="98"/>
        <v>395.83504504492248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0.45317215366314889</v>
      </c>
      <c r="EB118" s="21">
        <f>EXP(-LN(2)/25)*EB117+(1-EXP(-LN(2)/25))/(LN(2)/25)*Calculateur!DW118*Calculateur!DY118*VLOOKUP('Données projet'!$B$14,Paramètres!$A$1:$I$89,3,0)*0.475*44/12</f>
        <v>1.4534069439956867</v>
      </c>
      <c r="EC118" s="21">
        <f>EXP(-LN(2)/2)*EC117+(1-EXP(-LN(2)/2))/(LN(2)/2)*DW118*DZ118*VLOOKUP('Données projet'!$B$14,Paramètres!$A$1:$I$89,3,0)*0.475*44/12</f>
        <v>3.5618028936169611E-12</v>
      </c>
      <c r="ED118" s="22">
        <f t="shared" si="72"/>
        <v>1.9065790976623973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225.2264820414552</v>
      </c>
      <c r="EP118" s="59">
        <f t="shared" si="100"/>
        <v>249.91838548328681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0.41093290112433706</v>
      </c>
      <c r="EW118" s="21">
        <f>EXP(-LN(2)/25)*EW117+(1-EXP(-LN(2)/25))/(LN(2)/25)*Calculateur!ER118*Calculateur!ET118*VLOOKUP('Données projet'!$B$15,Paramètres!$A$1:$I$89,3,0)*0.475*44/12</f>
        <v>0.81996374673254169</v>
      </c>
      <c r="EX118" s="21">
        <f>EXP(-LN(2)/2)*EX117+(1-EXP(-LN(2)/2))/(LN(2)/2)*ER118*EU118*VLOOKUP('Données projet'!$B$15,Paramètres!$A$1:$I$89,3,0)*0.475*44/12</f>
        <v>6.5042888114775671E-13</v>
      </c>
      <c r="EY118" s="22">
        <f t="shared" si="75"/>
        <v>1.2308966478575292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-1.2505552149377763E-12</v>
      </c>
      <c r="FF118" s="17">
        <f>FE118*VLOOKUP('Données projet'!$B$16,Paramètres!$A$1:$I$89,3,0)*VLOOKUP('Données projet'!$B$16,Paramètres!$A$1:$I$89,5,0)</f>
        <v>-6.9906036515021697E-13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549.85684198202534</v>
      </c>
      <c r="FK118" s="59">
        <f t="shared" si="102"/>
        <v>539.63748606275431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2.1212313575721882</v>
      </c>
      <c r="FR118" s="21">
        <f>EXP(-LN(2)/25)*FR117+(1-EXP(-LN(2)/25))/(LN(2)/25)*Calculateur!FM118*Calculateur!FO118*VLOOKUP('Données projet'!$B$16,Paramètres!$A$1:$I$89,3,0)*0.475*44/12</f>
        <v>3.6717675002776837</v>
      </c>
      <c r="FS118" s="21">
        <f>EXP(-LN(2)/2)*FS117+(1-EXP(-LN(2)/2))/(LN(2)/2)*FM118*FP118*VLOOKUP('Données projet'!$B$16,Paramètres!$A$1:$I$89,3,0)*0.475*44/12</f>
        <v>5.8638583368164357E-12</v>
      </c>
      <c r="FT118" s="22">
        <f t="shared" si="78"/>
        <v>5.7929988578557357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-5.6843418860808015E-13</v>
      </c>
      <c r="GA118" s="17">
        <f>FZ118*VLOOKUP('Données projet'!$B$17,Paramètres!$A$1:$I$89,3,0)*VLOOKUP('Données projet'!$B$17,Paramètres!$A$1:$I$89,5,0)</f>
        <v>-3.39923644787632E-13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495.6641415122013</v>
      </c>
      <c r="GF118" s="59">
        <f t="shared" si="104"/>
        <v>488.90534169400757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0.74265520679482844</v>
      </c>
      <c r="GM118" s="21">
        <f>EXP(-LN(2)/25)*GM117+(1-EXP(-LN(2)/25))/(LN(2)/25)*Calculateur!GH118*Calculateur!GJ118*VLOOKUP('Données projet'!$B$17,Paramètres!$A$1:$I$89,3,0)*0.475*44/12</f>
        <v>2.4635218653773916</v>
      </c>
      <c r="GN118" s="21">
        <f>EXP(-LN(2)/2)*GN117+(1-EXP(-LN(2)/2))/(LN(2)/2)*GH118*GK118*VLOOKUP('Données projet'!$B$17,Paramètres!$A$1:$I$89,3,0)*0.475*44/12</f>
        <v>5.5885176043385703E-12</v>
      </c>
      <c r="GO118" s="21">
        <f t="shared" si="81"/>
        <v>3.2061770721778085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-5.6843418860808015E-13</v>
      </c>
      <c r="GV118" s="17">
        <f>GU118*VLOOKUP('Données projet'!$B$18,Paramètres!$A$1:$I$89,3,0)*VLOOKUP('Données projet'!$B$18,Paramètres!$A$1:$I$89,5,0)</f>
        <v>-3.39923644787632E-13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-18.333333333333343</v>
      </c>
      <c r="HA118" s="59">
        <f t="shared" si="106"/>
        <v>-18.333333333333343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0.74265520679482844</v>
      </c>
      <c r="HH118" s="21">
        <f>EXP(-LN(2)/25)*HH117+(1-EXP(-LN(2)/25))/(LN(2)/25)*Calculateur!HC118*Calculateur!HE118*VLOOKUP('Données projet'!$B$18,Paramètres!$A$1:$I$89,3,0)*0.475*44/12</f>
        <v>2.4635218653773916</v>
      </c>
      <c r="HI118" s="21">
        <f>EXP(-LN(2)/2)*HI117+(1-EXP(-LN(2)/2))/(LN(2)/2)*HC118*HF118*VLOOKUP('Données projet'!$B$18,Paramètres!$A$1:$I$89,3,0)*0.475*44/12</f>
        <v>5.5885176043385703E-12</v>
      </c>
      <c r="HJ118" s="22">
        <f t="shared" si="84"/>
        <v>3.2061770721778085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376.11581547534814</v>
      </c>
      <c r="T119" s="59">
        <f t="shared" si="88"/>
        <v>300.91675649863294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0.57082880018473814</v>
      </c>
      <c r="AA119" s="21">
        <f>EXP(-LN(2)/25)*AA118+(1-EXP(-LN(2)/25))/(LN(2)/25)*Calculateur!V119*Calculateur!X119*VLOOKUP('Données projet'!$B$9,Paramètres!$A$1:$I$89,3,0)*0.475*44/12</f>
        <v>0.72381683028873378</v>
      </c>
      <c r="AB119" s="21">
        <f>EXP(-LN(2)/2)*AB118+(1-EXP(-LN(2)/2))/(LN(2)/2)*V119*Y119*VLOOKUP('Données projet'!$B$9,Paramètres!$A$1:$I$89,3,0)*0.475*44/12</f>
        <v>1.1177890519657003E-12</v>
      </c>
      <c r="AC119" s="22">
        <f t="shared" si="57"/>
        <v>1.2946456304745897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5.4</v>
      </c>
      <c r="AI119" s="13">
        <f>IF('Données projet'!$A$62&gt;35,AI118+AH119-AQ118,IF(A119&lt;'Données projet'!$A$62,$AF$205^A119,IF(A119='Données projet'!$A$62,'Données projet'!$B$62,AI118+AH119-AQ118)))</f>
        <v>339.39999999999952</v>
      </c>
      <c r="AJ119" s="13">
        <f>AI119*VLOOKUP('Données projet'!$B$10,Paramètres!$A$1:$I$89,3,0)*VLOOKUP('Données projet'!$B$10,Paramètres!$A$1:$I$89,5,0)</f>
        <v>307.08911999999958</v>
      </c>
      <c r="AK119" s="13">
        <f t="shared" si="89"/>
        <v>72.660589186887549</v>
      </c>
      <c r="AL119" s="20">
        <f t="shared" si="58"/>
        <v>661.39741016716164</v>
      </c>
      <c r="AM119" s="59">
        <f t="shared" si="59"/>
        <v>942.69165406188313</v>
      </c>
      <c r="AN119" s="59">
        <f ca="1">AVERAGE(OFFSET($AM$3,0,0,'Données projet'!$E$10+1,1))-AVERAGE(OFFSET($H$3,0,0,'Données projet'!$E$10+1,1))</f>
        <v>505.38595282220405</v>
      </c>
      <c r="AO119" s="59">
        <f t="shared" si="90"/>
        <v>351.72130415456365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0.43861399148897051</v>
      </c>
      <c r="AV119" s="21">
        <f>EXP(-LN(2)/25)*AV118+(1-EXP(-LN(2)/25))/(LN(2)/25)*Calculateur!AQ119*Calculateur!AS119*VLOOKUP('Données projet'!$B$10,Paramètres!$A$1:$I$89,3,0)*0.475*44/12</f>
        <v>1.0396194907598222</v>
      </c>
      <c r="AW119" s="21">
        <f>EXP(-LN(2)/2)*AW118+(1-EXP(-LN(2)/2))/(LN(2)/2)*AQ119*AT119*VLOOKUP('Données projet'!$B$10,Paramètres!$A$1:$I$89,3,0)*0.475*44/12</f>
        <v>2.4503307001972056E-12</v>
      </c>
      <c r="AX119" s="21">
        <f t="shared" si="60"/>
        <v>1.4782334822512431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-4.0702161641092972E-13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394.14657090341535</v>
      </c>
      <c r="BJ119" s="59">
        <f t="shared" si="92"/>
        <v>424.06445894109982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0.59421292050655972</v>
      </c>
      <c r="BQ119" s="21">
        <f>EXP(-LN(2)/25)*BQ118+(1-EXP(-LN(2)/25))/(LN(2)/25)*Calculateur!BL119*Calculateur!BN119*VLOOKUP('Données projet'!$B$11,Paramètres!$A$1:$I$89,3,0)*0.475*44/12</f>
        <v>1.8907136655131762</v>
      </c>
      <c r="BR119" s="21">
        <f>EXP(-LN(2)/2)*BR118+(1-EXP(-LN(2)/2))/(LN(2)/2)*BL119*BO119*VLOOKUP('Données projet'!$B$11,Paramètres!$A$1:$I$89,3,0)*0.475*44/12</f>
        <v>2.7329217860775869E-12</v>
      </c>
      <c r="BS119" s="22">
        <f t="shared" si="63"/>
        <v>2.484926586022469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5.6843418860808015E-13</v>
      </c>
      <c r="BZ119" s="13">
        <f>BY119*VLOOKUP('Données projet'!$B$12,Paramètres!$A$1:$I$89,3,0)*VLOOKUP('Données projet'!$B$12,Paramètres!$A$1:$I$89,5,0)</f>
        <v>3.1036506698001181E-13</v>
      </c>
      <c r="CA119" s="13">
        <f t="shared" si="93"/>
        <v>4.086682523110923E-12</v>
      </c>
      <c r="CB119" s="20">
        <f t="shared" si="64"/>
        <v>7.6581912194083782E-12</v>
      </c>
      <c r="CC119" s="59">
        <f t="shared" si="65"/>
        <v>281.29424389472916</v>
      </c>
      <c r="CD119" s="59">
        <f ca="1">AVERAGE(OFFSET($CC$3,0,0,'Données projet'!$E$12+1,1))-AVERAGE(OFFSET($H$3,0,0,'Données projet'!$E$12+1,1))</f>
        <v>382.09004346384319</v>
      </c>
      <c r="CE119" s="59">
        <f t="shared" si="94"/>
        <v>410.18893995284986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1.5511529290026935</v>
      </c>
      <c r="CL119" s="21">
        <f>EXP(-LN(2)/25)*CL118+(1-EXP(-LN(2)/25))/(LN(2)/25)*Calculateur!CG119*Calculateur!CI119*VLOOKUP('Données projet'!$B$12,Paramètres!$A$1:$I$89,3,0)*0.475*44/12</f>
        <v>3.1362994945316984</v>
      </c>
      <c r="CM119" s="21">
        <f>EXP(-LN(2)/2)*CM118+(1-EXP(-LN(2)/2))/(LN(2)/2)*CG119*CJ119*VLOOKUP('Données projet'!$B$12,Paramètres!$A$1:$I$89,3,0)*0.475*44/12</f>
        <v>2.8629103911573853E-12</v>
      </c>
      <c r="CN119" s="22">
        <f t="shared" si="66"/>
        <v>4.6874524235372546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363.02374534486341</v>
      </c>
      <c r="CZ119" s="59">
        <f t="shared" si="96"/>
        <v>489.00477393029598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1.3309665948630836</v>
      </c>
      <c r="DG119" s="21">
        <f>EXP(-LN(2)/25)*DG118+(1-EXP(-LN(2)/25))/(LN(2)/25)*Calculateur!DB119*Calculateur!DD119*VLOOKUP('Données projet'!$B$13,Paramètres!$A$1:$I$89,3,0)*0.475*44/12</f>
        <v>1.7840895225161937</v>
      </c>
      <c r="DH119" s="21">
        <f>EXP(-LN(2)/2)*DH118+(1-EXP(-LN(2)/2))/(LN(2)/2)*DB119*DE119*VLOOKUP('Données projet'!$B$13,Paramètres!$A$1:$I$89,3,0)*0.475*44/12</f>
        <v>3.3327227371458051E-12</v>
      </c>
      <c r="DI119" s="22">
        <f t="shared" si="69"/>
        <v>3.1150561173826099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>
        <f>DO119*VLOOKUP('Données projet'!$B$14,Paramètres!$A$1:$I$89,3,0)*VLOOKUP('Données projet'!$B$14,Paramètres!$A$1:$I$89,5,0)</f>
        <v>-3.7509835237869992E-13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368.03281986807173</v>
      </c>
      <c r="DU119" s="59">
        <f t="shared" si="98"/>
        <v>395.83504504492248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0.44428572413753525</v>
      </c>
      <c r="EB119" s="21">
        <f>EXP(-LN(2)/25)*EB118+(1-EXP(-LN(2)/25))/(LN(2)/25)*Calculateur!DW119*Calculateur!DY119*VLOOKUP('Données projet'!$B$14,Paramètres!$A$1:$I$89,3,0)*0.475*44/12</f>
        <v>1.4136634546807754</v>
      </c>
      <c r="EC119" s="21">
        <f>EXP(-LN(2)/2)*EC118+(1-EXP(-LN(2)/2))/(LN(2)/2)*DW119*DZ119*VLOOKUP('Données projet'!$B$14,Paramètres!$A$1:$I$89,3,0)*0.475*44/12</f>
        <v>2.5185749793264207E-12</v>
      </c>
      <c r="ED119" s="22">
        <f t="shared" si="72"/>
        <v>1.8579491788208293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225.2264820414552</v>
      </c>
      <c r="EP119" s="59">
        <f t="shared" si="100"/>
        <v>249.91838548328681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0.40287475757760943</v>
      </c>
      <c r="EW119" s="21">
        <f>EXP(-LN(2)/25)*EW118+(1-EXP(-LN(2)/25))/(LN(2)/25)*Calculateur!ER119*Calculateur!ET119*VLOOKUP('Données projet'!$B$15,Paramètres!$A$1:$I$89,3,0)*0.475*44/12</f>
        <v>0.79754179495812094</v>
      </c>
      <c r="EX119" s="21">
        <f>EXP(-LN(2)/2)*EX118+(1-EXP(-LN(2)/2))/(LN(2)/2)*ER119*EU119*VLOOKUP('Données projet'!$B$15,Paramètres!$A$1:$I$89,3,0)*0.475*44/12</f>
        <v>4.5992267253915772E-13</v>
      </c>
      <c r="EY119" s="22">
        <f t="shared" si="75"/>
        <v>1.2004165525361903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-1.2505552149377763E-12</v>
      </c>
      <c r="FF119" s="17">
        <f>FE119*VLOOKUP('Données projet'!$B$16,Paramètres!$A$1:$I$89,3,0)*VLOOKUP('Données projet'!$B$16,Paramètres!$A$1:$I$89,5,0)</f>
        <v>-6.9906036515021697E-13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549.85684198202534</v>
      </c>
      <c r="FK119" s="59">
        <f t="shared" si="102"/>
        <v>539.63748606275431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2.0796353044735714</v>
      </c>
      <c r="FR119" s="21">
        <f>EXP(-LN(2)/25)*FR118+(1-EXP(-LN(2)/25))/(LN(2)/25)*Calculateur!FM119*Calculateur!FO119*VLOOKUP('Données projet'!$B$16,Paramètres!$A$1:$I$89,3,0)*0.475*44/12</f>
        <v>3.5713628248927294</v>
      </c>
      <c r="FS119" s="21">
        <f>EXP(-LN(2)/2)*FS118+(1-EXP(-LN(2)/2))/(LN(2)/2)*FM119*FP119*VLOOKUP('Données projet'!$B$16,Paramètres!$A$1:$I$89,3,0)*0.475*44/12</f>
        <v>4.1463739938801718E-12</v>
      </c>
      <c r="FT119" s="22">
        <f t="shared" si="78"/>
        <v>5.6509981293704463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-5.6843418860808015E-13</v>
      </c>
      <c r="GA119" s="17">
        <f>FZ119*VLOOKUP('Données projet'!$B$17,Paramètres!$A$1:$I$89,3,0)*VLOOKUP('Données projet'!$B$17,Paramètres!$A$1:$I$89,5,0)</f>
        <v>-3.39923644787632E-13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495.6641415122013</v>
      </c>
      <c r="GF119" s="59">
        <f t="shared" si="104"/>
        <v>488.90534169400757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0.72809219116453039</v>
      </c>
      <c r="GM119" s="21">
        <f>EXP(-LN(2)/25)*GM118+(1-EXP(-LN(2)/25))/(LN(2)/25)*Calculateur!GH119*Calculateur!GJ119*VLOOKUP('Données projet'!$B$17,Paramètres!$A$1:$I$89,3,0)*0.475*44/12</f>
        <v>2.3961567304176623</v>
      </c>
      <c r="GN119" s="21">
        <f>EXP(-LN(2)/2)*GN118+(1-EXP(-LN(2)/2))/(LN(2)/2)*GH119*GK119*VLOOKUP('Données projet'!$B$17,Paramètres!$A$1:$I$89,3,0)*0.475*44/12</f>
        <v>3.9516786948082021E-12</v>
      </c>
      <c r="GO119" s="21">
        <f t="shared" si="81"/>
        <v>3.124248921586144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-5.6843418860808015E-13</v>
      </c>
      <c r="GV119" s="17">
        <f>GU119*VLOOKUP('Données projet'!$B$18,Paramètres!$A$1:$I$89,3,0)*VLOOKUP('Données projet'!$B$18,Paramètres!$A$1:$I$89,5,0)</f>
        <v>-3.39923644787632E-13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-18.333333333333343</v>
      </c>
      <c r="HA119" s="59">
        <f t="shared" si="106"/>
        <v>-18.333333333333343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0.72809219116453039</v>
      </c>
      <c r="HH119" s="21">
        <f>EXP(-LN(2)/25)*HH118+(1-EXP(-LN(2)/25))/(LN(2)/25)*Calculateur!HC119*Calculateur!HE119*VLOOKUP('Données projet'!$B$18,Paramètres!$A$1:$I$89,3,0)*0.475*44/12</f>
        <v>2.3961567304176623</v>
      </c>
      <c r="HI119" s="21">
        <f>EXP(-LN(2)/2)*HI118+(1-EXP(-LN(2)/2))/(LN(2)/2)*HC119*HF119*VLOOKUP('Données projet'!$B$18,Paramètres!$A$1:$I$89,3,0)*0.475*44/12</f>
        <v>3.9516786948082021E-12</v>
      </c>
      <c r="HJ119" s="22">
        <f t="shared" si="84"/>
        <v>3.124248921586144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376.11581547534814</v>
      </c>
      <c r="T120" s="59">
        <f t="shared" si="88"/>
        <v>300.91675649863294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0.55963519558430452</v>
      </c>
      <c r="AA120" s="21">
        <f>EXP(-LN(2)/25)*AA119+(1-EXP(-LN(2)/25))/(LN(2)/25)*Calculateur!V120*Calculateur!X120*VLOOKUP('Données projet'!$B$9,Paramètres!$A$1:$I$89,3,0)*0.475*44/12</f>
        <v>0.70402402100061556</v>
      </c>
      <c r="AB120" s="21">
        <f>EXP(-LN(2)/2)*AB119+(1-EXP(-LN(2)/2))/(LN(2)/2)*V120*Y120*VLOOKUP('Données projet'!$B$9,Paramètres!$A$1:$I$89,3,0)*0.475*44/12</f>
        <v>7.9039621858102885E-13</v>
      </c>
      <c r="AC120" s="22">
        <f t="shared" si="57"/>
        <v>1.2636592165857106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5.4</v>
      </c>
      <c r="AI120" s="13">
        <f>IF('Données projet'!$A$62&gt;35,AI119+AH120-AQ119,IF(A120&lt;'Données projet'!$A$62,$AF$205^A120,IF(A120='Données projet'!$A$62,'Données projet'!$B$62,AI119+AH120-AQ119)))</f>
        <v>344.7999999999995</v>
      </c>
      <c r="AJ120" s="13">
        <f>AI120*VLOOKUP('Données projet'!$B$10,Paramètres!$A$1:$I$89,3,0)*VLOOKUP('Données projet'!$B$10,Paramètres!$A$1:$I$89,5,0)</f>
        <v>311.97503999999952</v>
      </c>
      <c r="AK120" s="13">
        <f t="shared" si="89"/>
        <v>73.681144552074542</v>
      </c>
      <c r="AL120" s="20">
        <f t="shared" si="58"/>
        <v>671.68452142819569</v>
      </c>
      <c r="AM120" s="59">
        <f t="shared" si="59"/>
        <v>953.18761660930534</v>
      </c>
      <c r="AN120" s="59">
        <f ca="1">AVERAGE(OFFSET($AM$3,0,0,'Données projet'!$E$10+1,1))-AVERAGE(OFFSET($H$3,0,0,'Données projet'!$E$10+1,1))</f>
        <v>505.38595282220405</v>
      </c>
      <c r="AO120" s="59">
        <f t="shared" si="90"/>
        <v>351.72130415456365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0.43001303864399038</v>
      </c>
      <c r="AV120" s="21">
        <f>EXP(-LN(2)/25)*AV119+(1-EXP(-LN(2)/25))/(LN(2)/25)*Calculateur!AQ120*Calculateur!AS120*VLOOKUP('Données projet'!$B$10,Paramètres!$A$1:$I$89,3,0)*0.475*44/12</f>
        <v>1.0111910411137819</v>
      </c>
      <c r="AW120" s="21">
        <f>EXP(-LN(2)/2)*AW119+(1-EXP(-LN(2)/2))/(LN(2)/2)*AQ120*AT120*VLOOKUP('Données projet'!$B$10,Paramètres!$A$1:$I$89,3,0)*0.475*44/12</f>
        <v>1.7326454542590252E-12</v>
      </c>
      <c r="AX120" s="21">
        <f t="shared" si="60"/>
        <v>1.4412040797595049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-4.0702161641092972E-13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394.14657090341535</v>
      </c>
      <c r="BJ120" s="59">
        <f t="shared" si="92"/>
        <v>424.06445894109982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0.58256076756952024</v>
      </c>
      <c r="BQ120" s="21">
        <f>EXP(-LN(2)/25)*BQ119+(1-EXP(-LN(2)/25))/(LN(2)/25)*Calculateur!BL120*Calculateur!BN120*VLOOKUP('Données projet'!$B$11,Paramètres!$A$1:$I$89,3,0)*0.475*44/12</f>
        <v>1.8390120009014079</v>
      </c>
      <c r="BR120" s="21">
        <f>EXP(-LN(2)/2)*BR119+(1-EXP(-LN(2)/2))/(LN(2)/2)*BL120*BO120*VLOOKUP('Données projet'!$B$11,Paramètres!$A$1:$I$89,3,0)*0.475*44/12</f>
        <v>1.9324675273879128E-12</v>
      </c>
      <c r="BS120" s="22">
        <f t="shared" si="63"/>
        <v>2.4215727684728607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5.6843418860808015E-13</v>
      </c>
      <c r="BZ120" s="13">
        <f>BY120*VLOOKUP('Données projet'!$B$12,Paramètres!$A$1:$I$89,3,0)*VLOOKUP('Données projet'!$B$12,Paramètres!$A$1:$I$89,5,0)</f>
        <v>3.1036506698001181E-13</v>
      </c>
      <c r="CA120" s="13">
        <f t="shared" si="93"/>
        <v>4.086682523110923E-12</v>
      </c>
      <c r="CB120" s="20">
        <f t="shared" si="64"/>
        <v>7.6581912194083782E-12</v>
      </c>
      <c r="CC120" s="59">
        <f t="shared" si="65"/>
        <v>281.50309518111732</v>
      </c>
      <c r="CD120" s="59">
        <f ca="1">AVERAGE(OFFSET($CC$3,0,0,'Données projet'!$E$12+1,1))-AVERAGE(OFFSET($H$3,0,0,'Données projet'!$E$12+1,1))</f>
        <v>382.09004346384319</v>
      </c>
      <c r="CE120" s="59">
        <f t="shared" si="94"/>
        <v>410.18893995284986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1.5207357661748169</v>
      </c>
      <c r="CL120" s="21">
        <f>EXP(-LN(2)/25)*CL119+(1-EXP(-LN(2)/25))/(LN(2)/25)*Calculateur!CG120*Calculateur!CI120*VLOOKUP('Données projet'!$B$12,Paramètres!$A$1:$I$89,3,0)*0.475*44/12</f>
        <v>3.0505372199229068</v>
      </c>
      <c r="CM120" s="21">
        <f>EXP(-LN(2)/2)*CM119+(1-EXP(-LN(2)/2))/(LN(2)/2)*CG120*CJ120*VLOOKUP('Données projet'!$B$12,Paramètres!$A$1:$I$89,3,0)*0.475*44/12</f>
        <v>2.0243833515168184E-12</v>
      </c>
      <c r="CN120" s="22">
        <f t="shared" si="66"/>
        <v>4.5712729860997481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363.02374534486341</v>
      </c>
      <c r="CZ120" s="59">
        <f t="shared" si="96"/>
        <v>489.00477393029598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1.3048671517472819</v>
      </c>
      <c r="DG120" s="21">
        <f>EXP(-LN(2)/25)*DG119+(1-EXP(-LN(2)/25))/(LN(2)/25)*Calculateur!DB120*Calculateur!DD120*VLOOKUP('Données projet'!$B$13,Paramètres!$A$1:$I$89,3,0)*0.475*44/12</f>
        <v>1.7353035007017981</v>
      </c>
      <c r="DH120" s="21">
        <f>EXP(-LN(2)/2)*DH119+(1-EXP(-LN(2)/2))/(LN(2)/2)*DB120*DE120*VLOOKUP('Données projet'!$B$13,Paramètres!$A$1:$I$89,3,0)*0.475*44/12</f>
        <v>2.3565908472503905E-12</v>
      </c>
      <c r="DI120" s="22">
        <f t="shared" si="69"/>
        <v>3.0401706524514367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>
        <f>DO120*VLOOKUP('Données projet'!$B$14,Paramètres!$A$1:$I$89,3,0)*VLOOKUP('Données projet'!$B$14,Paramètres!$A$1:$I$89,5,0)</f>
        <v>-3.7509835237869992E-13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368.03281986807173</v>
      </c>
      <c r="DU120" s="59">
        <f t="shared" si="98"/>
        <v>395.83504504492248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0.43557355207473214</v>
      </c>
      <c r="EB120" s="21">
        <f>EXP(-LN(2)/25)*EB119+(1-EXP(-LN(2)/25))/(LN(2)/25)*Calculateur!DW120*Calculateur!DY120*VLOOKUP('Données projet'!$B$14,Paramètres!$A$1:$I$89,3,0)*0.475*44/12</f>
        <v>1.3750067531711994</v>
      </c>
      <c r="EC120" s="21">
        <f>EXP(-LN(2)/2)*EC119+(1-EXP(-LN(2)/2))/(LN(2)/2)*DW120*DZ120*VLOOKUP('Données projet'!$B$14,Paramètres!$A$1:$I$89,3,0)*0.475*44/12</f>
        <v>1.780901446808481E-12</v>
      </c>
      <c r="ED120" s="22">
        <f t="shared" si="72"/>
        <v>1.8105803052477123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225.2264820414552</v>
      </c>
      <c r="EP120" s="59">
        <f t="shared" si="100"/>
        <v>249.91838548328681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0.39497462931085087</v>
      </c>
      <c r="EW120" s="21">
        <f>EXP(-LN(2)/25)*EW119+(1-EXP(-LN(2)/25))/(LN(2)/25)*Calculateur!ER120*Calculateur!ET120*VLOOKUP('Données projet'!$B$15,Paramètres!$A$1:$I$89,3,0)*0.475*44/12</f>
        <v>0.77573297263409091</v>
      </c>
      <c r="EX120" s="21">
        <f>EXP(-LN(2)/2)*EX119+(1-EXP(-LN(2)/2))/(LN(2)/2)*ER120*EU120*VLOOKUP('Données projet'!$B$15,Paramètres!$A$1:$I$89,3,0)*0.475*44/12</f>
        <v>3.2521444057387835E-13</v>
      </c>
      <c r="EY120" s="22">
        <f t="shared" si="75"/>
        <v>1.1707076019452671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-1.2505552149377763E-12</v>
      </c>
      <c r="FF120" s="17">
        <f>FE120*VLOOKUP('Données projet'!$B$16,Paramètres!$A$1:$I$89,3,0)*VLOOKUP('Données projet'!$B$16,Paramètres!$A$1:$I$89,5,0)</f>
        <v>-6.9906036515021697E-13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549.85684198202534</v>
      </c>
      <c r="FK120" s="59">
        <f t="shared" si="102"/>
        <v>539.63748606275431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2.0388549246051313</v>
      </c>
      <c r="FR120" s="21">
        <f>EXP(-LN(2)/25)*FR119+(1-EXP(-LN(2)/25))/(LN(2)/25)*Calculateur!FM120*Calculateur!FO120*VLOOKUP('Données projet'!$B$16,Paramètres!$A$1:$I$89,3,0)*0.475*44/12</f>
        <v>3.4737037206362293</v>
      </c>
      <c r="FS120" s="21">
        <f>EXP(-LN(2)/2)*FS119+(1-EXP(-LN(2)/2))/(LN(2)/2)*FM120*FP120*VLOOKUP('Données projet'!$B$16,Paramètres!$A$1:$I$89,3,0)*0.475*44/12</f>
        <v>2.9319291684082178E-12</v>
      </c>
      <c r="FT120" s="22">
        <f t="shared" si="78"/>
        <v>5.512558645244293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-5.6843418860808015E-13</v>
      </c>
      <c r="GA120" s="17">
        <f>FZ120*VLOOKUP('Données projet'!$B$17,Paramètres!$A$1:$I$89,3,0)*VLOOKUP('Données projet'!$B$17,Paramètres!$A$1:$I$89,5,0)</f>
        <v>-3.39923644787632E-13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495.6641415122013</v>
      </c>
      <c r="GF120" s="59">
        <f t="shared" si="104"/>
        <v>488.90534169400757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0.71381474738818007</v>
      </c>
      <c r="GM120" s="21">
        <f>EXP(-LN(2)/25)*GM119+(1-EXP(-LN(2)/25))/(LN(2)/25)*Calculateur!GH120*Calculateur!GJ120*VLOOKUP('Données projet'!$B$17,Paramètres!$A$1:$I$89,3,0)*0.475*44/12</f>
        <v>2.3306336986159852</v>
      </c>
      <c r="GN120" s="21">
        <f>EXP(-LN(2)/2)*GN119+(1-EXP(-LN(2)/2))/(LN(2)/2)*GH120*GK120*VLOOKUP('Données projet'!$B$17,Paramètres!$A$1:$I$89,3,0)*0.475*44/12</f>
        <v>2.7942588021692852E-12</v>
      </c>
      <c r="GO120" s="21">
        <f t="shared" si="81"/>
        <v>3.0444484460069594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-5.6843418860808015E-13</v>
      </c>
      <c r="GV120" s="17">
        <f>GU120*VLOOKUP('Données projet'!$B$18,Paramètres!$A$1:$I$89,3,0)*VLOOKUP('Données projet'!$B$18,Paramètres!$A$1:$I$89,5,0)</f>
        <v>-3.39923644787632E-13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-18.333333333333343</v>
      </c>
      <c r="HA120" s="59">
        <f t="shared" si="106"/>
        <v>-18.333333333333343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0.71381474738818007</v>
      </c>
      <c r="HH120" s="21">
        <f>EXP(-LN(2)/25)*HH119+(1-EXP(-LN(2)/25))/(LN(2)/25)*Calculateur!HC120*Calculateur!HE120*VLOOKUP('Données projet'!$B$18,Paramètres!$A$1:$I$89,3,0)*0.475*44/12</f>
        <v>2.3306336986159852</v>
      </c>
      <c r="HI120" s="21">
        <f>EXP(-LN(2)/2)*HI119+(1-EXP(-LN(2)/2))/(LN(2)/2)*HC120*HF120*VLOOKUP('Données projet'!$B$18,Paramètres!$A$1:$I$89,3,0)*0.475*44/12</f>
        <v>2.7942588021692852E-12</v>
      </c>
      <c r="HJ120" s="22">
        <f t="shared" si="84"/>
        <v>3.0444484460069594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376.11581547534814</v>
      </c>
      <c r="T121" s="59">
        <f t="shared" si="88"/>
        <v>300.91675649863294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0.54866109074266067</v>
      </c>
      <c r="AA121" s="21">
        <f>EXP(-LN(2)/25)*AA120+(1-EXP(-LN(2)/25))/(LN(2)/25)*Calculateur!V121*Calculateur!X121*VLOOKUP('Données projet'!$B$9,Paramètres!$A$1:$I$89,3,0)*0.475*44/12</f>
        <v>0.68477244712333951</v>
      </c>
      <c r="AB121" s="21">
        <f>EXP(-LN(2)/2)*AB120+(1-EXP(-LN(2)/2))/(LN(2)/2)*V121*Y121*VLOOKUP('Données projet'!$B$9,Paramètres!$A$1:$I$89,3,0)*0.475*44/12</f>
        <v>5.5889452598285015E-13</v>
      </c>
      <c r="AC121" s="22">
        <f t="shared" si="57"/>
        <v>1.2334335378665591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5.4</v>
      </c>
      <c r="AI121" s="13">
        <f>IF('Données projet'!$A$62&gt;35,AI120+AH121-AQ120,IF(A121&lt;'Données projet'!$A$62,$AF$205^A121,IF(A121='Données projet'!$A$62,'Données projet'!$B$62,AI120+AH121-AQ120)))</f>
        <v>350.19999999999948</v>
      </c>
      <c r="AJ121" s="13">
        <f>AI121*VLOOKUP('Données projet'!$B$10,Paramètres!$A$1:$I$89,3,0)*VLOOKUP('Données projet'!$B$10,Paramètres!$A$1:$I$89,5,0)</f>
        <v>316.86095999999952</v>
      </c>
      <c r="AK121" s="13">
        <f t="shared" si="89"/>
        <v>74.699841090006444</v>
      </c>
      <c r="AL121" s="20">
        <f t="shared" si="58"/>
        <v>681.96839523176038</v>
      </c>
      <c r="AM121" s="59">
        <f t="shared" si="59"/>
        <v>963.67671859636084</v>
      </c>
      <c r="AN121" s="59">
        <f ca="1">AVERAGE(OFFSET($AM$3,0,0,'Données projet'!$E$10+1,1))-AVERAGE(OFFSET($H$3,0,0,'Données projet'!$E$10+1,1))</f>
        <v>505.38595282220405</v>
      </c>
      <c r="AO121" s="59">
        <f t="shared" si="90"/>
        <v>351.72130415456365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0.42158074523823708</v>
      </c>
      <c r="AV121" s="21">
        <f>EXP(-LN(2)/25)*AV120+(1-EXP(-LN(2)/25))/(LN(2)/25)*Calculateur!AQ121*Calculateur!AS121*VLOOKUP('Données projet'!$B$10,Paramètres!$A$1:$I$89,3,0)*0.475*44/12</f>
        <v>0.98353996891829976</v>
      </c>
      <c r="AW121" s="21">
        <f>EXP(-LN(2)/2)*AW120+(1-EXP(-LN(2)/2))/(LN(2)/2)*AQ121*AT121*VLOOKUP('Données projet'!$B$10,Paramètres!$A$1:$I$89,3,0)*0.475*44/12</f>
        <v>1.2251653500986028E-12</v>
      </c>
      <c r="AX121" s="21">
        <f t="shared" si="60"/>
        <v>1.405120714157762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-4.0702161641092972E-13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394.14657090341535</v>
      </c>
      <c r="BJ121" s="59">
        <f t="shared" si="92"/>
        <v>424.06445894109982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0.57113710624446457</v>
      </c>
      <c r="BQ121" s="21">
        <f>EXP(-LN(2)/25)*BQ120+(1-EXP(-LN(2)/25))/(LN(2)/25)*Calculateur!BL121*Calculateur!BN121*VLOOKUP('Données projet'!$B$11,Paramètres!$A$1:$I$89,3,0)*0.475*44/12</f>
        <v>1.7887241210273208</v>
      </c>
      <c r="BR121" s="21">
        <f>EXP(-LN(2)/2)*BR120+(1-EXP(-LN(2)/2))/(LN(2)/2)*BL121*BO121*VLOOKUP('Données projet'!$B$11,Paramètres!$A$1:$I$89,3,0)*0.475*44/12</f>
        <v>1.3664608930387934E-12</v>
      </c>
      <c r="BS121" s="22">
        <f t="shared" si="63"/>
        <v>2.3598612272731518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5.6843418860808015E-13</v>
      </c>
      <c r="BZ121" s="13">
        <f>BY121*VLOOKUP('Données projet'!$B$12,Paramètres!$A$1:$I$89,3,0)*VLOOKUP('Données projet'!$B$12,Paramètres!$A$1:$I$89,5,0)</f>
        <v>3.1036506698001181E-13</v>
      </c>
      <c r="CA121" s="13">
        <f t="shared" si="93"/>
        <v>4.086682523110923E-12</v>
      </c>
      <c r="CB121" s="20">
        <f t="shared" si="64"/>
        <v>7.6581912194083782E-12</v>
      </c>
      <c r="CC121" s="59">
        <f t="shared" si="65"/>
        <v>281.70832336460808</v>
      </c>
      <c r="CD121" s="59">
        <f ca="1">AVERAGE(OFFSET($CC$3,0,0,'Données projet'!$E$12+1,1))-AVERAGE(OFFSET($H$3,0,0,'Données projet'!$E$12+1,1))</f>
        <v>382.09004346384319</v>
      </c>
      <c r="CE121" s="59">
        <f t="shared" si="94"/>
        <v>410.18893995284986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1.4909150653573575</v>
      </c>
      <c r="CL121" s="21">
        <f>EXP(-LN(2)/25)*CL120+(1-EXP(-LN(2)/25))/(LN(2)/25)*Calculateur!CG121*Calculateur!CI121*VLOOKUP('Données projet'!$B$12,Paramètres!$A$1:$I$89,3,0)*0.475*44/12</f>
        <v>2.9671201192233347</v>
      </c>
      <c r="CM121" s="21">
        <f>EXP(-LN(2)/2)*CM120+(1-EXP(-LN(2)/2))/(LN(2)/2)*CG121*CJ121*VLOOKUP('Données projet'!$B$12,Paramètres!$A$1:$I$89,3,0)*0.475*44/12</f>
        <v>1.4314551955786927E-12</v>
      </c>
      <c r="CN121" s="22">
        <f t="shared" si="66"/>
        <v>4.4580351845821244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363.02374534486341</v>
      </c>
      <c r="CZ121" s="59">
        <f t="shared" si="96"/>
        <v>489.00477393029598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1.2792795027918926</v>
      </c>
      <c r="DG121" s="21">
        <f>EXP(-LN(2)/25)*DG120+(1-EXP(-LN(2)/25))/(LN(2)/25)*Calculateur!DB121*Calculateur!DD121*VLOOKUP('Données projet'!$B$13,Paramètres!$A$1:$I$89,3,0)*0.475*44/12</f>
        <v>1.6878515352194623</v>
      </c>
      <c r="DH121" s="21">
        <f>EXP(-LN(2)/2)*DH120+(1-EXP(-LN(2)/2))/(LN(2)/2)*DB121*DE121*VLOOKUP('Données projet'!$B$13,Paramètres!$A$1:$I$89,3,0)*0.475*44/12</f>
        <v>1.6663613685729025E-12</v>
      </c>
      <c r="DI121" s="22">
        <f t="shared" si="69"/>
        <v>2.9671310380130214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>
        <f>DO121*VLOOKUP('Données projet'!$B$14,Paramètres!$A$1:$I$89,3,0)*VLOOKUP('Données projet'!$B$14,Paramètres!$A$1:$I$89,5,0)</f>
        <v>-3.7509835237869992E-13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368.03281986807173</v>
      </c>
      <c r="DU121" s="59">
        <f t="shared" si="98"/>
        <v>395.83504504492248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0.42703222039218031</v>
      </c>
      <c r="EB121" s="21">
        <f>EXP(-LN(2)/25)*EB120+(1-EXP(-LN(2)/25))/(LN(2)/25)*Calculateur!DW121*Calculateur!DY121*VLOOKUP('Données projet'!$B$14,Paramètres!$A$1:$I$89,3,0)*0.475*44/12</f>
        <v>1.3374071211972705</v>
      </c>
      <c r="EC121" s="21">
        <f>EXP(-LN(2)/2)*EC120+(1-EXP(-LN(2)/2))/(LN(2)/2)*DW121*DZ121*VLOOKUP('Données projet'!$B$14,Paramètres!$A$1:$I$89,3,0)*0.475*44/12</f>
        <v>1.2592874896632105E-12</v>
      </c>
      <c r="ED121" s="22">
        <f t="shared" si="72"/>
        <v>1.76443934159071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225.2264820414552</v>
      </c>
      <c r="EP121" s="59">
        <f t="shared" si="100"/>
        <v>249.91838548328681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0.387229417740801</v>
      </c>
      <c r="EW121" s="21">
        <f>EXP(-LN(2)/25)*EW120+(1-EXP(-LN(2)/25))/(LN(2)/25)*Calculateur!ER121*Calculateur!ET121*VLOOKUP('Données projet'!$B$15,Paramètres!$A$1:$I$89,3,0)*0.475*44/12</f>
        <v>0.75452051370338757</v>
      </c>
      <c r="EX121" s="21">
        <f>EXP(-LN(2)/2)*EX120+(1-EXP(-LN(2)/2))/(LN(2)/2)*ER121*EU121*VLOOKUP('Données projet'!$B$15,Paramètres!$A$1:$I$89,3,0)*0.475*44/12</f>
        <v>2.2996133626957886E-13</v>
      </c>
      <c r="EY121" s="22">
        <f t="shared" si="75"/>
        <v>1.1417499314444186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-1.2505552149377763E-12</v>
      </c>
      <c r="FF121" s="17">
        <f>FE121*VLOOKUP('Données projet'!$B$16,Paramètres!$A$1:$I$89,3,0)*VLOOKUP('Données projet'!$B$16,Paramètres!$A$1:$I$89,5,0)</f>
        <v>-6.9906036515021697E-13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549.85684198202534</v>
      </c>
      <c r="FK121" s="59">
        <f t="shared" si="102"/>
        <v>539.63748606275431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1.9988742231123355</v>
      </c>
      <c r="FR121" s="21">
        <f>EXP(-LN(2)/25)*FR120+(1-EXP(-LN(2)/25))/(LN(2)/25)*Calculateur!FM121*Calculateur!FO121*VLOOKUP('Données projet'!$B$16,Paramètres!$A$1:$I$89,3,0)*0.475*44/12</f>
        <v>3.3787151097212922</v>
      </c>
      <c r="FS121" s="21">
        <f>EXP(-LN(2)/2)*FS120+(1-EXP(-LN(2)/2))/(LN(2)/2)*FM121*FP121*VLOOKUP('Données projet'!$B$16,Paramètres!$A$1:$I$89,3,0)*0.475*44/12</f>
        <v>2.0731869969400859E-12</v>
      </c>
      <c r="FT121" s="22">
        <f t="shared" si="78"/>
        <v>5.3775893328357007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-5.6843418860808015E-13</v>
      </c>
      <c r="GA121" s="17">
        <f>FZ121*VLOOKUP('Données projet'!$B$17,Paramètres!$A$1:$I$89,3,0)*VLOOKUP('Données projet'!$B$17,Paramètres!$A$1:$I$89,5,0)</f>
        <v>-3.39923644787632E-13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495.6641415122013</v>
      </c>
      <c r="GF121" s="59">
        <f t="shared" si="104"/>
        <v>488.90534169400757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0.69981727557590312</v>
      </c>
      <c r="GM121" s="21">
        <f>EXP(-LN(2)/25)*GM120+(1-EXP(-LN(2)/25))/(LN(2)/25)*Calculateur!GH121*Calculateur!GJ121*VLOOKUP('Données projet'!$B$17,Paramètres!$A$1:$I$89,3,0)*0.475*44/12</f>
        <v>2.2669023975646319</v>
      </c>
      <c r="GN121" s="21">
        <f>EXP(-LN(2)/2)*GN120+(1-EXP(-LN(2)/2))/(LN(2)/2)*GH121*GK121*VLOOKUP('Données projet'!$B$17,Paramètres!$A$1:$I$89,3,0)*0.475*44/12</f>
        <v>1.9758393474041011E-12</v>
      </c>
      <c r="GO121" s="21">
        <f t="shared" si="81"/>
        <v>2.9667196731425105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-5.6843418860808015E-13</v>
      </c>
      <c r="GV121" s="17">
        <f>GU121*VLOOKUP('Données projet'!$B$18,Paramètres!$A$1:$I$89,3,0)*VLOOKUP('Données projet'!$B$18,Paramètres!$A$1:$I$89,5,0)</f>
        <v>-3.39923644787632E-13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-18.333333333333343</v>
      </c>
      <c r="HA121" s="59">
        <f t="shared" si="106"/>
        <v>-18.333333333333343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0.69981727557590312</v>
      </c>
      <c r="HH121" s="21">
        <f>EXP(-LN(2)/25)*HH120+(1-EXP(-LN(2)/25))/(LN(2)/25)*Calculateur!HC121*Calculateur!HE121*VLOOKUP('Données projet'!$B$18,Paramètres!$A$1:$I$89,3,0)*0.475*44/12</f>
        <v>2.2669023975646319</v>
      </c>
      <c r="HI121" s="21">
        <f>EXP(-LN(2)/2)*HI120+(1-EXP(-LN(2)/2))/(LN(2)/2)*HC121*HF121*VLOOKUP('Données projet'!$B$18,Paramètres!$A$1:$I$89,3,0)*0.475*44/12</f>
        <v>1.9758393474041011E-12</v>
      </c>
      <c r="HJ121" s="22">
        <f t="shared" si="84"/>
        <v>2.9667196731425105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376.11581547534814</v>
      </c>
      <c r="T122" s="59">
        <f t="shared" si="88"/>
        <v>300.91675649863294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0.5379021814034185</v>
      </c>
      <c r="AA122" s="21">
        <f>EXP(-LN(2)/25)*AA121+(1-EXP(-LN(2)/25))/(LN(2)/25)*Calculateur!V122*Calculateur!X122*VLOOKUP('Données projet'!$B$9,Paramètres!$A$1:$I$89,3,0)*0.475*44/12</f>
        <v>0.66604730854613392</v>
      </c>
      <c r="AB122" s="21">
        <f>EXP(-LN(2)/2)*AB121+(1-EXP(-LN(2)/2))/(LN(2)/2)*V122*Y122*VLOOKUP('Données projet'!$B$9,Paramètres!$A$1:$I$89,3,0)*0.475*44/12</f>
        <v>3.9519810929051443E-13</v>
      </c>
      <c r="AC122" s="22">
        <f t="shared" si="57"/>
        <v>1.2039494899499477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5.4</v>
      </c>
      <c r="AI122" s="13">
        <f>IF('Données projet'!$A$62&gt;35,AI121+AH122-AQ121,IF(A122&lt;'Données projet'!$A$62,$AF$205^A122,IF(A122='Données projet'!$A$62,'Données projet'!$B$62,AI121+AH122-AQ121)))</f>
        <v>355.59999999999945</v>
      </c>
      <c r="AJ122" s="13">
        <f>AI122*VLOOKUP('Données projet'!$B$10,Paramètres!$A$1:$I$89,3,0)*VLOOKUP('Données projet'!$B$10,Paramètres!$A$1:$I$89,5,0)</f>
        <v>321.74687999999952</v>
      </c>
      <c r="AK122" s="13">
        <f t="shared" si="89"/>
        <v>75.716710773540626</v>
      </c>
      <c r="AL122" s="20">
        <f t="shared" si="58"/>
        <v>692.24908726391561</v>
      </c>
      <c r="AM122" s="59">
        <f t="shared" si="59"/>
        <v>974.15907856184481</v>
      </c>
      <c r="AN122" s="59">
        <f ca="1">AVERAGE(OFFSET($AM$3,0,0,'Données projet'!$E$10+1,1))-AVERAGE(OFFSET($H$3,0,0,'Données projet'!$E$10+1,1))</f>
        <v>505.38595282220405</v>
      </c>
      <c r="AO122" s="59">
        <f t="shared" si="90"/>
        <v>351.72130415456365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0.41331380396297951</v>
      </c>
      <c r="AV122" s="21">
        <f>EXP(-LN(2)/25)*AV121+(1-EXP(-LN(2)/25))/(LN(2)/25)*Calculateur!AQ122*Calculateur!AS122*VLOOKUP('Données projet'!$B$10,Paramètres!$A$1:$I$89,3,0)*0.475*44/12</f>
        <v>0.9566450167461098</v>
      </c>
      <c r="AW122" s="21">
        <f>EXP(-LN(2)/2)*AW121+(1-EXP(-LN(2)/2))/(LN(2)/2)*AQ122*AT122*VLOOKUP('Données projet'!$B$10,Paramètres!$A$1:$I$89,3,0)*0.475*44/12</f>
        <v>8.6632272712951262E-13</v>
      </c>
      <c r="AX122" s="21">
        <f t="shared" si="60"/>
        <v>1.3699588207099558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-4.0702161641092972E-13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394.14657090341535</v>
      </c>
      <c r="BJ122" s="59">
        <f t="shared" si="92"/>
        <v>424.06445894109982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0.5599374559502478</v>
      </c>
      <c r="BQ122" s="21">
        <f>EXP(-LN(2)/25)*BQ121+(1-EXP(-LN(2)/25))/(LN(2)/25)*Calculateur!BL122*Calculateur!BN122*VLOOKUP('Données projet'!$B$11,Paramètres!$A$1:$I$89,3,0)*0.475*44/12</f>
        <v>1.7398113658729153</v>
      </c>
      <c r="BR122" s="21">
        <f>EXP(-LN(2)/2)*BR121+(1-EXP(-LN(2)/2))/(LN(2)/2)*BL122*BO122*VLOOKUP('Données projet'!$B$11,Paramètres!$A$1:$I$89,3,0)*0.475*44/12</f>
        <v>9.6623376369395642E-13</v>
      </c>
      <c r="BS122" s="22">
        <f t="shared" si="63"/>
        <v>2.2997488218241293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5.6843418860808015E-13</v>
      </c>
      <c r="BZ122" s="13">
        <f>BY122*VLOOKUP('Données projet'!$B$12,Paramètres!$A$1:$I$89,3,0)*VLOOKUP('Données projet'!$B$12,Paramètres!$A$1:$I$89,5,0)</f>
        <v>3.1036506698001181E-13</v>
      </c>
      <c r="CA122" s="13">
        <f t="shared" si="93"/>
        <v>4.086682523110923E-12</v>
      </c>
      <c r="CB122" s="20">
        <f t="shared" si="64"/>
        <v>7.6581912194083782E-12</v>
      </c>
      <c r="CC122" s="59">
        <f t="shared" si="65"/>
        <v>281.90999129793681</v>
      </c>
      <c r="CD122" s="59">
        <f ca="1">AVERAGE(OFFSET($CC$3,0,0,'Données projet'!$E$12+1,1))-AVERAGE(OFFSET($H$3,0,0,'Données projet'!$E$12+1,1))</f>
        <v>382.09004346384319</v>
      </c>
      <c r="CE122" s="59">
        <f t="shared" si="94"/>
        <v>410.18893995284986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1.461679130294097</v>
      </c>
      <c r="CL122" s="21">
        <f>EXP(-LN(2)/25)*CL121+(1-EXP(-LN(2)/25))/(LN(2)/25)*Calculateur!CG122*Calculateur!CI122*VLOOKUP('Données projet'!$B$12,Paramètres!$A$1:$I$89,3,0)*0.475*44/12</f>
        <v>2.885984063529107</v>
      </c>
      <c r="CM122" s="21">
        <f>EXP(-LN(2)/2)*CM121+(1-EXP(-LN(2)/2))/(LN(2)/2)*CG122*CJ122*VLOOKUP('Données projet'!$B$12,Paramètres!$A$1:$I$89,3,0)*0.475*44/12</f>
        <v>1.0121916757584092E-12</v>
      </c>
      <c r="CN122" s="22">
        <f t="shared" si="66"/>
        <v>4.3476631938242161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363.02374534486341</v>
      </c>
      <c r="CZ122" s="59">
        <f t="shared" si="96"/>
        <v>489.00477393029598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1.2541936120255937</v>
      </c>
      <c r="DG122" s="21">
        <f>EXP(-LN(2)/25)*DG121+(1-EXP(-LN(2)/25))/(LN(2)/25)*Calculateur!DB122*Calculateur!DD122*VLOOKUP('Données projet'!$B$13,Paramètres!$A$1:$I$89,3,0)*0.475*44/12</f>
        <v>1.6416971462286316</v>
      </c>
      <c r="DH122" s="21">
        <f>EXP(-LN(2)/2)*DH121+(1-EXP(-LN(2)/2))/(LN(2)/2)*DB122*DE122*VLOOKUP('Données projet'!$B$13,Paramètres!$A$1:$I$89,3,0)*0.475*44/12</f>
        <v>1.1782954236251952E-12</v>
      </c>
      <c r="DI122" s="22">
        <f t="shared" si="69"/>
        <v>2.8958907582554034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>
        <f>DO122*VLOOKUP('Données projet'!$B$14,Paramètres!$A$1:$I$89,3,0)*VLOOKUP('Données projet'!$B$14,Paramètres!$A$1:$I$89,5,0)</f>
        <v>-3.7509835237869992E-13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368.03281986807173</v>
      </c>
      <c r="DU122" s="59">
        <f t="shared" si="98"/>
        <v>395.83504504492248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0.41865837901422542</v>
      </c>
      <c r="EB122" s="21">
        <f>EXP(-LN(2)/25)*EB121+(1-EXP(-LN(2)/25))/(LN(2)/25)*Calculateur!DW122*Calculateur!DY122*VLOOKUP('Données projet'!$B$14,Paramètres!$A$1:$I$89,3,0)*0.475*44/12</f>
        <v>1.3008356531369474</v>
      </c>
      <c r="EC122" s="21">
        <f>EXP(-LN(2)/2)*EC121+(1-EXP(-LN(2)/2))/(LN(2)/2)*DW122*DZ122*VLOOKUP('Données projet'!$B$14,Paramètres!$A$1:$I$89,3,0)*0.475*44/12</f>
        <v>8.9045072340424059E-13</v>
      </c>
      <c r="ED122" s="22">
        <f t="shared" si="72"/>
        <v>1.7194940321520633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225.2264820414552</v>
      </c>
      <c r="EP122" s="59">
        <f t="shared" si="100"/>
        <v>249.91838548328681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0.37963608504552721</v>
      </c>
      <c r="EW122" s="21">
        <f>EXP(-LN(2)/25)*EW121+(1-EXP(-LN(2)/25))/(LN(2)/25)*Calculateur!ER122*Calculateur!ET122*VLOOKUP('Données projet'!$B$15,Paramètres!$A$1:$I$89,3,0)*0.475*44/12</f>
        <v>0.73388811057765913</v>
      </c>
      <c r="EX122" s="21">
        <f>EXP(-LN(2)/2)*EX121+(1-EXP(-LN(2)/2))/(LN(2)/2)*ER122*EU122*VLOOKUP('Données projet'!$B$15,Paramètres!$A$1:$I$89,3,0)*0.475*44/12</f>
        <v>1.6260722028693918E-13</v>
      </c>
      <c r="EY122" s="22">
        <f t="shared" si="75"/>
        <v>1.1135241956233488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-1.2505552149377763E-12</v>
      </c>
      <c r="FF122" s="17">
        <f>FE122*VLOOKUP('Données projet'!$B$16,Paramètres!$A$1:$I$89,3,0)*VLOOKUP('Données projet'!$B$16,Paramètres!$A$1:$I$89,5,0)</f>
        <v>-6.9906036515021697E-13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549.85684198202534</v>
      </c>
      <c r="FK122" s="59">
        <f t="shared" si="102"/>
        <v>539.63748606275431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1.9596775187899935</v>
      </c>
      <c r="FR122" s="21">
        <f>EXP(-LN(2)/25)*FR121+(1-EXP(-LN(2)/25))/(LN(2)/25)*Calculateur!FM122*Calculateur!FO122*VLOOKUP('Données projet'!$B$16,Paramètres!$A$1:$I$89,3,0)*0.475*44/12</f>
        <v>3.2863239673670579</v>
      </c>
      <c r="FS122" s="21">
        <f>EXP(-LN(2)/2)*FS121+(1-EXP(-LN(2)/2))/(LN(2)/2)*FM122*FP122*VLOOKUP('Données projet'!$B$16,Paramètres!$A$1:$I$89,3,0)*0.475*44/12</f>
        <v>1.4659645842041089E-12</v>
      </c>
      <c r="FT122" s="22">
        <f t="shared" si="78"/>
        <v>5.2460014861585176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-5.6843418860808015E-13</v>
      </c>
      <c r="GA122" s="17">
        <f>FZ122*VLOOKUP('Données projet'!$B$17,Paramètres!$A$1:$I$89,3,0)*VLOOKUP('Données projet'!$B$17,Paramètres!$A$1:$I$89,5,0)</f>
        <v>-3.39923644787632E-13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495.6641415122013</v>
      </c>
      <c r="GF122" s="59">
        <f t="shared" si="104"/>
        <v>488.90534169400757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0.68609428564825015</v>
      </c>
      <c r="GM122" s="21">
        <f>EXP(-LN(2)/25)*GM121+(1-EXP(-LN(2)/25))/(LN(2)/25)*Calculateur!GH122*Calculateur!GJ122*VLOOKUP('Données projet'!$B$17,Paramètres!$A$1:$I$89,3,0)*0.475*44/12</f>
        <v>2.2049138322920108</v>
      </c>
      <c r="GN122" s="21">
        <f>EXP(-LN(2)/2)*GN121+(1-EXP(-LN(2)/2))/(LN(2)/2)*GH122*GK122*VLOOKUP('Données projet'!$B$17,Paramètres!$A$1:$I$89,3,0)*0.475*44/12</f>
        <v>1.3971294010846426E-12</v>
      </c>
      <c r="GO122" s="21">
        <f t="shared" si="81"/>
        <v>2.891008117941658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-5.6843418860808015E-13</v>
      </c>
      <c r="GV122" s="17">
        <f>GU122*VLOOKUP('Données projet'!$B$18,Paramètres!$A$1:$I$89,3,0)*VLOOKUP('Données projet'!$B$18,Paramètres!$A$1:$I$89,5,0)</f>
        <v>-3.39923644787632E-13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-18.333333333333343</v>
      </c>
      <c r="HA122" s="59">
        <f t="shared" si="106"/>
        <v>-18.333333333333343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0.68609428564825015</v>
      </c>
      <c r="HH122" s="21">
        <f>EXP(-LN(2)/25)*HH121+(1-EXP(-LN(2)/25))/(LN(2)/25)*Calculateur!HC122*Calculateur!HE122*VLOOKUP('Données projet'!$B$18,Paramètres!$A$1:$I$89,3,0)*0.475*44/12</f>
        <v>2.2049138322920108</v>
      </c>
      <c r="HI122" s="21">
        <f>EXP(-LN(2)/2)*HI121+(1-EXP(-LN(2)/2))/(LN(2)/2)*HC122*HF122*VLOOKUP('Données projet'!$B$18,Paramètres!$A$1:$I$89,3,0)*0.475*44/12</f>
        <v>1.3971294010846426E-12</v>
      </c>
      <c r="HJ122" s="22">
        <f t="shared" si="84"/>
        <v>2.891008117941658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376.11581547534814</v>
      </c>
      <c r="T123" s="59">
        <f t="shared" si="88"/>
        <v>300.91675649863294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0.52735424771403216</v>
      </c>
      <c r="AA123" s="21">
        <f>EXP(-LN(2)/25)*AA122+(1-EXP(-LN(2)/25))/(LN(2)/25)*Calculateur!V123*Calculateur!X123*VLOOKUP('Données projet'!$B$9,Paramètres!$A$1:$I$89,3,0)*0.475*44/12</f>
        <v>0.64783420986803419</v>
      </c>
      <c r="AB123" s="21">
        <f>EXP(-LN(2)/2)*AB122+(1-EXP(-LN(2)/2))/(LN(2)/2)*V123*Y123*VLOOKUP('Données projet'!$B$9,Paramètres!$A$1:$I$89,3,0)*0.475*44/12</f>
        <v>2.7944726299142507E-13</v>
      </c>
      <c r="AC123" s="22">
        <f t="shared" si="57"/>
        <v>1.1751884575823459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361</v>
      </c>
      <c r="AG123" s="12">
        <f>VLOOKUP(A123,'Données projet'!$A$61:$I$81,9,0)</f>
        <v>5.4</v>
      </c>
      <c r="AH123" s="12">
        <f t="array" ref="AH123">INDEX(AG:AG,MIN(IF(ISNUMBER(AG123:AG319),ROW(AG123:AG319),"")))</f>
        <v>5.4</v>
      </c>
      <c r="AI123" s="13">
        <f>IF('Données projet'!$A$62&gt;35,AI122+AH123-AQ122,IF(A123&lt;'Données projet'!$A$62,$AF$205^A123,IF(A123='Données projet'!$A$62,'Données projet'!$B$62,AI122+AH123-AQ122)))</f>
        <v>360.99999999999943</v>
      </c>
      <c r="AJ123" s="13">
        <f>AI123*VLOOKUP('Données projet'!$B$10,Paramètres!$A$1:$I$89,3,0)*VLOOKUP('Données projet'!$B$10,Paramètres!$A$1:$I$89,5,0)</f>
        <v>326.63279999999946</v>
      </c>
      <c r="AK123" s="13">
        <f t="shared" si="89"/>
        <v>76.731784548754774</v>
      </c>
      <c r="AL123" s="20">
        <f t="shared" si="58"/>
        <v>702.52665142241358</v>
      </c>
      <c r="AM123" s="59">
        <f t="shared" si="59"/>
        <v>984.63481216589025</v>
      </c>
      <c r="AN123" s="59">
        <f ca="1">AVERAGE(OFFSET($AM$3,0,0,'Données projet'!$E$10+1,1))-AVERAGE(OFFSET($H$3,0,0,'Données projet'!$E$10+1,1))</f>
        <v>505.38595282220405</v>
      </c>
      <c r="AO123" s="59">
        <f t="shared" si="90"/>
        <v>351.72130415456365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361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0.40520897236379344</v>
      </c>
      <c r="AV123" s="21">
        <f>EXP(-LN(2)/25)*AV122+(1-EXP(-LN(2)/25))/(LN(2)/25)*Calculateur!AQ123*Calculateur!AS123*VLOOKUP('Données projet'!$B$10,Paramètres!$A$1:$I$89,3,0)*0.475*44/12</f>
        <v>0.93048550845541245</v>
      </c>
      <c r="AW123" s="21">
        <f>EXP(-LN(2)/2)*AW122+(1-EXP(-LN(2)/2))/(LN(2)/2)*AQ123*AT123*VLOOKUP('Données projet'!$B$10,Paramètres!$A$1:$I$89,3,0)*0.475*44/12</f>
        <v>6.1258267504930139E-13</v>
      </c>
      <c r="AX123" s="21">
        <f t="shared" si="60"/>
        <v>1.3356944808198186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-4.0702161641092972E-13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394.14657090341535</v>
      </c>
      <c r="BJ123" s="59">
        <f t="shared" si="92"/>
        <v>424.06445894109982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0.5489574239671885</v>
      </c>
      <c r="BQ123" s="21">
        <f>EXP(-LN(2)/25)*BQ122+(1-EXP(-LN(2)/25))/(LN(2)/25)*Calculateur!BL123*Calculateur!BN123*VLOOKUP('Données projet'!$B$11,Paramètres!$A$1:$I$89,3,0)*0.475*44/12</f>
        <v>1.6922361325804172</v>
      </c>
      <c r="BR123" s="21">
        <f>EXP(-LN(2)/2)*BR122+(1-EXP(-LN(2)/2))/(LN(2)/2)*BL123*BO123*VLOOKUP('Données projet'!$B$11,Paramètres!$A$1:$I$89,3,0)*0.475*44/12</f>
        <v>6.8323044651939671E-13</v>
      </c>
      <c r="BS123" s="22">
        <f t="shared" si="63"/>
        <v>2.2411935565482888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5.6843418860808015E-13</v>
      </c>
      <c r="BZ123" s="13">
        <f>BY123*VLOOKUP('Données projet'!$B$12,Paramètres!$A$1:$I$89,3,0)*VLOOKUP('Données projet'!$B$12,Paramètres!$A$1:$I$89,5,0)</f>
        <v>3.1036506698001181E-13</v>
      </c>
      <c r="CA123" s="13">
        <f t="shared" si="93"/>
        <v>4.086682523110923E-12</v>
      </c>
      <c r="CB123" s="20">
        <f t="shared" si="64"/>
        <v>7.6581912194083782E-12</v>
      </c>
      <c r="CC123" s="59">
        <f t="shared" si="65"/>
        <v>282.10816074348429</v>
      </c>
      <c r="CD123" s="59">
        <f ca="1">AVERAGE(OFFSET($CC$3,0,0,'Données projet'!$E$12+1,1))-AVERAGE(OFFSET($H$3,0,0,'Données projet'!$E$12+1,1))</f>
        <v>382.09004346384319</v>
      </c>
      <c r="CE123" s="59">
        <f t="shared" si="94"/>
        <v>410.18893995284986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1.4330164940852674</v>
      </c>
      <c r="CL123" s="21">
        <f>EXP(-LN(2)/25)*CL122+(1-EXP(-LN(2)/25))/(LN(2)/25)*Calculateur!CG123*Calculateur!CI123*VLOOKUP('Données projet'!$B$12,Paramètres!$A$1:$I$89,3,0)*0.475*44/12</f>
        <v>2.8070666775445976</v>
      </c>
      <c r="CM123" s="21">
        <f>EXP(-LN(2)/2)*CM122+(1-EXP(-LN(2)/2))/(LN(2)/2)*CG123*CJ123*VLOOKUP('Données projet'!$B$12,Paramètres!$A$1:$I$89,3,0)*0.475*44/12</f>
        <v>7.1572759778934633E-13</v>
      </c>
      <c r="CN123" s="22">
        <f t="shared" si="66"/>
        <v>4.2400831716305811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363.02374534486341</v>
      </c>
      <c r="CZ123" s="59">
        <f t="shared" si="96"/>
        <v>489.00477393029598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1.2295996402763394</v>
      </c>
      <c r="DG123" s="21">
        <f>EXP(-LN(2)/25)*DG122+(1-EXP(-LN(2)/25))/(LN(2)/25)*Calculateur!DB123*Calculateur!DD123*VLOOKUP('Données projet'!$B$13,Paramètres!$A$1:$I$89,3,0)*0.475*44/12</f>
        <v>1.5968048514319089</v>
      </c>
      <c r="DH123" s="21">
        <f>EXP(-LN(2)/2)*DH122+(1-EXP(-LN(2)/2))/(LN(2)/2)*DB123*DE123*VLOOKUP('Données projet'!$B$13,Paramètres!$A$1:$I$89,3,0)*0.475*44/12</f>
        <v>8.3318068428645127E-13</v>
      </c>
      <c r="DI123" s="22">
        <f t="shared" si="69"/>
        <v>2.8264044917090816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>
        <f>DO123*VLOOKUP('Données projet'!$B$14,Paramètres!$A$1:$I$89,3,0)*VLOOKUP('Données projet'!$B$14,Paramètres!$A$1:$I$89,5,0)</f>
        <v>-3.7509835237869992E-13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368.03281986807173</v>
      </c>
      <c r="DU123" s="59">
        <f t="shared" si="98"/>
        <v>395.83504504492248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0.41044874355815331</v>
      </c>
      <c r="EB123" s="21">
        <f>EXP(-LN(2)/25)*EB122+(1-EXP(-LN(2)/25))/(LN(2)/25)*Calculateur!DW123*Calculateur!DY123*VLOOKUP('Données projet'!$B$14,Paramètres!$A$1:$I$89,3,0)*0.475*44/12</f>
        <v>1.2652642337939437</v>
      </c>
      <c r="EC123" s="21">
        <f>EXP(-LN(2)/2)*EC122+(1-EXP(-LN(2)/2))/(LN(2)/2)*DW123*DZ123*VLOOKUP('Données projet'!$B$14,Paramètres!$A$1:$I$89,3,0)*0.475*44/12</f>
        <v>6.2964374483160537E-13</v>
      </c>
      <c r="ED123" s="22">
        <f t="shared" si="72"/>
        <v>1.6757129773527266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225.2264820414552</v>
      </c>
      <c r="EP123" s="59">
        <f t="shared" si="100"/>
        <v>249.91838548328681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0.37219165297293211</v>
      </c>
      <c r="EW123" s="21">
        <f>EXP(-LN(2)/25)*EW122+(1-EXP(-LN(2)/25))/(LN(2)/25)*Calculateur!ER123*Calculateur!ET123*VLOOKUP('Données projet'!$B$15,Paramètres!$A$1:$I$89,3,0)*0.475*44/12</f>
        <v>0.71381990160041464</v>
      </c>
      <c r="EX123" s="21">
        <f>EXP(-LN(2)/2)*EX122+(1-EXP(-LN(2)/2))/(LN(2)/2)*ER123*EU123*VLOOKUP('Données projet'!$B$15,Paramètres!$A$1:$I$89,3,0)*0.475*44/12</f>
        <v>1.1498066813478943E-13</v>
      </c>
      <c r="EY123" s="22">
        <f t="shared" si="75"/>
        <v>1.0860115545734619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-1.2505552149377763E-12</v>
      </c>
      <c r="FF123" s="17">
        <f>FE123*VLOOKUP('Données projet'!$B$16,Paramètres!$A$1:$I$89,3,0)*VLOOKUP('Données projet'!$B$16,Paramètres!$A$1:$I$89,5,0)</f>
        <v>-6.9906036515021697E-13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549.85684198202534</v>
      </c>
      <c r="FK123" s="59">
        <f t="shared" si="102"/>
        <v>539.63748606275431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1.9212494379317835</v>
      </c>
      <c r="FR123" s="21">
        <f>EXP(-LN(2)/25)*FR122+(1-EXP(-LN(2)/25))/(LN(2)/25)*Calculateur!FM123*Calculateur!FO123*VLOOKUP('Données projet'!$B$16,Paramètres!$A$1:$I$89,3,0)*0.475*44/12</f>
        <v>3.1964592656591391</v>
      </c>
      <c r="FS123" s="21">
        <f>EXP(-LN(2)/2)*FS122+(1-EXP(-LN(2)/2))/(LN(2)/2)*FM123*FP123*VLOOKUP('Données projet'!$B$16,Paramètres!$A$1:$I$89,3,0)*0.475*44/12</f>
        <v>1.036593498470043E-12</v>
      </c>
      <c r="FT123" s="22">
        <f t="shared" si="78"/>
        <v>5.1177087035919593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-5.6843418860808015E-13</v>
      </c>
      <c r="GA123" s="17">
        <f>FZ123*VLOOKUP('Données projet'!$B$17,Paramètres!$A$1:$I$89,3,0)*VLOOKUP('Données projet'!$B$17,Paramètres!$A$1:$I$89,5,0)</f>
        <v>-3.39923644787632E-13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495.6641415122013</v>
      </c>
      <c r="GF123" s="59">
        <f t="shared" si="104"/>
        <v>488.90534169400757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0.6726403951828811</v>
      </c>
      <c r="GM123" s="21">
        <f>EXP(-LN(2)/25)*GM122+(1-EXP(-LN(2)/25))/(LN(2)/25)*Calculateur!GH123*Calculateur!GJ123*VLOOKUP('Données projet'!$B$17,Paramètres!$A$1:$I$89,3,0)*0.475*44/12</f>
        <v>2.1446203475966068</v>
      </c>
      <c r="GN123" s="21">
        <f>EXP(-LN(2)/2)*GN122+(1-EXP(-LN(2)/2))/(LN(2)/2)*GH123*GK123*VLOOKUP('Données projet'!$B$17,Paramètres!$A$1:$I$89,3,0)*0.475*44/12</f>
        <v>9.8791967370205053E-13</v>
      </c>
      <c r="GO123" s="21">
        <f t="shared" si="81"/>
        <v>2.8172607427804759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-5.6843418860808015E-13</v>
      </c>
      <c r="GV123" s="17">
        <f>GU123*VLOOKUP('Données projet'!$B$18,Paramètres!$A$1:$I$89,3,0)*VLOOKUP('Données projet'!$B$18,Paramètres!$A$1:$I$89,5,0)</f>
        <v>-3.39923644787632E-13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-18.333333333333343</v>
      </c>
      <c r="HA123" s="59">
        <f t="shared" si="106"/>
        <v>-18.333333333333343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0.6726403951828811</v>
      </c>
      <c r="HH123" s="21">
        <f>EXP(-LN(2)/25)*HH122+(1-EXP(-LN(2)/25))/(LN(2)/25)*Calculateur!HC123*Calculateur!HE123*VLOOKUP('Données projet'!$B$18,Paramètres!$A$1:$I$89,3,0)*0.475*44/12</f>
        <v>2.1446203475966068</v>
      </c>
      <c r="HI123" s="21">
        <f>EXP(-LN(2)/2)*HI122+(1-EXP(-LN(2)/2))/(LN(2)/2)*HC123*HF123*VLOOKUP('Données projet'!$B$18,Paramètres!$A$1:$I$89,3,0)*0.475*44/12</f>
        <v>9.8791967370205053E-13</v>
      </c>
      <c r="HJ123" s="22">
        <f t="shared" si="84"/>
        <v>2.8172607427804759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376.11581547534814</v>
      </c>
      <c r="T124" s="59">
        <f t="shared" si="88"/>
        <v>300.91675649863294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0.51701315257069036</v>
      </c>
      <c r="AA124" s="21">
        <f>EXP(-LN(2)/25)*AA123+(1-EXP(-LN(2)/25))/(LN(2)/25)*Calculateur!V124*Calculateur!X124*VLOOKUP('Données projet'!$B$9,Paramètres!$A$1:$I$89,3,0)*0.475*44/12</f>
        <v>0.63011914933107238</v>
      </c>
      <c r="AB124" s="21">
        <f>EXP(-LN(2)/2)*AB123+(1-EXP(-LN(2)/2))/(LN(2)/2)*V124*Y124*VLOOKUP('Données projet'!$B$9,Paramètres!$A$1:$I$89,3,0)*0.475*44/12</f>
        <v>1.9759905464525721E-13</v>
      </c>
      <c r="AC124" s="22">
        <f t="shared" si="57"/>
        <v>1.1471323019019604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-5.6843418860808015E-13</v>
      </c>
      <c r="AJ124" s="13">
        <f>AI124*VLOOKUP('Données projet'!$B$10,Paramètres!$A$1:$I$89,3,0)*VLOOKUP('Données projet'!$B$10,Paramètres!$A$1:$I$89,5,0)</f>
        <v>-5.1431925385259092E-13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505.38595282220405</v>
      </c>
      <c r="AO124" s="59">
        <f t="shared" si="90"/>
        <v>351.72130415456365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0.39726307156880825</v>
      </c>
      <c r="AV124" s="21">
        <f>EXP(-LN(2)/25)*AV123+(1-EXP(-LN(2)/25))/(LN(2)/25)*Calculateur!AQ124*Calculateur!AS124*VLOOKUP('Données projet'!$B$10,Paramètres!$A$1:$I$89,3,0)*0.475*44/12</f>
        <v>0.90504133329459291</v>
      </c>
      <c r="AW124" s="21">
        <f>EXP(-LN(2)/2)*AW123+(1-EXP(-LN(2)/2))/(LN(2)/2)*AQ124*AT124*VLOOKUP('Données projet'!$B$10,Paramètres!$A$1:$I$89,3,0)*0.475*44/12</f>
        <v>4.3316136356475631E-13</v>
      </c>
      <c r="AX124" s="21">
        <f t="shared" si="60"/>
        <v>1.3023044048638344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-4.0702161641092972E-13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394.14657090341535</v>
      </c>
      <c r="BJ124" s="59">
        <f t="shared" si="92"/>
        <v>424.06445894109982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0.53819270371415873</v>
      </c>
      <c r="BQ124" s="21">
        <f>EXP(-LN(2)/25)*BQ123+(1-EXP(-LN(2)/25))/(LN(2)/25)*Calculateur!BL124*Calculateur!BN124*VLOOKUP('Données projet'!$B$11,Paramètres!$A$1:$I$89,3,0)*0.475*44/12</f>
        <v>1.6459618465441752</v>
      </c>
      <c r="BR124" s="21">
        <f>EXP(-LN(2)/2)*BR123+(1-EXP(-LN(2)/2))/(LN(2)/2)*BL124*BO124*VLOOKUP('Données projet'!$B$11,Paramètres!$A$1:$I$89,3,0)*0.475*44/12</f>
        <v>4.8311688184697821E-13</v>
      </c>
      <c r="BS124" s="22">
        <f t="shared" si="63"/>
        <v>2.1841545502588171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5.6843418860808015E-13</v>
      </c>
      <c r="BZ124" s="13">
        <f>BY124*VLOOKUP('Données projet'!$B$12,Paramètres!$A$1:$I$89,3,0)*VLOOKUP('Données projet'!$B$12,Paramètres!$A$1:$I$89,5,0)</f>
        <v>3.1036506698001181E-13</v>
      </c>
      <c r="CA124" s="13">
        <f t="shared" si="93"/>
        <v>4.086682523110923E-12</v>
      </c>
      <c r="CB124" s="20">
        <f t="shared" si="64"/>
        <v>7.6581912194083782E-12</v>
      </c>
      <c r="CC124" s="59">
        <f t="shared" si="65"/>
        <v>282.30289239219206</v>
      </c>
      <c r="CD124" s="59">
        <f ca="1">AVERAGE(OFFSET($CC$3,0,0,'Données projet'!$E$12+1,1))-AVERAGE(OFFSET($H$3,0,0,'Données projet'!$E$12+1,1))</f>
        <v>382.09004346384319</v>
      </c>
      <c r="CE124" s="59">
        <f t="shared" si="94"/>
        <v>410.18893995284986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1.404915914690011</v>
      </c>
      <c r="CL124" s="21">
        <f>EXP(-LN(2)/25)*CL123+(1-EXP(-LN(2)/25))/(LN(2)/25)*Calculateur!CG124*Calculateur!CI124*VLOOKUP('Données projet'!$B$12,Paramètres!$A$1:$I$89,3,0)*0.475*44/12</f>
        <v>2.7303072916299196</v>
      </c>
      <c r="CM124" s="21">
        <f>EXP(-LN(2)/2)*CM123+(1-EXP(-LN(2)/2))/(LN(2)/2)*CG124*CJ124*VLOOKUP('Données projet'!$B$12,Paramètres!$A$1:$I$89,3,0)*0.475*44/12</f>
        <v>5.0609583787920461E-13</v>
      </c>
      <c r="CN124" s="22">
        <f t="shared" si="66"/>
        <v>4.1352232063204371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363.02374534486341</v>
      </c>
      <c r="CZ124" s="59">
        <f t="shared" si="96"/>
        <v>489.00477393029598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1.2054879413122463</v>
      </c>
      <c r="DG124" s="21">
        <f>EXP(-LN(2)/25)*DG123+(1-EXP(-LN(2)/25))/(LN(2)/25)*Calculateur!DB124*Calculateur!DD124*VLOOKUP('Données projet'!$B$13,Paramètres!$A$1:$I$89,3,0)*0.475*44/12</f>
        <v>1.5531401387971857</v>
      </c>
      <c r="DH124" s="21">
        <f>EXP(-LN(2)/2)*DH123+(1-EXP(-LN(2)/2))/(LN(2)/2)*DB124*DE124*VLOOKUP('Données projet'!$B$13,Paramètres!$A$1:$I$89,3,0)*0.475*44/12</f>
        <v>5.8914771181259762E-13</v>
      </c>
      <c r="DI124" s="22">
        <f t="shared" si="69"/>
        <v>2.7586280801100211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-3.7509835237869992E-13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368.03281986807173</v>
      </c>
      <c r="DU124" s="59">
        <f t="shared" si="98"/>
        <v>395.83504504492248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0.40240009404599159</v>
      </c>
      <c r="EB124" s="21">
        <f>EXP(-LN(2)/25)*EB123+(1-EXP(-LN(2)/25))/(LN(2)/25)*Calculateur!DW124*Calculateur!DY124*VLOOKUP('Données projet'!$B$14,Paramètres!$A$1:$I$89,3,0)*0.475*44/12</f>
        <v>1.2306655167834941</v>
      </c>
      <c r="EC124" s="21">
        <f>EXP(-LN(2)/2)*EC123+(1-EXP(-LN(2)/2))/(LN(2)/2)*DW124*DZ124*VLOOKUP('Données projet'!$B$14,Paramètres!$A$1:$I$89,3,0)*0.475*44/12</f>
        <v>4.4522536170212039E-13</v>
      </c>
      <c r="ED124" s="22">
        <f t="shared" si="72"/>
        <v>1.6330656108299308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225.2264820414552</v>
      </c>
      <c r="EP124" s="59">
        <f t="shared" si="100"/>
        <v>249.91838548328681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0.3648932016726254</v>
      </c>
      <c r="EW124" s="21">
        <f>EXP(-LN(2)/25)*EW123+(1-EXP(-LN(2)/25))/(LN(2)/25)*Calculateur!ER124*Calculateur!ET124*VLOOKUP('Données projet'!$B$15,Paramètres!$A$1:$I$89,3,0)*0.475*44/12</f>
        <v>0.69430045885299418</v>
      </c>
      <c r="EX124" s="21">
        <f>EXP(-LN(2)/2)*EX123+(1-EXP(-LN(2)/2))/(LN(2)/2)*ER124*EU124*VLOOKUP('Données projet'!$B$15,Paramètres!$A$1:$I$89,3,0)*0.475*44/12</f>
        <v>8.1303610143469588E-14</v>
      </c>
      <c r="EY124" s="22">
        <f t="shared" si="75"/>
        <v>1.0591936605257009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-1.2505552149377763E-12</v>
      </c>
      <c r="FF124" s="17">
        <f>FE124*VLOOKUP('Données projet'!$B$16,Paramètres!$A$1:$I$89,3,0)*VLOOKUP('Données projet'!$B$16,Paramètres!$A$1:$I$89,5,0)</f>
        <v>-6.9906036515021697E-13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549.85684198202534</v>
      </c>
      <c r="FK124" s="59">
        <f t="shared" si="102"/>
        <v>539.63748606275431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1.8835749083003881</v>
      </c>
      <c r="FR124" s="21">
        <f>EXP(-LN(2)/25)*FR123+(1-EXP(-LN(2)/25))/(LN(2)/25)*Calculateur!FM124*Calculateur!FO124*VLOOKUP('Données projet'!$B$16,Paramètres!$A$1:$I$89,3,0)*0.475*44/12</f>
        <v>3.1090519189452026</v>
      </c>
      <c r="FS124" s="21">
        <f>EXP(-LN(2)/2)*FS123+(1-EXP(-LN(2)/2))/(LN(2)/2)*FM124*FP124*VLOOKUP('Données projet'!$B$16,Paramètres!$A$1:$I$89,3,0)*0.475*44/12</f>
        <v>7.3298229210205446E-13</v>
      </c>
      <c r="FT124" s="22">
        <f t="shared" si="78"/>
        <v>4.9926268272463235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-5.6843418860808015E-13</v>
      </c>
      <c r="GA124" s="17">
        <f>FZ124*VLOOKUP('Données projet'!$B$17,Paramètres!$A$1:$I$89,3,0)*VLOOKUP('Données projet'!$B$17,Paramètres!$A$1:$I$89,5,0)</f>
        <v>-3.39923644787632E-13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495.6641415122013</v>
      </c>
      <c r="GF124" s="59">
        <f t="shared" si="104"/>
        <v>488.90534169400757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0.65945032730347508</v>
      </c>
      <c r="GM124" s="21">
        <f>EXP(-LN(2)/25)*GM123+(1-EXP(-LN(2)/25))/(LN(2)/25)*Calculateur!GH124*Calculateur!GJ124*VLOOKUP('Données projet'!$B$17,Paramètres!$A$1:$I$89,3,0)*0.475*44/12</f>
        <v>2.0859755914108953</v>
      </c>
      <c r="GN124" s="21">
        <f>EXP(-LN(2)/2)*GN123+(1-EXP(-LN(2)/2))/(LN(2)/2)*GH124*GK124*VLOOKUP('Données projet'!$B$17,Paramètres!$A$1:$I$89,3,0)*0.475*44/12</f>
        <v>6.9856470054232129E-13</v>
      </c>
      <c r="GO124" s="21">
        <f t="shared" si="81"/>
        <v>2.7454259187150689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-5.6843418860808015E-13</v>
      </c>
      <c r="GV124" s="17">
        <f>GU124*VLOOKUP('Données projet'!$B$18,Paramètres!$A$1:$I$89,3,0)*VLOOKUP('Données projet'!$B$18,Paramètres!$A$1:$I$89,5,0)</f>
        <v>-3.39923644787632E-13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-18.333333333333343</v>
      </c>
      <c r="HA124" s="59">
        <f t="shared" si="106"/>
        <v>-18.333333333333343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0.65945032730347508</v>
      </c>
      <c r="HH124" s="21">
        <f>EXP(-LN(2)/25)*HH123+(1-EXP(-LN(2)/25))/(LN(2)/25)*Calculateur!HC124*Calculateur!HE124*VLOOKUP('Données projet'!$B$18,Paramètres!$A$1:$I$89,3,0)*0.475*44/12</f>
        <v>2.0859755914108953</v>
      </c>
      <c r="HI124" s="21">
        <f>EXP(-LN(2)/2)*HI123+(1-EXP(-LN(2)/2))/(LN(2)/2)*HC124*HF124*VLOOKUP('Données projet'!$B$18,Paramètres!$A$1:$I$89,3,0)*0.475*44/12</f>
        <v>6.9856470054232129E-13</v>
      </c>
      <c r="HJ124" s="22">
        <f t="shared" si="84"/>
        <v>2.7454259187150689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376.11581547534814</v>
      </c>
      <c r="T125" s="59">
        <f t="shared" si="88"/>
        <v>300.91675649863294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0.50687483999566429</v>
      </c>
      <c r="AA125" s="21">
        <f>EXP(-LN(2)/25)*AA124+(1-EXP(-LN(2)/25))/(LN(2)/25)*Calculateur!V125*Calculateur!X125*VLOOKUP('Données projet'!$B$9,Paramètres!$A$1:$I$89,3,0)*0.475*44/12</f>
        <v>0.6128885080560883</v>
      </c>
      <c r="AB125" s="21">
        <f>EXP(-LN(2)/2)*AB124+(1-EXP(-LN(2)/2))/(LN(2)/2)*V125*Y125*VLOOKUP('Données projet'!$B$9,Paramètres!$A$1:$I$89,3,0)*0.475*44/12</f>
        <v>1.3972363149571254E-13</v>
      </c>
      <c r="AC125" s="22">
        <f t="shared" si="57"/>
        <v>1.1197633480518923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-5.6843418860808015E-13</v>
      </c>
      <c r="AJ125" s="13">
        <f>AI125*VLOOKUP('Données projet'!$B$10,Paramètres!$A$1:$I$89,3,0)*VLOOKUP('Données projet'!$B$10,Paramètres!$A$1:$I$89,5,0)</f>
        <v>-5.1431925385259092E-13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505.38595282220405</v>
      </c>
      <c r="AO125" s="59">
        <f t="shared" si="90"/>
        <v>351.72130415456365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0.38947298504189176</v>
      </c>
      <c r="AV125" s="21">
        <f>EXP(-LN(2)/25)*AV124+(1-EXP(-LN(2)/25))/(LN(2)/25)*Calculateur!AQ125*Calculateur!AS125*VLOOKUP('Données projet'!$B$10,Paramètres!$A$1:$I$89,3,0)*0.475*44/12</f>
        <v>0.88029293044159707</v>
      </c>
      <c r="AW125" s="21">
        <f>EXP(-LN(2)/2)*AW124+(1-EXP(-LN(2)/2))/(LN(2)/2)*AQ125*AT125*VLOOKUP('Données projet'!$B$10,Paramètres!$A$1:$I$89,3,0)*0.475*44/12</f>
        <v>3.0629133752465069E-13</v>
      </c>
      <c r="AX125" s="21">
        <f t="shared" si="60"/>
        <v>1.269765915483795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-4.0702161641092972E-13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394.14657090341535</v>
      </c>
      <c r="BJ125" s="59">
        <f t="shared" si="92"/>
        <v>424.06445894109982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0.5276390730594599</v>
      </c>
      <c r="BQ125" s="21">
        <f>EXP(-LN(2)/25)*BQ124+(1-EXP(-LN(2)/25))/(LN(2)/25)*Calculateur!BL125*Calculateur!BN125*VLOOKUP('Données projet'!$B$11,Paramètres!$A$1:$I$89,3,0)*0.475*44/12</f>
        <v>1.6009529332930532</v>
      </c>
      <c r="BR125" s="21">
        <f>EXP(-LN(2)/2)*BR124+(1-EXP(-LN(2)/2))/(LN(2)/2)*BL125*BO125*VLOOKUP('Données projet'!$B$11,Paramètres!$A$1:$I$89,3,0)*0.475*44/12</f>
        <v>3.4161522325969836E-13</v>
      </c>
      <c r="BS125" s="22">
        <f t="shared" si="63"/>
        <v>2.1285920063528545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5.6843418860808015E-13</v>
      </c>
      <c r="BZ125" s="13">
        <f>BY125*VLOOKUP('Données projet'!$B$12,Paramètres!$A$1:$I$89,3,0)*VLOOKUP('Données projet'!$B$12,Paramètres!$A$1:$I$89,5,0)</f>
        <v>3.1036506698001181E-13</v>
      </c>
      <c r="CA125" s="13">
        <f t="shared" si="93"/>
        <v>4.086682523110923E-12</v>
      </c>
      <c r="CB125" s="20">
        <f t="shared" si="64"/>
        <v>7.6581912194083782E-12</v>
      </c>
      <c r="CC125" s="59">
        <f t="shared" si="65"/>
        <v>282.49424588214947</v>
      </c>
      <c r="CD125" s="59">
        <f ca="1">AVERAGE(OFFSET($CC$3,0,0,'Données projet'!$E$12+1,1))-AVERAGE(OFFSET($H$3,0,0,'Données projet'!$E$12+1,1))</f>
        <v>382.09004346384319</v>
      </c>
      <c r="CE125" s="59">
        <f t="shared" si="94"/>
        <v>410.18893995284986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1.3773663705170345</v>
      </c>
      <c r="CL125" s="21">
        <f>EXP(-LN(2)/25)*CL124+(1-EXP(-LN(2)/25))/(LN(2)/25)*Calculateur!CG125*Calculateur!CI125*VLOOKUP('Données projet'!$B$12,Paramètres!$A$1:$I$89,3,0)*0.475*44/12</f>
        <v>2.6556468951596792</v>
      </c>
      <c r="CM125" s="21">
        <f>EXP(-LN(2)/2)*CM124+(1-EXP(-LN(2)/2))/(LN(2)/2)*CG125*CJ125*VLOOKUP('Données projet'!$B$12,Paramètres!$A$1:$I$89,3,0)*0.475*44/12</f>
        <v>3.5786379889467317E-13</v>
      </c>
      <c r="CN125" s="22">
        <f t="shared" si="66"/>
        <v>4.0330132656770719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363.02374534486341</v>
      </c>
      <c r="CZ125" s="59">
        <f t="shared" si="96"/>
        <v>489.00477393029598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1.1818490580581551</v>
      </c>
      <c r="DG125" s="21">
        <f>EXP(-LN(2)/25)*DG124+(1-EXP(-LN(2)/25))/(LN(2)/25)*Calculateur!DB125*Calculateur!DD125*VLOOKUP('Données projet'!$B$13,Paramètres!$A$1:$I$89,3,0)*0.475*44/12</f>
        <v>1.5106694400256866</v>
      </c>
      <c r="DH125" s="21">
        <f>EXP(-LN(2)/2)*DH124+(1-EXP(-LN(2)/2))/(LN(2)/2)*DB125*DE125*VLOOKUP('Données projet'!$B$13,Paramètres!$A$1:$I$89,3,0)*0.475*44/12</f>
        <v>4.1659034214322563E-13</v>
      </c>
      <c r="DI125" s="22">
        <f t="shared" si="69"/>
        <v>2.692518498084258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-3.7509835237869992E-13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368.03281986807173</v>
      </c>
      <c r="DU125" s="59">
        <f t="shared" si="98"/>
        <v>395.83504504492248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0.3945092736415719</v>
      </c>
      <c r="EB125" s="21">
        <f>EXP(-LN(2)/25)*EB124+(1-EXP(-LN(2)/25))/(LN(2)/25)*Calculateur!DW125*Calculateur!DY125*VLOOKUP('Données projet'!$B$14,Paramètres!$A$1:$I$89,3,0)*0.475*44/12</f>
        <v>1.1970129035091626</v>
      </c>
      <c r="EC125" s="21">
        <f>EXP(-LN(2)/2)*EC124+(1-EXP(-LN(2)/2))/(LN(2)/2)*DW125*DZ125*VLOOKUP('Données projet'!$B$14,Paramètres!$A$1:$I$89,3,0)*0.475*44/12</f>
        <v>3.1482187241580273E-13</v>
      </c>
      <c r="ED125" s="22">
        <f t="shared" si="72"/>
        <v>1.5915221771510493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225.2264820414552</v>
      </c>
      <c r="EP125" s="59">
        <f t="shared" si="100"/>
        <v>249.91838548328681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0.357737868550702</v>
      </c>
      <c r="EW125" s="21">
        <f>EXP(-LN(2)/25)*EW124+(1-EXP(-LN(2)/25))/(LN(2)/25)*Calculateur!ER125*Calculateur!ET125*VLOOKUP('Données projet'!$B$15,Paramètres!$A$1:$I$89,3,0)*0.475*44/12</f>
        <v>0.67531477629398473</v>
      </c>
      <c r="EX125" s="21">
        <f>EXP(-LN(2)/2)*EX124+(1-EXP(-LN(2)/2))/(LN(2)/2)*ER125*EU125*VLOOKUP('Données projet'!$B$15,Paramètres!$A$1:$I$89,3,0)*0.475*44/12</f>
        <v>5.7490334067394715E-14</v>
      </c>
      <c r="EY125" s="22">
        <f t="shared" si="75"/>
        <v>1.0330526448447441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-1.2505552149377763E-12</v>
      </c>
      <c r="FF125" s="17">
        <f>FE125*VLOOKUP('Données projet'!$B$16,Paramètres!$A$1:$I$89,3,0)*VLOOKUP('Données projet'!$B$16,Paramètres!$A$1:$I$89,5,0)</f>
        <v>-6.9906036515021697E-13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549.85684198202534</v>
      </c>
      <c r="FK125" s="59">
        <f t="shared" si="102"/>
        <v>539.63748606275431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1.8466391532158704</v>
      </c>
      <c r="FR125" s="21">
        <f>EXP(-LN(2)/25)*FR124+(1-EXP(-LN(2)/25))/(LN(2)/25)*Calculateur!FM125*Calculateur!FO125*VLOOKUP('Données projet'!$B$16,Paramètres!$A$1:$I$89,3,0)*0.475*44/12</f>
        <v>3.0240347307237117</v>
      </c>
      <c r="FS125" s="21">
        <f>EXP(-LN(2)/2)*FS124+(1-EXP(-LN(2)/2))/(LN(2)/2)*FM125*FP125*VLOOKUP('Données projet'!$B$16,Paramètres!$A$1:$I$89,3,0)*0.475*44/12</f>
        <v>5.1829674923502148E-13</v>
      </c>
      <c r="FT125" s="22">
        <f t="shared" si="78"/>
        <v>4.8706738839401007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-5.6843418860808015E-13</v>
      </c>
      <c r="GA125" s="17">
        <f>FZ125*VLOOKUP('Données projet'!$B$17,Paramètres!$A$1:$I$89,3,0)*VLOOKUP('Données projet'!$B$17,Paramètres!$A$1:$I$89,5,0)</f>
        <v>-3.39923644787632E-13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495.6641415122013</v>
      </c>
      <c r="GF125" s="59">
        <f t="shared" si="104"/>
        <v>488.90534169400757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0.64651890861003714</v>
      </c>
      <c r="GM125" s="21">
        <f>EXP(-LN(2)/25)*GM124+(1-EXP(-LN(2)/25))/(LN(2)/25)*Calculateur!GH125*Calculateur!GJ125*VLOOKUP('Données projet'!$B$17,Paramètres!$A$1:$I$89,3,0)*0.475*44/12</f>
        <v>2.0289344791670754</v>
      </c>
      <c r="GN125" s="21">
        <f>EXP(-LN(2)/2)*GN124+(1-EXP(-LN(2)/2))/(LN(2)/2)*GH125*GK125*VLOOKUP('Données projet'!$B$17,Paramètres!$A$1:$I$89,3,0)*0.475*44/12</f>
        <v>4.9395983685102527E-13</v>
      </c>
      <c r="GO125" s="21">
        <f t="shared" si="81"/>
        <v>2.6754533877776066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-5.6843418860808015E-13</v>
      </c>
      <c r="GV125" s="17">
        <f>GU125*VLOOKUP('Données projet'!$B$18,Paramètres!$A$1:$I$89,3,0)*VLOOKUP('Données projet'!$B$18,Paramètres!$A$1:$I$89,5,0)</f>
        <v>-3.39923644787632E-13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-18.333333333333343</v>
      </c>
      <c r="HA125" s="59">
        <f t="shared" si="106"/>
        <v>-18.333333333333343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0.64651890861003714</v>
      </c>
      <c r="HH125" s="21">
        <f>EXP(-LN(2)/25)*HH124+(1-EXP(-LN(2)/25))/(LN(2)/25)*Calculateur!HC125*Calculateur!HE125*VLOOKUP('Données projet'!$B$18,Paramètres!$A$1:$I$89,3,0)*0.475*44/12</f>
        <v>2.0289344791670754</v>
      </c>
      <c r="HI125" s="21">
        <f>EXP(-LN(2)/2)*HI124+(1-EXP(-LN(2)/2))/(LN(2)/2)*HC125*HF125*VLOOKUP('Données projet'!$B$18,Paramètres!$A$1:$I$89,3,0)*0.475*44/12</f>
        <v>4.9395983685102527E-13</v>
      </c>
      <c r="HJ125" s="22">
        <f t="shared" si="84"/>
        <v>2.6754533877776066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376.11581547534814</v>
      </c>
      <c r="T126" s="59">
        <f t="shared" si="88"/>
        <v>300.91675649863294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0.4969353335464744</v>
      </c>
      <c r="AA126" s="21">
        <f>EXP(-LN(2)/25)*AA125+(1-EXP(-LN(2)/25))/(LN(2)/25)*Calculateur!V126*Calculateur!X126*VLOOKUP('Données projet'!$B$9,Paramètres!$A$1:$I$89,3,0)*0.475*44/12</f>
        <v>0.59612903957288865</v>
      </c>
      <c r="AB126" s="21">
        <f>EXP(-LN(2)/2)*AB125+(1-EXP(-LN(2)/2))/(LN(2)/2)*V126*Y126*VLOOKUP('Données projet'!$B$9,Paramètres!$A$1:$I$89,3,0)*0.475*44/12</f>
        <v>9.8799527322628607E-14</v>
      </c>
      <c r="AC126" s="22">
        <f t="shared" si="57"/>
        <v>1.0930643731194618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-5.6843418860808015E-13</v>
      </c>
      <c r="AJ126" s="13">
        <f>AI126*VLOOKUP('Données projet'!$B$10,Paramètres!$A$1:$I$89,3,0)*VLOOKUP('Données projet'!$B$10,Paramètres!$A$1:$I$89,5,0)</f>
        <v>-5.1431925385259092E-13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505.38595282220405</v>
      </c>
      <c r="AO126" s="59">
        <f t="shared" si="90"/>
        <v>351.72130415456365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0.38183565736028452</v>
      </c>
      <c r="AV126" s="21">
        <f>EXP(-LN(2)/25)*AV125+(1-EXP(-LN(2)/25))/(LN(2)/25)*Calculateur!AQ126*Calculateur!AS126*VLOOKUP('Données projet'!$B$10,Paramètres!$A$1:$I$89,3,0)*0.475*44/12</f>
        <v>0.85622127396607828</v>
      </c>
      <c r="AW126" s="21">
        <f>EXP(-LN(2)/2)*AW125+(1-EXP(-LN(2)/2))/(LN(2)/2)*AQ126*AT126*VLOOKUP('Données projet'!$B$10,Paramètres!$A$1:$I$89,3,0)*0.475*44/12</f>
        <v>2.1658068178237815E-13</v>
      </c>
      <c r="AX126" s="21">
        <f t="shared" si="60"/>
        <v>1.2380569313265792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-4.0702161641092972E-13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394.14657090341535</v>
      </c>
      <c r="BJ126" s="59">
        <f t="shared" si="92"/>
        <v>424.06445894109982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0.51729239266482052</v>
      </c>
      <c r="BQ126" s="21">
        <f>EXP(-LN(2)/25)*BQ125+(1-EXP(-LN(2)/25))/(LN(2)/25)*Calculateur!BL126*Calculateur!BN126*VLOOKUP('Données projet'!$B$11,Paramètres!$A$1:$I$89,3,0)*0.475*44/12</f>
        <v>1.5571747911416989</v>
      </c>
      <c r="BR126" s="21">
        <f>EXP(-LN(2)/2)*BR125+(1-EXP(-LN(2)/2))/(LN(2)/2)*BL126*BO126*VLOOKUP('Données projet'!$B$11,Paramètres!$A$1:$I$89,3,0)*0.475*44/12</f>
        <v>2.415584409234891E-13</v>
      </c>
      <c r="BS126" s="22">
        <f t="shared" si="63"/>
        <v>2.0744671838067612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5.6843418860808015E-13</v>
      </c>
      <c r="BZ126" s="13">
        <f>BY126*VLOOKUP('Données projet'!$B$12,Paramètres!$A$1:$I$89,3,0)*VLOOKUP('Données projet'!$B$12,Paramètres!$A$1:$I$89,5,0)</f>
        <v>3.1036506698001181E-13</v>
      </c>
      <c r="CA126" s="13">
        <f t="shared" si="93"/>
        <v>4.086682523110923E-12</v>
      </c>
      <c r="CB126" s="20">
        <f t="shared" si="64"/>
        <v>7.6581912194083782E-12</v>
      </c>
      <c r="CC126" s="59">
        <f t="shared" si="65"/>
        <v>282.68227981685834</v>
      </c>
      <c r="CD126" s="59">
        <f ca="1">AVERAGE(OFFSET($CC$3,0,0,'Données projet'!$E$12+1,1))-AVERAGE(OFFSET($H$3,0,0,'Données projet'!$E$12+1,1))</f>
        <v>382.09004346384319</v>
      </c>
      <c r="CE126" s="59">
        <f t="shared" si="94"/>
        <v>410.18893995284986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1.3503570561017275</v>
      </c>
      <c r="CL126" s="21">
        <f>EXP(-LN(2)/25)*CL125+(1-EXP(-LN(2)/25))/(LN(2)/25)*Calculateur!CG126*Calculateur!CI126*VLOOKUP('Données projet'!$B$12,Paramètres!$A$1:$I$89,3,0)*0.475*44/12</f>
        <v>2.5830280911571371</v>
      </c>
      <c r="CM126" s="21">
        <f>EXP(-LN(2)/2)*CM125+(1-EXP(-LN(2)/2))/(LN(2)/2)*CG126*CJ126*VLOOKUP('Données projet'!$B$12,Paramètres!$A$1:$I$89,3,0)*0.475*44/12</f>
        <v>2.530479189396023E-13</v>
      </c>
      <c r="CN126" s="22">
        <f t="shared" si="66"/>
        <v>3.9333851472591177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363.02374534486341</v>
      </c>
      <c r="CZ126" s="59">
        <f t="shared" si="96"/>
        <v>489.00477393029598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1.1586737188863814</v>
      </c>
      <c r="DG126" s="21">
        <f>EXP(-LN(2)/25)*DG125+(1-EXP(-LN(2)/25))/(LN(2)/25)*Calculateur!DB126*Calculateur!DD126*VLOOKUP('Données projet'!$B$13,Paramètres!$A$1:$I$89,3,0)*0.475*44/12</f>
        <v>1.4693601047455309</v>
      </c>
      <c r="DH126" s="21">
        <f>EXP(-LN(2)/2)*DH125+(1-EXP(-LN(2)/2))/(LN(2)/2)*DB126*DE126*VLOOKUP('Données projet'!$B$13,Paramètres!$A$1:$I$89,3,0)*0.475*44/12</f>
        <v>2.9457385590629881E-13</v>
      </c>
      <c r="DI126" s="22">
        <f t="shared" si="69"/>
        <v>2.6280338236322067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-3.7509835237869992E-13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368.03281986807173</v>
      </c>
      <c r="DU126" s="59">
        <f t="shared" si="98"/>
        <v>395.83504504492248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0.38677318741235767</v>
      </c>
      <c r="EB126" s="21">
        <f>EXP(-LN(2)/25)*EB125+(1-EXP(-LN(2)/25))/(LN(2)/25)*Calculateur!DW126*Calculateur!DY126*VLOOKUP('Données projet'!$B$14,Paramètres!$A$1:$I$89,3,0)*0.475*44/12</f>
        <v>1.1642805227145316</v>
      </c>
      <c r="EC126" s="21">
        <f>EXP(-LN(2)/2)*EC125+(1-EXP(-LN(2)/2))/(LN(2)/2)*DW126*DZ126*VLOOKUP('Données projet'!$B$14,Paramètres!$A$1:$I$89,3,0)*0.475*44/12</f>
        <v>2.2261268085106022E-13</v>
      </c>
      <c r="ED126" s="22">
        <f t="shared" si="72"/>
        <v>1.551053710127112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225.2264820414552</v>
      </c>
      <c r="EP126" s="59">
        <f t="shared" si="100"/>
        <v>249.91838548328681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0.35072284714697721</v>
      </c>
      <c r="EW126" s="21">
        <f>EXP(-LN(2)/25)*EW125+(1-EXP(-LN(2)/25))/(LN(2)/25)*Calculateur!ER126*Calculateur!ET126*VLOOKUP('Données projet'!$B$15,Paramètres!$A$1:$I$89,3,0)*0.475*44/12</f>
        <v>0.65684825822296511</v>
      </c>
      <c r="EX126" s="21">
        <f>EXP(-LN(2)/2)*EX125+(1-EXP(-LN(2)/2))/(LN(2)/2)*ER126*EU126*VLOOKUP('Données projet'!$B$15,Paramètres!$A$1:$I$89,3,0)*0.475*44/12</f>
        <v>4.0651805071734794E-14</v>
      </c>
      <c r="EY126" s="22">
        <f t="shared" si="75"/>
        <v>1.007571105369983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-1.2505552149377763E-12</v>
      </c>
      <c r="FF126" s="17">
        <f>FE126*VLOOKUP('Données projet'!$B$16,Paramètres!$A$1:$I$89,3,0)*VLOOKUP('Données projet'!$B$16,Paramètres!$A$1:$I$89,5,0)</f>
        <v>-6.9906036515021697E-13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549.85684198202534</v>
      </c>
      <c r="FK126" s="59">
        <f t="shared" si="102"/>
        <v>539.63748606275431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1.8104276857599739</v>
      </c>
      <c r="FR126" s="21">
        <f>EXP(-LN(2)/25)*FR125+(1-EXP(-LN(2)/25))/(LN(2)/25)*Calculateur!FM126*Calculateur!FO126*VLOOKUP('Données projet'!$B$16,Paramètres!$A$1:$I$89,3,0)*0.475*44/12</f>
        <v>2.9413423419849969</v>
      </c>
      <c r="FS126" s="21">
        <f>EXP(-LN(2)/2)*FS125+(1-EXP(-LN(2)/2))/(LN(2)/2)*FM126*FP126*VLOOKUP('Données projet'!$B$16,Paramètres!$A$1:$I$89,3,0)*0.475*44/12</f>
        <v>3.6649114605102723E-13</v>
      </c>
      <c r="FT126" s="22">
        <f t="shared" si="78"/>
        <v>4.7517700277453381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-5.6843418860808015E-13</v>
      </c>
      <c r="GA126" s="17">
        <f>FZ126*VLOOKUP('Données projet'!$B$17,Paramètres!$A$1:$I$89,3,0)*VLOOKUP('Données projet'!$B$17,Paramètres!$A$1:$I$89,5,0)</f>
        <v>-3.39923644787632E-13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495.6641415122013</v>
      </c>
      <c r="GF126" s="59">
        <f t="shared" si="104"/>
        <v>488.90534169400757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0.63384106714979094</v>
      </c>
      <c r="GM126" s="21">
        <f>EXP(-LN(2)/25)*GM125+(1-EXP(-LN(2)/25))/(LN(2)/25)*Calculateur!GH126*Calculateur!GJ126*VLOOKUP('Données projet'!$B$17,Paramètres!$A$1:$I$89,3,0)*0.475*44/12</f>
        <v>1.9734531591372246</v>
      </c>
      <c r="GN126" s="21">
        <f>EXP(-LN(2)/2)*GN125+(1-EXP(-LN(2)/2))/(LN(2)/2)*GH126*GK126*VLOOKUP('Données projet'!$B$17,Paramètres!$A$1:$I$89,3,0)*0.475*44/12</f>
        <v>3.4928235027116064E-13</v>
      </c>
      <c r="GO126" s="21">
        <f t="shared" si="81"/>
        <v>2.6072942262873648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-5.6843418860808015E-13</v>
      </c>
      <c r="GV126" s="17">
        <f>GU126*VLOOKUP('Données projet'!$B$18,Paramètres!$A$1:$I$89,3,0)*VLOOKUP('Données projet'!$B$18,Paramètres!$A$1:$I$89,5,0)</f>
        <v>-3.39923644787632E-13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-18.333333333333343</v>
      </c>
      <c r="HA126" s="59">
        <f t="shared" si="106"/>
        <v>-18.333333333333343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0.63384106714979094</v>
      </c>
      <c r="HH126" s="21">
        <f>EXP(-LN(2)/25)*HH125+(1-EXP(-LN(2)/25))/(LN(2)/25)*Calculateur!HC126*Calculateur!HE126*VLOOKUP('Données projet'!$B$18,Paramètres!$A$1:$I$89,3,0)*0.475*44/12</f>
        <v>1.9734531591372246</v>
      </c>
      <c r="HI126" s="21">
        <f>EXP(-LN(2)/2)*HI125+(1-EXP(-LN(2)/2))/(LN(2)/2)*HC126*HF126*VLOOKUP('Données projet'!$B$18,Paramètres!$A$1:$I$89,3,0)*0.475*44/12</f>
        <v>3.4928235027116064E-13</v>
      </c>
      <c r="HJ126" s="22">
        <f t="shared" si="84"/>
        <v>2.6072942262873648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376.11581547534814</v>
      </c>
      <c r="T127" s="59">
        <f t="shared" si="88"/>
        <v>300.91675649863294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0.4871907347562528</v>
      </c>
      <c r="AA127" s="21">
        <f>EXP(-LN(2)/25)*AA126+(1-EXP(-LN(2)/25))/(LN(2)/25)*Calculateur!V127*Calculateur!X127*VLOOKUP('Données projet'!$B$9,Paramètres!$A$1:$I$89,3,0)*0.475*44/12</f>
        <v>0.57982785963670425</v>
      </c>
      <c r="AB127" s="21">
        <f>EXP(-LN(2)/2)*AB126+(1-EXP(-LN(2)/2))/(LN(2)/2)*V127*Y127*VLOOKUP('Données projet'!$B$9,Paramètres!$A$1:$I$89,3,0)*0.475*44/12</f>
        <v>6.9861815747856269E-14</v>
      </c>
      <c r="AC127" s="22">
        <f t="shared" si="57"/>
        <v>1.067018594393027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-5.6843418860808015E-13</v>
      </c>
      <c r="AJ127" s="13">
        <f>AI127*VLOOKUP('Données projet'!$B$10,Paramètres!$A$1:$I$89,3,0)*VLOOKUP('Données projet'!$B$10,Paramètres!$A$1:$I$89,5,0)</f>
        <v>-5.1431925385259092E-13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505.38595282220405</v>
      </c>
      <c r="AO127" s="59">
        <f t="shared" si="90"/>
        <v>351.72130415456365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0.3743480930162037</v>
      </c>
      <c r="AV127" s="21">
        <f>EXP(-LN(2)/25)*AV126+(1-EXP(-LN(2)/25))/(LN(2)/25)*Calculateur!AQ127*Calculateur!AS127*VLOOKUP('Données projet'!$B$10,Paramètres!$A$1:$I$89,3,0)*0.475*44/12</f>
        <v>0.83280785820275594</v>
      </c>
      <c r="AW127" s="21">
        <f>EXP(-LN(2)/2)*AW126+(1-EXP(-LN(2)/2))/(LN(2)/2)*AQ127*AT127*VLOOKUP('Données projet'!$B$10,Paramètres!$A$1:$I$89,3,0)*0.475*44/12</f>
        <v>1.5314566876232535E-13</v>
      </c>
      <c r="AX127" s="21">
        <f t="shared" si="60"/>
        <v>1.2071559512191128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-4.0702161641092972E-13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394.14657090341535</v>
      </c>
      <c r="BJ127" s="59">
        <f t="shared" si="92"/>
        <v>424.06445894109982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0.50714860436186815</v>
      </c>
      <c r="BQ127" s="21">
        <f>EXP(-LN(2)/25)*BQ126+(1-EXP(-LN(2)/25))/(LN(2)/25)*Calculateur!BL127*Calculateur!BN127*VLOOKUP('Données projet'!$B$11,Paramètres!$A$1:$I$89,3,0)*0.475*44/12</f>
        <v>1.5145937645896659</v>
      </c>
      <c r="BR127" s="21">
        <f>EXP(-LN(2)/2)*BR126+(1-EXP(-LN(2)/2))/(LN(2)/2)*BL127*BO127*VLOOKUP('Données projet'!$B$11,Paramètres!$A$1:$I$89,3,0)*0.475*44/12</f>
        <v>1.7080761162984918E-13</v>
      </c>
      <c r="BS127" s="22">
        <f t="shared" si="63"/>
        <v>2.0217423689517049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5.6843418860808015E-13</v>
      </c>
      <c r="BZ127" s="13">
        <f>BY127*VLOOKUP('Données projet'!$B$12,Paramètres!$A$1:$I$89,3,0)*VLOOKUP('Données projet'!$B$12,Paramètres!$A$1:$I$89,5,0)</f>
        <v>3.1036506698001181E-13</v>
      </c>
      <c r="CA127" s="13">
        <f t="shared" si="93"/>
        <v>4.086682523110923E-12</v>
      </c>
      <c r="CB127" s="20">
        <f t="shared" si="64"/>
        <v>7.6581912194083782E-12</v>
      </c>
      <c r="CC127" s="59">
        <f t="shared" si="65"/>
        <v>282.86705178318101</v>
      </c>
      <c r="CD127" s="59">
        <f ca="1">AVERAGE(OFFSET($CC$3,0,0,'Données projet'!$E$12+1,1))-AVERAGE(OFFSET($H$3,0,0,'Données projet'!$E$12+1,1))</f>
        <v>382.09004346384319</v>
      </c>
      <c r="CE127" s="59">
        <f t="shared" si="94"/>
        <v>410.18893995284986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1.3238773778680495</v>
      </c>
      <c r="CL127" s="21">
        <f>EXP(-LN(2)/25)*CL126+(1-EXP(-LN(2)/25))/(LN(2)/25)*Calculateur!CG127*Calculateur!CI127*VLOOKUP('Données projet'!$B$12,Paramètres!$A$1:$I$89,3,0)*0.475*44/12</f>
        <v>2.5123950521689014</v>
      </c>
      <c r="CM127" s="21">
        <f>EXP(-LN(2)/2)*CM126+(1-EXP(-LN(2)/2))/(LN(2)/2)*CG127*CJ127*VLOOKUP('Données projet'!$B$12,Paramètres!$A$1:$I$89,3,0)*0.475*44/12</f>
        <v>1.7893189944733658E-13</v>
      </c>
      <c r="CN127" s="22">
        <f t="shared" si="66"/>
        <v>3.83627243003713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363.02374534486341</v>
      </c>
      <c r="CZ127" s="59">
        <f t="shared" si="96"/>
        <v>489.00477393029598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1.135952833980205</v>
      </c>
      <c r="DG127" s="21">
        <f>EXP(-LN(2)/25)*DG126+(1-EXP(-LN(2)/25))/(LN(2)/25)*Calculateur!DB127*Calculateur!DD127*VLOOKUP('Données projet'!$B$13,Paramètres!$A$1:$I$89,3,0)*0.475*44/12</f>
        <v>1.4291803754109746</v>
      </c>
      <c r="DH127" s="21">
        <f>EXP(-LN(2)/2)*DH126+(1-EXP(-LN(2)/2))/(LN(2)/2)*DB127*DE127*VLOOKUP('Données projet'!$B$13,Paramètres!$A$1:$I$89,3,0)*0.475*44/12</f>
        <v>2.0829517107161282E-13</v>
      </c>
      <c r="DI127" s="22">
        <f t="shared" si="69"/>
        <v>2.5651332093913877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-3.7509835237869992E-13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368.03281986807173</v>
      </c>
      <c r="DU127" s="59">
        <f t="shared" si="98"/>
        <v>395.83504504492248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0.37918880111555164</v>
      </c>
      <c r="EB127" s="21">
        <f>EXP(-LN(2)/25)*EB126+(1-EXP(-LN(2)/25))/(LN(2)/25)*Calculateur!DW127*Calculateur!DY127*VLOOKUP('Données projet'!$B$14,Paramètres!$A$1:$I$89,3,0)*0.475*44/12</f>
        <v>1.1324432105940512</v>
      </c>
      <c r="EC127" s="21">
        <f>EXP(-LN(2)/2)*EC126+(1-EXP(-LN(2)/2))/(LN(2)/2)*DW127*DZ127*VLOOKUP('Données projet'!$B$14,Paramètres!$A$1:$I$89,3,0)*0.475*44/12</f>
        <v>1.5741093620790139E-13</v>
      </c>
      <c r="ED127" s="22">
        <f t="shared" si="72"/>
        <v>1.5116320117097601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225.2264820414552</v>
      </c>
      <c r="EP127" s="59">
        <f t="shared" si="100"/>
        <v>249.91838548328681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0.34384538603423892</v>
      </c>
      <c r="EW127" s="21">
        <f>EXP(-LN(2)/25)*EW126+(1-EXP(-LN(2)/25))/(LN(2)/25)*Calculateur!ER127*Calculateur!ET127*VLOOKUP('Données projet'!$B$15,Paramètres!$A$1:$I$89,3,0)*0.475*44/12</f>
        <v>0.63888670805970948</v>
      </c>
      <c r="EX127" s="21">
        <f>EXP(-LN(2)/2)*EX126+(1-EXP(-LN(2)/2))/(LN(2)/2)*ER127*EU127*VLOOKUP('Données projet'!$B$15,Paramètres!$A$1:$I$89,3,0)*0.475*44/12</f>
        <v>2.8745167033697358E-14</v>
      </c>
      <c r="EY127" s="22">
        <f t="shared" si="75"/>
        <v>0.9827320940939771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-1.2505552149377763E-12</v>
      </c>
      <c r="FF127" s="17">
        <f>FE127*VLOOKUP('Données projet'!$B$16,Paramètres!$A$1:$I$89,3,0)*VLOOKUP('Données projet'!$B$16,Paramètres!$A$1:$I$89,5,0)</f>
        <v>-6.9906036515021697E-13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549.85684198202534</v>
      </c>
      <c r="FK127" s="59">
        <f t="shared" si="102"/>
        <v>539.63748606275431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1.7749263030940734</v>
      </c>
      <c r="FR127" s="21">
        <f>EXP(-LN(2)/25)*FR126+(1-EXP(-LN(2)/25))/(LN(2)/25)*Calculateur!FM127*Calculateur!FO127*VLOOKUP('Données projet'!$B$16,Paramètres!$A$1:$I$89,3,0)*0.475*44/12</f>
        <v>2.8609111809649459</v>
      </c>
      <c r="FS127" s="21">
        <f>EXP(-LN(2)/2)*FS126+(1-EXP(-LN(2)/2))/(LN(2)/2)*FM127*FP127*VLOOKUP('Données projet'!$B$16,Paramètres!$A$1:$I$89,3,0)*0.475*44/12</f>
        <v>2.5914837461751074E-13</v>
      </c>
      <c r="FT127" s="22">
        <f t="shared" si="78"/>
        <v>4.6358374840592784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-5.6843418860808015E-13</v>
      </c>
      <c r="GA127" s="17">
        <f>FZ127*VLOOKUP('Données projet'!$B$17,Paramètres!$A$1:$I$89,3,0)*VLOOKUP('Données projet'!$B$17,Paramètres!$A$1:$I$89,5,0)</f>
        <v>-3.39923644787632E-13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495.6641415122013</v>
      </c>
      <c r="GF127" s="59">
        <f t="shared" si="104"/>
        <v>488.90534169400757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0.62141183042786041</v>
      </c>
      <c r="GM127" s="21">
        <f>EXP(-LN(2)/25)*GM126+(1-EXP(-LN(2)/25))/(LN(2)/25)*Calculateur!GH127*Calculateur!GJ127*VLOOKUP('Données projet'!$B$17,Paramètres!$A$1:$I$89,3,0)*0.475*44/12</f>
        <v>1.9194889787212259</v>
      </c>
      <c r="GN127" s="21">
        <f>EXP(-LN(2)/2)*GN126+(1-EXP(-LN(2)/2))/(LN(2)/2)*GH127*GK127*VLOOKUP('Données projet'!$B$17,Paramètres!$A$1:$I$89,3,0)*0.475*44/12</f>
        <v>2.4697991842551263E-13</v>
      </c>
      <c r="GO127" s="21">
        <f t="shared" si="81"/>
        <v>2.540900809149333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-5.6843418860808015E-13</v>
      </c>
      <c r="GV127" s="17">
        <f>GU127*VLOOKUP('Données projet'!$B$18,Paramètres!$A$1:$I$89,3,0)*VLOOKUP('Données projet'!$B$18,Paramètres!$A$1:$I$89,5,0)</f>
        <v>-3.39923644787632E-13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-18.333333333333343</v>
      </c>
      <c r="HA127" s="59">
        <f t="shared" si="106"/>
        <v>-18.333333333333343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0.62141183042786041</v>
      </c>
      <c r="HH127" s="21">
        <f>EXP(-LN(2)/25)*HH126+(1-EXP(-LN(2)/25))/(LN(2)/25)*Calculateur!HC127*Calculateur!HE127*VLOOKUP('Données projet'!$B$18,Paramètres!$A$1:$I$89,3,0)*0.475*44/12</f>
        <v>1.9194889787212259</v>
      </c>
      <c r="HI127" s="21">
        <f>EXP(-LN(2)/2)*HI126+(1-EXP(-LN(2)/2))/(LN(2)/2)*HC127*HF127*VLOOKUP('Données projet'!$B$18,Paramètres!$A$1:$I$89,3,0)*0.475*44/12</f>
        <v>2.4697991842551263E-13</v>
      </c>
      <c r="HJ127" s="22">
        <f t="shared" si="84"/>
        <v>2.540900809149333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376.11581547534814</v>
      </c>
      <c r="T128" s="59">
        <f t="shared" si="88"/>
        <v>300.91675649863294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0.47763722160468908</v>
      </c>
      <c r="AA128" s="21">
        <f>EXP(-LN(2)/25)*AA127+(1-EXP(-LN(2)/25))/(LN(2)/25)*Calculateur!V128*Calculateur!X128*VLOOKUP('Données projet'!$B$9,Paramètres!$A$1:$I$89,3,0)*0.475*44/12</f>
        <v>0.56397243632311667</v>
      </c>
      <c r="AB128" s="21">
        <f>EXP(-LN(2)/2)*AB127+(1-EXP(-LN(2)/2))/(LN(2)/2)*V128*Y128*VLOOKUP('Données projet'!$B$9,Paramètres!$A$1:$I$89,3,0)*0.475*44/12</f>
        <v>4.9399763661314303E-14</v>
      </c>
      <c r="AC128" s="22">
        <f t="shared" si="57"/>
        <v>1.0416096579278551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-5.6843418860808015E-13</v>
      </c>
      <c r="AJ128" s="13">
        <f>AI128*VLOOKUP('Données projet'!$B$10,Paramètres!$A$1:$I$89,3,0)*VLOOKUP('Données projet'!$B$10,Paramètres!$A$1:$I$89,5,0)</f>
        <v>-5.1431925385259092E-13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505.38595282220405</v>
      </c>
      <c r="AO128" s="59">
        <f t="shared" si="90"/>
        <v>351.72130415456365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0.367007355241947</v>
      </c>
      <c r="AV128" s="21">
        <f>EXP(-LN(2)/25)*AV127+(1-EXP(-LN(2)/25))/(LN(2)/25)*Calculateur!AQ128*Calculateur!AS128*VLOOKUP('Données projet'!$B$10,Paramètres!$A$1:$I$89,3,0)*0.475*44/12</f>
        <v>0.81003468352473973</v>
      </c>
      <c r="AW128" s="21">
        <f>EXP(-LN(2)/2)*AW127+(1-EXP(-LN(2)/2))/(LN(2)/2)*AQ128*AT128*VLOOKUP('Données projet'!$B$10,Paramètres!$A$1:$I$89,3,0)*0.475*44/12</f>
        <v>1.0829034089118908E-13</v>
      </c>
      <c r="AX128" s="21">
        <f t="shared" si="60"/>
        <v>1.177042038766795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-4.0702161641092972E-13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394.14657090341535</v>
      </c>
      <c r="BJ128" s="59">
        <f t="shared" si="92"/>
        <v>424.06445894109982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0.49720372956043679</v>
      </c>
      <c r="BQ128" s="21">
        <f>EXP(-LN(2)/25)*BQ127+(1-EXP(-LN(2)/25))/(LN(2)/25)*Calculateur!BL128*Calculateur!BN128*VLOOKUP('Données projet'!$B$11,Paramètres!$A$1:$I$89,3,0)*0.475*44/12</f>
        <v>1.473177118447937</v>
      </c>
      <c r="BR128" s="21">
        <f>EXP(-LN(2)/2)*BR127+(1-EXP(-LN(2)/2))/(LN(2)/2)*BL128*BO128*VLOOKUP('Données projet'!$B$11,Paramètres!$A$1:$I$89,3,0)*0.475*44/12</f>
        <v>1.2077922046174455E-13</v>
      </c>
      <c r="BS128" s="22">
        <f t="shared" si="63"/>
        <v>1.9703808480084946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5.6843418860808015E-13</v>
      </c>
      <c r="BZ128" s="13">
        <f>BY128*VLOOKUP('Données projet'!$B$12,Paramètres!$A$1:$I$89,3,0)*VLOOKUP('Données projet'!$B$12,Paramètres!$A$1:$I$89,5,0)</f>
        <v>3.1036506698001181E-13</v>
      </c>
      <c r="CA128" s="13">
        <f t="shared" si="93"/>
        <v>4.086682523110923E-12</v>
      </c>
      <c r="CB128" s="20">
        <f t="shared" si="64"/>
        <v>7.6581912194083782E-12</v>
      </c>
      <c r="CC128" s="59">
        <f t="shared" si="65"/>
        <v>283.04861836897618</v>
      </c>
      <c r="CD128" s="59">
        <f ca="1">AVERAGE(OFFSET($CC$3,0,0,'Données projet'!$E$12+1,1))-AVERAGE(OFFSET($H$3,0,0,'Données projet'!$E$12+1,1))</f>
        <v>382.09004346384319</v>
      </c>
      <c r="CE128" s="59">
        <f t="shared" si="94"/>
        <v>410.18893995284986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1.297916949973525</v>
      </c>
      <c r="CL128" s="21">
        <f>EXP(-LN(2)/25)*CL127+(1-EXP(-LN(2)/25))/(LN(2)/25)*Calculateur!CG128*Calculateur!CI128*VLOOKUP('Données projet'!$B$12,Paramètres!$A$1:$I$89,3,0)*0.475*44/12</f>
        <v>2.4436934773462293</v>
      </c>
      <c r="CM128" s="21">
        <f>EXP(-LN(2)/2)*CM127+(1-EXP(-LN(2)/2))/(LN(2)/2)*CG128*CJ128*VLOOKUP('Données projet'!$B$12,Paramètres!$A$1:$I$89,3,0)*0.475*44/12</f>
        <v>1.2652395946980115E-13</v>
      </c>
      <c r="CN128" s="22">
        <f t="shared" si="66"/>
        <v>3.7416104273198809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363.02374534486341</v>
      </c>
      <c r="CZ128" s="59">
        <f t="shared" si="96"/>
        <v>489.00477393029598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1.1136774917686674</v>
      </c>
      <c r="DG128" s="21">
        <f>EXP(-LN(2)/25)*DG127+(1-EXP(-LN(2)/25))/(LN(2)/25)*Calculateur!DB128*Calculateur!DD128*VLOOKUP('Données projet'!$B$13,Paramètres!$A$1:$I$89,3,0)*0.475*44/12</f>
        <v>1.390099362888032</v>
      </c>
      <c r="DH128" s="21">
        <f>EXP(-LN(2)/2)*DH127+(1-EXP(-LN(2)/2))/(LN(2)/2)*DB128*DE128*VLOOKUP('Données projet'!$B$13,Paramètres!$A$1:$I$89,3,0)*0.475*44/12</f>
        <v>1.4728692795314941E-13</v>
      </c>
      <c r="DI128" s="22">
        <f t="shared" si="69"/>
        <v>2.5037768546568469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-3.7509835237869992E-13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368.03281986807173</v>
      </c>
      <c r="DU128" s="59">
        <f t="shared" si="98"/>
        <v>395.83504504492248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0.37175314000800713</v>
      </c>
      <c r="EB128" s="21">
        <f>EXP(-LN(2)/25)*EB127+(1-EXP(-LN(2)/25))/(LN(2)/25)*Calculateur!DW128*Calculateur!DY128*VLOOKUP('Données projet'!$B$14,Paramètres!$A$1:$I$89,3,0)*0.475*44/12</f>
        <v>1.1014764914477566</v>
      </c>
      <c r="EC128" s="21">
        <f>EXP(-LN(2)/2)*EC127+(1-EXP(-LN(2)/2))/(LN(2)/2)*DW128*DZ128*VLOOKUP('Données projet'!$B$14,Paramètres!$A$1:$I$89,3,0)*0.475*44/12</f>
        <v>1.1130634042553012E-13</v>
      </c>
      <c r="ED128" s="22">
        <f t="shared" si="72"/>
        <v>1.473229631455875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225.2264820414552</v>
      </c>
      <c r="EP128" s="59">
        <f t="shared" si="100"/>
        <v>249.91838548328681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0.33710278773908436</v>
      </c>
      <c r="EW128" s="21">
        <f>EXP(-LN(2)/25)*EW127+(1-EXP(-LN(2)/25))/(LN(2)/25)*Calculateur!ER128*Calculateur!ET128*VLOOKUP('Données projet'!$B$15,Paramètres!$A$1:$I$89,3,0)*0.475*44/12</f>
        <v>0.62141631743022496</v>
      </c>
      <c r="EX128" s="21">
        <f>EXP(-LN(2)/2)*EX127+(1-EXP(-LN(2)/2))/(LN(2)/2)*ER128*EU128*VLOOKUP('Données projet'!$B$15,Paramètres!$A$1:$I$89,3,0)*0.475*44/12</f>
        <v>2.0325902535867397E-14</v>
      </c>
      <c r="EY128" s="22">
        <f t="shared" si="75"/>
        <v>0.9585191051693297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-1.2505552149377763E-12</v>
      </c>
      <c r="FF128" s="17">
        <f>FE128*VLOOKUP('Données projet'!$B$16,Paramètres!$A$1:$I$89,3,0)*VLOOKUP('Données projet'!$B$16,Paramètres!$A$1:$I$89,5,0)</f>
        <v>-6.9906036515021697E-13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549.85684198202534</v>
      </c>
      <c r="FK128" s="59">
        <f t="shared" si="102"/>
        <v>539.63748606275431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1.7401210808885459</v>
      </c>
      <c r="FR128" s="21">
        <f>EXP(-LN(2)/25)*FR127+(1-EXP(-LN(2)/25))/(LN(2)/25)*Calculateur!FM128*Calculateur!FO128*VLOOKUP('Données projet'!$B$16,Paramètres!$A$1:$I$89,3,0)*0.475*44/12</f>
        <v>2.7826794142726792</v>
      </c>
      <c r="FS128" s="21">
        <f>EXP(-LN(2)/2)*FS127+(1-EXP(-LN(2)/2))/(LN(2)/2)*FM128*FP128*VLOOKUP('Données projet'!$B$16,Paramètres!$A$1:$I$89,3,0)*0.475*44/12</f>
        <v>1.8324557302551361E-13</v>
      </c>
      <c r="FT128" s="22">
        <f t="shared" si="78"/>
        <v>4.522800495161408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-5.6843418860808015E-13</v>
      </c>
      <c r="GA128" s="17">
        <f>FZ128*VLOOKUP('Données projet'!$B$17,Paramètres!$A$1:$I$89,3,0)*VLOOKUP('Données projet'!$B$17,Paramètres!$A$1:$I$89,5,0)</f>
        <v>-3.39923644787632E-13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495.6641415122013</v>
      </c>
      <c r="GF128" s="59">
        <f t="shared" si="104"/>
        <v>488.90534169400757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0.60922632345696115</v>
      </c>
      <c r="GM128" s="21">
        <f>EXP(-LN(2)/25)*GM127+(1-EXP(-LN(2)/25))/(LN(2)/25)*Calculateur!GH128*Calculateur!GJ128*VLOOKUP('Données projet'!$B$17,Paramètres!$A$1:$I$89,3,0)*0.475*44/12</f>
        <v>1.8670004516565557</v>
      </c>
      <c r="GN128" s="21">
        <f>EXP(-LN(2)/2)*GN127+(1-EXP(-LN(2)/2))/(LN(2)/2)*GH128*GK128*VLOOKUP('Données projet'!$B$17,Paramètres!$A$1:$I$89,3,0)*0.475*44/12</f>
        <v>1.7464117513558032E-13</v>
      </c>
      <c r="GO128" s="21">
        <f t="shared" si="81"/>
        <v>2.4762267751136915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-5.6843418860808015E-13</v>
      </c>
      <c r="GV128" s="17">
        <f>GU128*VLOOKUP('Données projet'!$B$18,Paramètres!$A$1:$I$89,3,0)*VLOOKUP('Données projet'!$B$18,Paramètres!$A$1:$I$89,5,0)</f>
        <v>-3.39923644787632E-13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-18.333333333333343</v>
      </c>
      <c r="HA128" s="59">
        <f t="shared" si="106"/>
        <v>-18.333333333333343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0.60922632345696115</v>
      </c>
      <c r="HH128" s="21">
        <f>EXP(-LN(2)/25)*HH127+(1-EXP(-LN(2)/25))/(LN(2)/25)*Calculateur!HC128*Calculateur!HE128*VLOOKUP('Données projet'!$B$18,Paramètres!$A$1:$I$89,3,0)*0.475*44/12</f>
        <v>1.8670004516565557</v>
      </c>
      <c r="HI128" s="21">
        <f>EXP(-LN(2)/2)*HI127+(1-EXP(-LN(2)/2))/(LN(2)/2)*HC128*HF128*VLOOKUP('Données projet'!$B$18,Paramètres!$A$1:$I$89,3,0)*0.475*44/12</f>
        <v>1.7464117513558032E-13</v>
      </c>
      <c r="HJ128" s="22">
        <f t="shared" si="84"/>
        <v>2.4762267751136915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376.11581547534814</v>
      </c>
      <c r="T129" s="59">
        <f t="shared" si="88"/>
        <v>300.91675649863294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0.46827104701895989</v>
      </c>
      <c r="AA129" s="21">
        <f>EXP(-LN(2)/25)*AA128+(1-EXP(-LN(2)/25))/(LN(2)/25)*Calculateur!V129*Calculateur!X129*VLOOKUP('Données projet'!$B$9,Paramètres!$A$1:$I$89,3,0)*0.475*44/12</f>
        <v>0.54855058039383964</v>
      </c>
      <c r="AB129" s="21">
        <f>EXP(-LN(2)/2)*AB128+(1-EXP(-LN(2)/2))/(LN(2)/2)*V129*Y129*VLOOKUP('Données projet'!$B$9,Paramètres!$A$1:$I$89,3,0)*0.475*44/12</f>
        <v>3.4930907873928134E-14</v>
      </c>
      <c r="AC129" s="22">
        <f t="shared" si="57"/>
        <v>1.0168216274128343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-5.6843418860808015E-13</v>
      </c>
      <c r="AJ129" s="13">
        <f>AI129*VLOOKUP('Données projet'!$B$10,Paramètres!$A$1:$I$89,3,0)*VLOOKUP('Données projet'!$B$10,Paramètres!$A$1:$I$89,5,0)</f>
        <v>-5.1431925385259092E-13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505.38595282220405</v>
      </c>
      <c r="AO129" s="59">
        <f t="shared" si="90"/>
        <v>351.72130415456365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0.35981056485803553</v>
      </c>
      <c r="AV129" s="21">
        <f>EXP(-LN(2)/25)*AV128+(1-EXP(-LN(2)/25))/(LN(2)/25)*Calculateur!AQ129*Calculateur!AS129*VLOOKUP('Données projet'!$B$10,Paramètres!$A$1:$I$89,3,0)*0.475*44/12</f>
        <v>0.78788424250588307</v>
      </c>
      <c r="AW129" s="21">
        <f>EXP(-LN(2)/2)*AW128+(1-EXP(-LN(2)/2))/(LN(2)/2)*AQ129*AT129*VLOOKUP('Données projet'!$B$10,Paramètres!$A$1:$I$89,3,0)*0.475*44/12</f>
        <v>7.6572834381162674E-14</v>
      </c>
      <c r="AX129" s="21">
        <f t="shared" si="60"/>
        <v>1.1476948073639952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-4.0702161641092972E-13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394.14657090341535</v>
      </c>
      <c r="BJ129" s="59">
        <f t="shared" si="92"/>
        <v>424.06445894109982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0.48745386768808679</v>
      </c>
      <c r="BQ129" s="21">
        <f>EXP(-LN(2)/25)*BQ128+(1-EXP(-LN(2)/25))/(LN(2)/25)*Calculateur!BL129*Calculateur!BN129*VLOOKUP('Données projet'!$B$11,Paramètres!$A$1:$I$89,3,0)*0.475*44/12</f>
        <v>1.4328930126729604</v>
      </c>
      <c r="BR129" s="21">
        <f>EXP(-LN(2)/2)*BR128+(1-EXP(-LN(2)/2))/(LN(2)/2)*BL129*BO129*VLOOKUP('Données projet'!$B$11,Paramètres!$A$1:$I$89,3,0)*0.475*44/12</f>
        <v>8.5403805814924589E-14</v>
      </c>
      <c r="BS129" s="22">
        <f t="shared" si="63"/>
        <v>1.9203468803611328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5.6843418860808015E-13</v>
      </c>
      <c r="BZ129" s="13">
        <f>BY129*VLOOKUP('Données projet'!$B$12,Paramètres!$A$1:$I$89,3,0)*VLOOKUP('Données projet'!$B$12,Paramètres!$A$1:$I$89,5,0)</f>
        <v>3.1036506698001181E-13</v>
      </c>
      <c r="CA129" s="13">
        <f t="shared" si="93"/>
        <v>4.086682523110923E-12</v>
      </c>
      <c r="CB129" s="20">
        <f t="shared" si="64"/>
        <v>7.6581912194083782E-12</v>
      </c>
      <c r="CC129" s="59">
        <f t="shared" si="65"/>
        <v>283.22703518042988</v>
      </c>
      <c r="CD129" s="59">
        <f ca="1">AVERAGE(OFFSET($CC$3,0,0,'Données projet'!$E$12+1,1))-AVERAGE(OFFSET($H$3,0,0,'Données projet'!$E$12+1,1))</f>
        <v>382.09004346384319</v>
      </c>
      <c r="CE129" s="59">
        <f t="shared" si="94"/>
        <v>410.18893995284986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1.2724655902357147</v>
      </c>
      <c r="CL129" s="21">
        <f>EXP(-LN(2)/25)*CL128+(1-EXP(-LN(2)/25))/(LN(2)/25)*Calculateur!CG129*Calculateur!CI129*VLOOKUP('Données projet'!$B$12,Paramètres!$A$1:$I$89,3,0)*0.475*44/12</f>
        <v>2.3768705506999419</v>
      </c>
      <c r="CM129" s="21">
        <f>EXP(-LN(2)/2)*CM128+(1-EXP(-LN(2)/2))/(LN(2)/2)*CG129*CJ129*VLOOKUP('Données projet'!$B$12,Paramètres!$A$1:$I$89,3,0)*0.475*44/12</f>
        <v>8.9465949723668291E-14</v>
      </c>
      <c r="CN129" s="22">
        <f t="shared" si="66"/>
        <v>3.6493361409357461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363.02374534486341</v>
      </c>
      <c r="CZ129" s="59">
        <f t="shared" si="96"/>
        <v>489.00477393029598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1.0918389554312808</v>
      </c>
      <c r="DG129" s="21">
        <f>EXP(-LN(2)/25)*DG128+(1-EXP(-LN(2)/25))/(LN(2)/25)*Calculateur!DB129*Calculateur!DD129*VLOOKUP('Données projet'!$B$13,Paramètres!$A$1:$I$89,3,0)*0.475*44/12</f>
        <v>1.3520870227077104</v>
      </c>
      <c r="DH129" s="21">
        <f>EXP(-LN(2)/2)*DH128+(1-EXP(-LN(2)/2))/(LN(2)/2)*DB129*DE129*VLOOKUP('Données projet'!$B$13,Paramètres!$A$1:$I$89,3,0)*0.475*44/12</f>
        <v>1.0414758553580641E-13</v>
      </c>
      <c r="DI129" s="22">
        <f t="shared" si="69"/>
        <v>2.4439259781390956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-3.7509835237869992E-13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368.03281986807173</v>
      </c>
      <c r="DU129" s="59">
        <f t="shared" si="98"/>
        <v>395.83504504492248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0.36446328767947611</v>
      </c>
      <c r="EB129" s="21">
        <f>EXP(-LN(2)/25)*EB128+(1-EXP(-LN(2)/25))/(LN(2)/25)*Calculateur!DW129*Calculateur!DY129*VLOOKUP('Données projet'!$B$14,Paramètres!$A$1:$I$89,3,0)*0.475*44/12</f>
        <v>1.0713565588649865</v>
      </c>
      <c r="EC129" s="21">
        <f>EXP(-LN(2)/2)*EC128+(1-EXP(-LN(2)/2))/(LN(2)/2)*DW129*DZ129*VLOOKUP('Données projet'!$B$14,Paramètres!$A$1:$I$89,3,0)*0.475*44/12</f>
        <v>7.8705468103950709E-14</v>
      </c>
      <c r="ED129" s="22">
        <f t="shared" si="72"/>
        <v>1.4358198465445411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225.2264820414552</v>
      </c>
      <c r="EP129" s="59">
        <f t="shared" si="100"/>
        <v>249.91838548328681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0.33049240768391891</v>
      </c>
      <c r="EW129" s="21">
        <f>EXP(-LN(2)/25)*EW128+(1-EXP(-LN(2)/25))/(LN(2)/25)*Calculateur!ER129*Calculateur!ET129*VLOOKUP('Données projet'!$B$15,Paramètres!$A$1:$I$89,3,0)*0.475*44/12</f>
        <v>0.60442365555123156</v>
      </c>
      <c r="EX129" s="21">
        <f>EXP(-LN(2)/2)*EX128+(1-EXP(-LN(2)/2))/(LN(2)/2)*ER129*EU129*VLOOKUP('Données projet'!$B$15,Paramètres!$A$1:$I$89,3,0)*0.475*44/12</f>
        <v>1.4372583516848679E-14</v>
      </c>
      <c r="EY129" s="22">
        <f t="shared" si="75"/>
        <v>0.93491606323516485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-1.2505552149377763E-12</v>
      </c>
      <c r="FF129" s="17">
        <f>FE129*VLOOKUP('Données projet'!$B$16,Paramètres!$A$1:$I$89,3,0)*VLOOKUP('Données projet'!$B$16,Paramètres!$A$1:$I$89,5,0)</f>
        <v>-6.9906036515021697E-13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549.85684198202534</v>
      </c>
      <c r="FK129" s="59">
        <f t="shared" si="102"/>
        <v>539.63748606275431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1.7059983678613793</v>
      </c>
      <c r="FR129" s="21">
        <f>EXP(-LN(2)/25)*FR128+(1-EXP(-LN(2)/25))/(LN(2)/25)*Calculateur!FM129*Calculateur!FO129*VLOOKUP('Données projet'!$B$16,Paramètres!$A$1:$I$89,3,0)*0.475*44/12</f>
        <v>2.7065868993546425</v>
      </c>
      <c r="FS129" s="21">
        <f>EXP(-LN(2)/2)*FS128+(1-EXP(-LN(2)/2))/(LN(2)/2)*FM129*FP129*VLOOKUP('Données projet'!$B$16,Paramètres!$A$1:$I$89,3,0)*0.475*44/12</f>
        <v>1.2957418730875537E-13</v>
      </c>
      <c r="FT129" s="22">
        <f t="shared" si="78"/>
        <v>4.4125852672161514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-5.6843418860808015E-13</v>
      </c>
      <c r="GA129" s="17">
        <f>FZ129*VLOOKUP('Données projet'!$B$17,Paramètres!$A$1:$I$89,3,0)*VLOOKUP('Données projet'!$B$17,Paramètres!$A$1:$I$89,5,0)</f>
        <v>-3.39923644787632E-13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495.6641415122013</v>
      </c>
      <c r="GF129" s="59">
        <f t="shared" si="104"/>
        <v>488.90534169400757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0.5972797668453359</v>
      </c>
      <c r="GM129" s="21">
        <f>EXP(-LN(2)/25)*GM128+(1-EXP(-LN(2)/25))/(LN(2)/25)*Calculateur!GH129*Calculateur!GJ129*VLOOKUP('Données projet'!$B$17,Paramètres!$A$1:$I$89,3,0)*0.475*44/12</f>
        <v>1.8159472261247205</v>
      </c>
      <c r="GN129" s="21">
        <f>EXP(-LN(2)/2)*GN128+(1-EXP(-LN(2)/2))/(LN(2)/2)*GH129*GK129*VLOOKUP('Données projet'!$B$17,Paramètres!$A$1:$I$89,3,0)*0.475*44/12</f>
        <v>1.2348995921275632E-13</v>
      </c>
      <c r="GO129" s="21">
        <f t="shared" si="81"/>
        <v>2.4132269929701797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-5.6843418860808015E-13</v>
      </c>
      <c r="GV129" s="17">
        <f>GU129*VLOOKUP('Données projet'!$B$18,Paramètres!$A$1:$I$89,3,0)*VLOOKUP('Données projet'!$B$18,Paramètres!$A$1:$I$89,5,0)</f>
        <v>-3.39923644787632E-13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-18.333333333333343</v>
      </c>
      <c r="HA129" s="59">
        <f t="shared" si="106"/>
        <v>-18.333333333333343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0.5972797668453359</v>
      </c>
      <c r="HH129" s="21">
        <f>EXP(-LN(2)/25)*HH128+(1-EXP(-LN(2)/25))/(LN(2)/25)*Calculateur!HC129*Calculateur!HE129*VLOOKUP('Données projet'!$B$18,Paramètres!$A$1:$I$89,3,0)*0.475*44/12</f>
        <v>1.8159472261247205</v>
      </c>
      <c r="HI129" s="21">
        <f>EXP(-LN(2)/2)*HI128+(1-EXP(-LN(2)/2))/(LN(2)/2)*HC129*HF129*VLOOKUP('Données projet'!$B$18,Paramètres!$A$1:$I$89,3,0)*0.475*44/12</f>
        <v>1.2348995921275632E-13</v>
      </c>
      <c r="HJ129" s="22">
        <f t="shared" si="84"/>
        <v>2.4132269929701797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376.11581547534814</v>
      </c>
      <c r="T130" s="59">
        <f t="shared" si="88"/>
        <v>300.91675649863294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0.45908853740405442</v>
      </c>
      <c r="AA130" s="21">
        <f>EXP(-LN(2)/25)*AA129+(1-EXP(-LN(2)/25))/(LN(2)/25)*Calculateur!V130*Calculateur!X130*VLOOKUP('Données projet'!$B$9,Paramètres!$A$1:$I$89,3,0)*0.475*44/12</f>
        <v>0.53355043592594875</v>
      </c>
      <c r="AB130" s="21">
        <f>EXP(-LN(2)/2)*AB129+(1-EXP(-LN(2)/2))/(LN(2)/2)*V130*Y130*VLOOKUP('Données projet'!$B$9,Paramètres!$A$1:$I$89,3,0)*0.475*44/12</f>
        <v>2.4699881830657152E-14</v>
      </c>
      <c r="AC130" s="22">
        <f t="shared" si="57"/>
        <v>0.99263897333002782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-5.6843418860808015E-13</v>
      </c>
      <c r="AJ130" s="13">
        <f>AI130*VLOOKUP('Données projet'!$B$10,Paramètres!$A$1:$I$89,3,0)*VLOOKUP('Données projet'!$B$10,Paramètres!$A$1:$I$89,5,0)</f>
        <v>-5.1431925385259092E-13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505.38595282220405</v>
      </c>
      <c r="AO130" s="59">
        <f t="shared" si="90"/>
        <v>351.72130415456365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0.35275489914394387</v>
      </c>
      <c r="AV130" s="21">
        <f>EXP(-LN(2)/25)*AV129+(1-EXP(-LN(2)/25))/(LN(2)/25)*Calculateur!AQ130*Calculateur!AS130*VLOOKUP('Données projet'!$B$10,Paramètres!$A$1:$I$89,3,0)*0.475*44/12</f>
        <v>0.76633950646152815</v>
      </c>
      <c r="AW130" s="21">
        <f>EXP(-LN(2)/2)*AW129+(1-EXP(-LN(2)/2))/(LN(2)/2)*AQ130*AT130*VLOOKUP('Données projet'!$B$10,Paramètres!$A$1:$I$89,3,0)*0.475*44/12</f>
        <v>5.4145170445594539E-14</v>
      </c>
      <c r="AX130" s="21">
        <f t="shared" si="60"/>
        <v>1.1190944056055261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-4.0702161641092972E-13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394.14657090341535</v>
      </c>
      <c r="BJ130" s="59">
        <f t="shared" si="92"/>
        <v>424.06445894109982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0.47789519466022506</v>
      </c>
      <c r="BQ130" s="21">
        <f>EXP(-LN(2)/25)*BQ129+(1-EXP(-LN(2)/25))/(LN(2)/25)*Calculateur!BL130*Calculateur!BN130*VLOOKUP('Données projet'!$B$11,Paramètres!$A$1:$I$89,3,0)*0.475*44/12</f>
        <v>1.3937104778888496</v>
      </c>
      <c r="BR130" s="21">
        <f>EXP(-LN(2)/2)*BR129+(1-EXP(-LN(2)/2))/(LN(2)/2)*BL130*BO130*VLOOKUP('Données projet'!$B$11,Paramètres!$A$1:$I$89,3,0)*0.475*44/12</f>
        <v>6.0389610230872276E-14</v>
      </c>
      <c r="BS130" s="22">
        <f t="shared" si="63"/>
        <v>1.871605672549135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5.6843418860808015E-13</v>
      </c>
      <c r="BZ130" s="13">
        <f>BY130*VLOOKUP('Données projet'!$B$12,Paramètres!$A$1:$I$89,3,0)*VLOOKUP('Données projet'!$B$12,Paramètres!$A$1:$I$89,5,0)</f>
        <v>3.1036506698001181E-13</v>
      </c>
      <c r="CA130" s="13">
        <f t="shared" si="93"/>
        <v>4.086682523110923E-12</v>
      </c>
      <c r="CB130" s="20">
        <f t="shared" si="64"/>
        <v>7.6581912194083782E-12</v>
      </c>
      <c r="CC130" s="59">
        <f t="shared" si="65"/>
        <v>283.4023568590851</v>
      </c>
      <c r="CD130" s="59">
        <f ca="1">AVERAGE(OFFSET($CC$3,0,0,'Données projet'!$E$12+1,1))-AVERAGE(OFFSET($H$3,0,0,'Données projet'!$E$12+1,1))</f>
        <v>382.09004346384319</v>
      </c>
      <c r="CE130" s="59">
        <f t="shared" si="94"/>
        <v>410.18893995284986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1.2475133161385661</v>
      </c>
      <c r="CL130" s="21">
        <f>EXP(-LN(2)/25)*CL129+(1-EXP(-LN(2)/25))/(LN(2)/25)*Calculateur!CG130*Calculateur!CI130*VLOOKUP('Données projet'!$B$12,Paramètres!$A$1:$I$89,3,0)*0.475*44/12</f>
        <v>2.311874900496862</v>
      </c>
      <c r="CM130" s="21">
        <f>EXP(-LN(2)/2)*CM129+(1-EXP(-LN(2)/2))/(LN(2)/2)*CG130*CJ130*VLOOKUP('Données projet'!$B$12,Paramètres!$A$1:$I$89,3,0)*0.475*44/12</f>
        <v>6.3261979734900576E-14</v>
      </c>
      <c r="CN130" s="22">
        <f t="shared" si="66"/>
        <v>3.5593882166354911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363.02374534486341</v>
      </c>
      <c r="CZ130" s="59">
        <f t="shared" si="96"/>
        <v>489.00477393029598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1.0704286594712786</v>
      </c>
      <c r="DG130" s="21">
        <f>EXP(-LN(2)/25)*DG129+(1-EXP(-LN(2)/25))/(LN(2)/25)*Calculateur!DB130*Calculateur!DD130*VLOOKUP('Données projet'!$B$13,Paramètres!$A$1:$I$89,3,0)*0.475*44/12</f>
        <v>1.3151141319686017</v>
      </c>
      <c r="DH130" s="21">
        <f>EXP(-LN(2)/2)*DH129+(1-EXP(-LN(2)/2))/(LN(2)/2)*DB130*DE130*VLOOKUP('Données projet'!$B$13,Paramètres!$A$1:$I$89,3,0)*0.475*44/12</f>
        <v>7.3643463976574703E-14</v>
      </c>
      <c r="DI130" s="22">
        <f t="shared" si="69"/>
        <v>2.3855427914399541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-3.7509835237869992E-13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368.03281986807173</v>
      </c>
      <c r="DU130" s="59">
        <f t="shared" si="98"/>
        <v>395.83504504492248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0.35731638490873668</v>
      </c>
      <c r="EB130" s="21">
        <f>EXP(-LN(2)/25)*EB129+(1-EXP(-LN(2)/25))/(LN(2)/25)*Calculateur!DW130*Calculateur!DY130*VLOOKUP('Données projet'!$B$14,Paramètres!$A$1:$I$89,3,0)*0.475*44/12</f>
        <v>1.0420602574226305</v>
      </c>
      <c r="EC130" s="21">
        <f>EXP(-LN(2)/2)*EC129+(1-EXP(-LN(2)/2))/(LN(2)/2)*DW130*DZ130*VLOOKUP('Données projet'!$B$14,Paramètres!$A$1:$I$89,3,0)*0.475*44/12</f>
        <v>5.5653170212765074E-14</v>
      </c>
      <c r="ED130" s="22">
        <f t="shared" si="72"/>
        <v>1.3993766423314229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225.2264820414552</v>
      </c>
      <c r="EP130" s="59">
        <f t="shared" si="100"/>
        <v>249.91838548328681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0.32401165314970154</v>
      </c>
      <c r="EW130" s="21">
        <f>EXP(-LN(2)/25)*EW129+(1-EXP(-LN(2)/25))/(LN(2)/25)*Calculateur!ER130*Calculateur!ET130*VLOOKUP('Données projet'!$B$15,Paramètres!$A$1:$I$89,3,0)*0.475*44/12</f>
        <v>0.58789565890492457</v>
      </c>
      <c r="EX130" s="21">
        <f>EXP(-LN(2)/2)*EX129+(1-EXP(-LN(2)/2))/(LN(2)/2)*ER130*EU130*VLOOKUP('Données projet'!$B$15,Paramètres!$A$1:$I$89,3,0)*0.475*44/12</f>
        <v>1.0162951267933699E-14</v>
      </c>
      <c r="EY130" s="22">
        <f t="shared" si="75"/>
        <v>0.91190731205463638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-1.2505552149377763E-12</v>
      </c>
      <c r="FF130" s="17">
        <f>FE130*VLOOKUP('Données projet'!$B$16,Paramètres!$A$1:$I$89,3,0)*VLOOKUP('Données projet'!$B$16,Paramètres!$A$1:$I$89,5,0)</f>
        <v>-6.9906036515021697E-13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549.85684198202534</v>
      </c>
      <c r="FK130" s="59">
        <f t="shared" si="102"/>
        <v>539.63748606275431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1.6725447804238756</v>
      </c>
      <c r="FR130" s="21">
        <f>EXP(-LN(2)/25)*FR129+(1-EXP(-LN(2)/25))/(LN(2)/25)*Calculateur!FM130*Calculateur!FO130*VLOOKUP('Données projet'!$B$16,Paramètres!$A$1:$I$89,3,0)*0.475*44/12</f>
        <v>2.6325751382585709</v>
      </c>
      <c r="FS130" s="21">
        <f>EXP(-LN(2)/2)*FS129+(1-EXP(-LN(2)/2))/(LN(2)/2)*FM130*FP130*VLOOKUP('Données projet'!$B$16,Paramètres!$A$1:$I$89,3,0)*0.475*44/12</f>
        <v>9.1622786512756807E-14</v>
      </c>
      <c r="FT130" s="22">
        <f t="shared" si="78"/>
        <v>4.3051199186825384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-5.6843418860808015E-13</v>
      </c>
      <c r="GA130" s="17">
        <f>FZ130*VLOOKUP('Données projet'!$B$17,Paramètres!$A$1:$I$89,3,0)*VLOOKUP('Données projet'!$B$17,Paramètres!$A$1:$I$89,5,0)</f>
        <v>-3.39923644787632E-13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495.6641415122013</v>
      </c>
      <c r="GF130" s="59">
        <f t="shared" si="104"/>
        <v>488.90534169400757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0.58556747492218453</v>
      </c>
      <c r="GM130" s="21">
        <f>EXP(-LN(2)/25)*GM129+(1-EXP(-LN(2)/25))/(LN(2)/25)*Calculateur!GH130*Calculateur!GJ130*VLOOKUP('Données projet'!$B$17,Paramètres!$A$1:$I$89,3,0)*0.475*44/12</f>
        <v>1.7662900537298258</v>
      </c>
      <c r="GN130" s="21">
        <f>EXP(-LN(2)/2)*GN129+(1-EXP(-LN(2)/2))/(LN(2)/2)*GH130*GK130*VLOOKUP('Données projet'!$B$17,Paramètres!$A$1:$I$89,3,0)*0.475*44/12</f>
        <v>8.7320587567790161E-14</v>
      </c>
      <c r="GO130" s="21">
        <f t="shared" si="81"/>
        <v>2.351857528652098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-5.6843418860808015E-13</v>
      </c>
      <c r="GV130" s="17">
        <f>GU130*VLOOKUP('Données projet'!$B$18,Paramètres!$A$1:$I$89,3,0)*VLOOKUP('Données projet'!$B$18,Paramètres!$A$1:$I$89,5,0)</f>
        <v>-3.39923644787632E-13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-18.333333333333343</v>
      </c>
      <c r="HA130" s="59">
        <f t="shared" si="106"/>
        <v>-18.333333333333343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0.58556747492218453</v>
      </c>
      <c r="HH130" s="21">
        <f>EXP(-LN(2)/25)*HH129+(1-EXP(-LN(2)/25))/(LN(2)/25)*Calculateur!HC130*Calculateur!HE130*VLOOKUP('Données projet'!$B$18,Paramètres!$A$1:$I$89,3,0)*0.475*44/12</f>
        <v>1.7662900537298258</v>
      </c>
      <c r="HI130" s="21">
        <f>EXP(-LN(2)/2)*HI129+(1-EXP(-LN(2)/2))/(LN(2)/2)*HC130*HF130*VLOOKUP('Données projet'!$B$18,Paramètres!$A$1:$I$89,3,0)*0.475*44/12</f>
        <v>8.7320587567790161E-14</v>
      </c>
      <c r="HJ130" s="22">
        <f t="shared" si="84"/>
        <v>2.351857528652098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376.11581547534814</v>
      </c>
      <c r="T131" s="59">
        <f t="shared" si="88"/>
        <v>300.91675649863294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0.45008609120191939</v>
      </c>
      <c r="AA131" s="21">
        <f>EXP(-LN(2)/25)*AA130+(1-EXP(-LN(2)/25))/(LN(2)/25)*Calculateur!V131*Calculateur!X131*VLOOKUP('Données projet'!$B$9,Paramètres!$A$1:$I$89,3,0)*0.475*44/12</f>
        <v>0.51896047119735567</v>
      </c>
      <c r="AB131" s="21">
        <f>EXP(-LN(2)/2)*AB130+(1-EXP(-LN(2)/2))/(LN(2)/2)*V131*Y131*VLOOKUP('Données projet'!$B$9,Paramètres!$A$1:$I$89,3,0)*0.475*44/12</f>
        <v>1.7465453936964067E-14</v>
      </c>
      <c r="AC131" s="22">
        <f t="shared" si="57"/>
        <v>0.96904656239929243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-5.6843418860808015E-13</v>
      </c>
      <c r="AJ131" s="13">
        <f>AI131*VLOOKUP('Données projet'!$B$10,Paramètres!$A$1:$I$89,3,0)*VLOOKUP('Données projet'!$B$10,Paramètres!$A$1:$I$89,5,0)</f>
        <v>-5.1431925385259092E-13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505.38595282220405</v>
      </c>
      <c r="AO131" s="59">
        <f t="shared" si="90"/>
        <v>351.72130415456365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0.34583759073097442</v>
      </c>
      <c r="AV131" s="21">
        <f>EXP(-LN(2)/25)*AV130+(1-EXP(-LN(2)/25))/(LN(2)/25)*Calculateur!AQ131*Calculateur!AS131*VLOOKUP('Données projet'!$B$10,Paramètres!$A$1:$I$89,3,0)*0.475*44/12</f>
        <v>0.74538391235729451</v>
      </c>
      <c r="AW131" s="21">
        <f>EXP(-LN(2)/2)*AW130+(1-EXP(-LN(2)/2))/(LN(2)/2)*AQ131*AT131*VLOOKUP('Données projet'!$B$10,Paramètres!$A$1:$I$89,3,0)*0.475*44/12</f>
        <v>3.8286417190581337E-14</v>
      </c>
      <c r="AX131" s="21">
        <f t="shared" si="60"/>
        <v>1.091221503088307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-4.0702161641092972E-13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394.14657090341535</v>
      </c>
      <c r="BJ131" s="59">
        <f t="shared" si="92"/>
        <v>424.06445894109982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0.46852396138022484</v>
      </c>
      <c r="BQ131" s="21">
        <f>EXP(-LN(2)/25)*BQ130+(1-EXP(-LN(2)/25))/(LN(2)/25)*Calculateur!BL131*Calculateur!BN131*VLOOKUP('Données projet'!$B$11,Paramètres!$A$1:$I$89,3,0)*0.475*44/12</f>
        <v>1.3555993915789304</v>
      </c>
      <c r="BR131" s="21">
        <f>EXP(-LN(2)/2)*BR130+(1-EXP(-LN(2)/2))/(LN(2)/2)*BL131*BO131*VLOOKUP('Données projet'!$B$11,Paramètres!$A$1:$I$89,3,0)*0.475*44/12</f>
        <v>4.2701902907462295E-14</v>
      </c>
      <c r="BS131" s="22">
        <f t="shared" si="63"/>
        <v>1.8241233529591978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5.6843418860808015E-13</v>
      </c>
      <c r="BZ131" s="13">
        <f>BY131*VLOOKUP('Données projet'!$B$12,Paramètres!$A$1:$I$89,3,0)*VLOOKUP('Données projet'!$B$12,Paramètres!$A$1:$I$89,5,0)</f>
        <v>3.1036506698001181E-13</v>
      </c>
      <c r="CA131" s="13">
        <f t="shared" si="93"/>
        <v>4.086682523110923E-12</v>
      </c>
      <c r="CB131" s="20">
        <f t="shared" si="64"/>
        <v>7.6581912194083782E-12</v>
      </c>
      <c r="CC131" s="59">
        <f t="shared" si="65"/>
        <v>283.5746370985762</v>
      </c>
      <c r="CD131" s="59">
        <f ca="1">AVERAGE(OFFSET($CC$3,0,0,'Données projet'!$E$12+1,1))-AVERAGE(OFFSET($H$3,0,0,'Données projet'!$E$12+1,1))</f>
        <v>382.09004346384319</v>
      </c>
      <c r="CE131" s="59">
        <f t="shared" si="94"/>
        <v>410.18893995284986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1.2230503409170783</v>
      </c>
      <c r="CL131" s="21">
        <f>EXP(-LN(2)/25)*CL130+(1-EXP(-LN(2)/25))/(LN(2)/25)*Calculateur!CG131*Calculateur!CI131*VLOOKUP('Données projet'!$B$12,Paramètres!$A$1:$I$89,3,0)*0.475*44/12</f>
        <v>2.248656559766558</v>
      </c>
      <c r="CM131" s="21">
        <f>EXP(-LN(2)/2)*CM130+(1-EXP(-LN(2)/2))/(LN(2)/2)*CG131*CJ131*VLOOKUP('Données projet'!$B$12,Paramètres!$A$1:$I$89,3,0)*0.475*44/12</f>
        <v>4.4732974861834146E-14</v>
      </c>
      <c r="CN131" s="22">
        <f t="shared" si="66"/>
        <v>3.4717069006836812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363.02374534486341</v>
      </c>
      <c r="CZ131" s="59">
        <f t="shared" si="96"/>
        <v>489.00477393029598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1.049438206356061</v>
      </c>
      <c r="DG131" s="21">
        <f>EXP(-LN(2)/25)*DG130+(1-EXP(-LN(2)/25))/(LN(2)/25)*Calculateur!DB131*Calculateur!DD131*VLOOKUP('Données projet'!$B$13,Paramètres!$A$1:$I$89,3,0)*0.475*44/12</f>
        <v>1.2791522668710738</v>
      </c>
      <c r="DH131" s="21">
        <f>EXP(-LN(2)/2)*DH130+(1-EXP(-LN(2)/2))/(LN(2)/2)*DB131*DE131*VLOOKUP('Données projet'!$B$13,Paramètres!$A$1:$I$89,3,0)*0.475*44/12</f>
        <v>5.2073792767903204E-14</v>
      </c>
      <c r="DI131" s="22">
        <f t="shared" si="69"/>
        <v>2.3285904732271869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-3.7509835237869992E-13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368.03281986807173</v>
      </c>
      <c r="DU131" s="59">
        <f t="shared" si="98"/>
        <v>395.83504504492248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0.3503096285421512</v>
      </c>
      <c r="EB131" s="21">
        <f>EXP(-LN(2)/25)*EB130+(1-EXP(-LN(2)/25))/(LN(2)/25)*Calculateur!DW131*Calculateur!DY131*VLOOKUP('Données projet'!$B$14,Paramètres!$A$1:$I$89,3,0)*0.475*44/12</f>
        <v>1.0135650648838415</v>
      </c>
      <c r="EC131" s="21">
        <f>EXP(-LN(2)/2)*EC130+(1-EXP(-LN(2)/2))/(LN(2)/2)*DW131*DZ131*VLOOKUP('Données projet'!$B$14,Paramètres!$A$1:$I$89,3,0)*0.475*44/12</f>
        <v>3.9352734051975361E-14</v>
      </c>
      <c r="ED131" s="22">
        <f t="shared" si="72"/>
        <v>1.363874693426032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225.2264820414552</v>
      </c>
      <c r="EP131" s="59">
        <f t="shared" si="100"/>
        <v>249.91838548328681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0.31765798225903019</v>
      </c>
      <c r="EW131" s="21">
        <f>EXP(-LN(2)/25)*EW130+(1-EXP(-LN(2)/25))/(LN(2)/25)*Calculateur!ER131*Calculateur!ET131*VLOOKUP('Données projet'!$B$15,Paramètres!$A$1:$I$89,3,0)*0.475*44/12</f>
        <v>0.57181962119608032</v>
      </c>
      <c r="EX131" s="21">
        <f>EXP(-LN(2)/2)*EX130+(1-EXP(-LN(2)/2))/(LN(2)/2)*ER131*EU131*VLOOKUP('Données projet'!$B$15,Paramètres!$A$1:$I$89,3,0)*0.475*44/12</f>
        <v>7.1862917584243394E-15</v>
      </c>
      <c r="EY131" s="22">
        <f t="shared" si="75"/>
        <v>0.88947760345511773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-1.2505552149377763E-12</v>
      </c>
      <c r="FF131" s="17">
        <f>FE131*VLOOKUP('Données projet'!$B$16,Paramètres!$A$1:$I$89,3,0)*VLOOKUP('Données projet'!$B$16,Paramètres!$A$1:$I$89,5,0)</f>
        <v>-6.9906036515021697E-13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549.85684198202534</v>
      </c>
      <c r="FK131" s="59">
        <f t="shared" si="102"/>
        <v>539.63748606275431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1.6397471974313478</v>
      </c>
      <c r="FR131" s="21">
        <f>EXP(-LN(2)/25)*FR130+(1-EXP(-LN(2)/25))/(LN(2)/25)*Calculateur!FM131*Calculateur!FO131*VLOOKUP('Données projet'!$B$16,Paramètres!$A$1:$I$89,3,0)*0.475*44/12</f>
        <v>2.5605872326617805</v>
      </c>
      <c r="FS131" s="21">
        <f>EXP(-LN(2)/2)*FS130+(1-EXP(-LN(2)/2))/(LN(2)/2)*FM131*FP131*VLOOKUP('Données projet'!$B$16,Paramètres!$A$1:$I$89,3,0)*0.475*44/12</f>
        <v>6.4787093654377685E-14</v>
      </c>
      <c r="FT131" s="22">
        <f t="shared" si="78"/>
        <v>4.2003344300931929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-5.6843418860808015E-13</v>
      </c>
      <c r="GA131" s="17">
        <f>FZ131*VLOOKUP('Données projet'!$B$17,Paramètres!$A$1:$I$89,3,0)*VLOOKUP('Données projet'!$B$17,Paramètres!$A$1:$I$89,5,0)</f>
        <v>-3.39923644787632E-13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495.6641415122013</v>
      </c>
      <c r="GF131" s="59">
        <f t="shared" si="104"/>
        <v>488.90534169400757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0.57408485389985353</v>
      </c>
      <c r="GM131" s="21">
        <f>EXP(-LN(2)/25)*GM130+(1-EXP(-LN(2)/25))/(LN(2)/25)*Calculateur!GH131*Calculateur!GJ131*VLOOKUP('Données projet'!$B$17,Paramètres!$A$1:$I$89,3,0)*0.475*44/12</f>
        <v>1.7179907593254267</v>
      </c>
      <c r="GN131" s="21">
        <f>EXP(-LN(2)/2)*GN130+(1-EXP(-LN(2)/2))/(LN(2)/2)*GH131*GK131*VLOOKUP('Données projet'!$B$17,Paramètres!$A$1:$I$89,3,0)*0.475*44/12</f>
        <v>6.1744979606378158E-14</v>
      </c>
      <c r="GO131" s="21">
        <f t="shared" si="81"/>
        <v>2.2920756132253417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-5.6843418860808015E-13</v>
      </c>
      <c r="GV131" s="17">
        <f>GU131*VLOOKUP('Données projet'!$B$18,Paramètres!$A$1:$I$89,3,0)*VLOOKUP('Données projet'!$B$18,Paramètres!$A$1:$I$89,5,0)</f>
        <v>-3.39923644787632E-13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-18.333333333333343</v>
      </c>
      <c r="HA131" s="59">
        <f t="shared" si="106"/>
        <v>-18.333333333333343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0.57408485389985353</v>
      </c>
      <c r="HH131" s="21">
        <f>EXP(-LN(2)/25)*HH130+(1-EXP(-LN(2)/25))/(LN(2)/25)*Calculateur!HC131*Calculateur!HE131*VLOOKUP('Données projet'!$B$18,Paramètres!$A$1:$I$89,3,0)*0.475*44/12</f>
        <v>1.7179907593254267</v>
      </c>
      <c r="HI131" s="21">
        <f>EXP(-LN(2)/2)*HI130+(1-EXP(-LN(2)/2))/(LN(2)/2)*HC131*HF131*VLOOKUP('Données projet'!$B$18,Paramètres!$A$1:$I$89,3,0)*0.475*44/12</f>
        <v>6.1744979606378158E-14</v>
      </c>
      <c r="HJ131" s="22">
        <f t="shared" si="84"/>
        <v>2.2920756132253417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376.11581547534814</v>
      </c>
      <c r="T132" s="59">
        <f t="shared" si="88"/>
        <v>300.91675649863294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0.44126017747885826</v>
      </c>
      <c r="AA132" s="21">
        <f>EXP(-LN(2)/25)*AA131+(1-EXP(-LN(2)/25))/(LN(2)/25)*Calculateur!V132*Calculateur!X132*VLOOKUP('Données projet'!$B$9,Paramètres!$A$1:$I$89,3,0)*0.475*44/12</f>
        <v>0.50476946982151893</v>
      </c>
      <c r="AB132" s="21">
        <f>EXP(-LN(2)/2)*AB131+(1-EXP(-LN(2)/2))/(LN(2)/2)*V132*Y132*VLOOKUP('Données projet'!$B$9,Paramètres!$A$1:$I$89,3,0)*0.475*44/12</f>
        <v>1.2349940915328576E-14</v>
      </c>
      <c r="AC132" s="22">
        <f t="shared" ref="AC132:AC153" si="111">SUM(Z132:AB132)</f>
        <v>0.94602964730038952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-5.6843418860808015E-13</v>
      </c>
      <c r="AJ132" s="13">
        <f>AI132*VLOOKUP('Données projet'!$B$10,Paramètres!$A$1:$I$89,3,0)*VLOOKUP('Données projet'!$B$10,Paramètres!$A$1:$I$89,5,0)</f>
        <v>-5.1431925385259092E-13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505.38595282220405</v>
      </c>
      <c r="AO132" s="59">
        <f t="shared" si="90"/>
        <v>351.72130415456365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0.33905592651684174</v>
      </c>
      <c r="AV132" s="21">
        <f>EXP(-LN(2)/25)*AV131+(1-EXP(-LN(2)/25))/(LN(2)/25)*Calculateur!AQ132*Calculateur!AS132*VLOOKUP('Données projet'!$B$10,Paramètres!$A$1:$I$89,3,0)*0.475*44/12</f>
        <v>0.72500135007584798</v>
      </c>
      <c r="AW132" s="21">
        <f>EXP(-LN(2)/2)*AW131+(1-EXP(-LN(2)/2))/(LN(2)/2)*AQ132*AT132*VLOOKUP('Données projet'!$B$10,Paramètres!$A$1:$I$89,3,0)*0.475*44/12</f>
        <v>2.7072585222797269E-14</v>
      </c>
      <c r="AX132" s="21">
        <f t="shared" ref="AX132:AX153" si="114">SUM(AU132:AW132)</f>
        <v>1.0640572765927168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-4.0702161641092972E-13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394.14657090341535</v>
      </c>
      <c r="BJ132" s="59">
        <f t="shared" si="92"/>
        <v>424.06445894109982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0.45933649226895751</v>
      </c>
      <c r="BQ132" s="21">
        <f>EXP(-LN(2)/25)*BQ131+(1-EXP(-LN(2)/25))/(LN(2)/25)*Calculateur!BL132*Calculateur!BN132*VLOOKUP('Données projet'!$B$11,Paramètres!$A$1:$I$89,3,0)*0.475*44/12</f>
        <v>1.3185304549283308</v>
      </c>
      <c r="BR132" s="21">
        <f>EXP(-LN(2)/2)*BR131+(1-EXP(-LN(2)/2))/(LN(2)/2)*BL132*BO132*VLOOKUP('Données projet'!$B$11,Paramètres!$A$1:$I$89,3,0)*0.475*44/12</f>
        <v>3.0194805115436138E-14</v>
      </c>
      <c r="BS132" s="22">
        <f t="shared" ref="BS132:BS153" si="117">SUM(BP132:BR132)</f>
        <v>1.7778669471973185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5.6843418860808015E-13</v>
      </c>
      <c r="BZ132" s="13">
        <f>BY132*VLOOKUP('Données projet'!$B$12,Paramètres!$A$1:$I$89,3,0)*VLOOKUP('Données projet'!$B$12,Paramètres!$A$1:$I$89,5,0)</f>
        <v>3.1036506698001181E-13</v>
      </c>
      <c r="CA132" s="13">
        <f t="shared" si="93"/>
        <v>4.086682523110923E-12</v>
      </c>
      <c r="CB132" s="20">
        <f t="shared" ref="CB132:CB153" si="118">(BZ132+CA132)*0.475*44/12</f>
        <v>7.6581912194083782E-12</v>
      </c>
      <c r="CC132" s="59">
        <f t="shared" ref="CC132:CC195" si="119">CB132+(BT132+BU132)*44/12</f>
        <v>283.74392866107303</v>
      </c>
      <c r="CD132" s="59">
        <f ca="1">AVERAGE(OFFSET($CC$3,0,0,'Données projet'!$E$12+1,1))-AVERAGE(OFFSET($H$3,0,0,'Données projet'!$E$12+1,1))</f>
        <v>382.09004346384319</v>
      </c>
      <c r="CE132" s="59">
        <f t="shared" si="94"/>
        <v>410.18893995284986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1.1990670697187422</v>
      </c>
      <c r="CL132" s="21">
        <f>EXP(-LN(2)/25)*CL131+(1-EXP(-LN(2)/25))/(LN(2)/25)*Calculateur!CG132*Calculateur!CI132*VLOOKUP('Données projet'!$B$12,Paramètres!$A$1:$I$89,3,0)*0.475*44/12</f>
        <v>2.1871669278880321</v>
      </c>
      <c r="CM132" s="21">
        <f>EXP(-LN(2)/2)*CM131+(1-EXP(-LN(2)/2))/(LN(2)/2)*CG132*CJ132*VLOOKUP('Données projet'!$B$12,Paramètres!$A$1:$I$89,3,0)*0.475*44/12</f>
        <v>3.1630989867450288E-14</v>
      </c>
      <c r="CN132" s="22">
        <f t="shared" ref="CN132:CN153" si="120">SUM(CK132:CM132)</f>
        <v>3.3862339976068059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363.02374534486341</v>
      </c>
      <c r="CZ132" s="59">
        <f t="shared" si="96"/>
        <v>489.00477393029598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1.0288593632235206</v>
      </c>
      <c r="DG132" s="21">
        <f>EXP(-LN(2)/25)*DG131+(1-EXP(-LN(2)/25))/(LN(2)/25)*Calculateur!DB132*Calculateur!DD132*VLOOKUP('Données projet'!$B$13,Paramètres!$A$1:$I$89,3,0)*0.475*44/12</f>
        <v>1.24417378086579</v>
      </c>
      <c r="DH132" s="21">
        <f>EXP(-LN(2)/2)*DH131+(1-EXP(-LN(2)/2))/(LN(2)/2)*DB132*DE132*VLOOKUP('Données projet'!$B$13,Paramètres!$A$1:$I$89,3,0)*0.475*44/12</f>
        <v>3.6821731988287352E-14</v>
      </c>
      <c r="DI132" s="22">
        <f t="shared" ref="DI132:DI153" si="123">SUM(DF132:DH132)</f>
        <v>2.2730331440893474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-3.7509835237869992E-13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368.03281986807173</v>
      </c>
      <c r="DU132" s="59">
        <f t="shared" si="98"/>
        <v>395.83504504492248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0.3434402703942151</v>
      </c>
      <c r="EB132" s="21">
        <f>EXP(-LN(2)/25)*EB131+(1-EXP(-LN(2)/25))/(LN(2)/25)*Calculateur!DW132*Calculateur!DY132*VLOOKUP('Données projet'!$B$14,Paramètres!$A$1:$I$89,3,0)*0.475*44/12</f>
        <v>0.98584907488352258</v>
      </c>
      <c r="EC132" s="21">
        <f>EXP(-LN(2)/2)*EC131+(1-EXP(-LN(2)/2))/(LN(2)/2)*DW132*DZ132*VLOOKUP('Données projet'!$B$14,Paramètres!$A$1:$I$89,3,0)*0.475*44/12</f>
        <v>2.782658510638254E-14</v>
      </c>
      <c r="ED132" s="22">
        <f t="shared" ref="ED132:ED153" si="126">SUM(EA132:EC132)</f>
        <v>1.3292893452777654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225.2264820414552</v>
      </c>
      <c r="EP132" s="59">
        <f t="shared" si="100"/>
        <v>249.91838548328681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0.31142890297916836</v>
      </c>
      <c r="EW132" s="21">
        <f>EXP(-LN(2)/25)*EW131+(1-EXP(-LN(2)/25))/(LN(2)/25)*Calculateur!ER132*Calculateur!ET132*VLOOKUP('Données projet'!$B$15,Paramètres!$A$1:$I$89,3,0)*0.475*44/12</f>
        <v>0.55618318358378649</v>
      </c>
      <c r="EX132" s="21">
        <f>EXP(-LN(2)/2)*EX131+(1-EXP(-LN(2)/2))/(LN(2)/2)*ER132*EU132*VLOOKUP('Données projet'!$B$15,Paramètres!$A$1:$I$89,3,0)*0.475*44/12</f>
        <v>5.0814756339668493E-15</v>
      </c>
      <c r="EY132" s="22">
        <f t="shared" ref="EY132:EY153" si="129">SUM(EV132:EX132)</f>
        <v>0.86761208656295996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-1.2505552149377763E-12</v>
      </c>
      <c r="FF132" s="17">
        <f>FE132*VLOOKUP('Données projet'!$B$16,Paramètres!$A$1:$I$89,3,0)*VLOOKUP('Données projet'!$B$16,Paramètres!$A$1:$I$89,5,0)</f>
        <v>-6.9906036515021697E-13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549.85684198202534</v>
      </c>
      <c r="FK132" s="59">
        <f t="shared" si="102"/>
        <v>539.63748606275431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1.6075927550367533</v>
      </c>
      <c r="FR132" s="21">
        <f>EXP(-LN(2)/25)*FR131+(1-EXP(-LN(2)/25))/(LN(2)/25)*Calculateur!FM132*Calculateur!FO132*VLOOKUP('Données projet'!$B$16,Paramètres!$A$1:$I$89,3,0)*0.475*44/12</f>
        <v>2.4905678401292137</v>
      </c>
      <c r="FS132" s="21">
        <f>EXP(-LN(2)/2)*FS131+(1-EXP(-LN(2)/2))/(LN(2)/2)*FM132*FP132*VLOOKUP('Données projet'!$B$16,Paramètres!$A$1:$I$89,3,0)*0.475*44/12</f>
        <v>4.5811393256378404E-14</v>
      </c>
      <c r="FT132" s="22">
        <f t="shared" ref="FT132:FT153" si="132">SUM(FQ132:FS132)</f>
        <v>4.0981605951660134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-5.6843418860808015E-13</v>
      </c>
      <c r="GA132" s="17">
        <f>FZ132*VLOOKUP('Données projet'!$B$17,Paramètres!$A$1:$I$89,3,0)*VLOOKUP('Données projet'!$B$17,Paramètres!$A$1:$I$89,5,0)</f>
        <v>-3.39923644787632E-13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495.6641415122013</v>
      </c>
      <c r="GF132" s="59">
        <f t="shared" si="104"/>
        <v>488.90534169400757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0.56282740007206311</v>
      </c>
      <c r="GM132" s="21">
        <f>EXP(-LN(2)/25)*GM131+(1-EXP(-LN(2)/25))/(LN(2)/25)*Calculateur!GH132*Calculateur!GJ132*VLOOKUP('Données projet'!$B$17,Paramètres!$A$1:$I$89,3,0)*0.475*44/12</f>
        <v>1.6710122116664654</v>
      </c>
      <c r="GN132" s="21">
        <f>EXP(-LN(2)/2)*GN131+(1-EXP(-LN(2)/2))/(LN(2)/2)*GH132*GK132*VLOOKUP('Données projet'!$B$17,Paramètres!$A$1:$I$89,3,0)*0.475*44/12</f>
        <v>4.3660293783895081E-14</v>
      </c>
      <c r="GO132" s="21">
        <f t="shared" ref="GO132:GO153" si="135">SUM(GL132:GN132)</f>
        <v>2.2338396117385719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-5.6843418860808015E-13</v>
      </c>
      <c r="GV132" s="17">
        <f>GU132*VLOOKUP('Données projet'!$B$18,Paramètres!$A$1:$I$89,3,0)*VLOOKUP('Données projet'!$B$18,Paramètres!$A$1:$I$89,5,0)</f>
        <v>-3.39923644787632E-13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-18.333333333333343</v>
      </c>
      <c r="HA132" s="59">
        <f t="shared" si="106"/>
        <v>-18.333333333333343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0.56282740007206311</v>
      </c>
      <c r="HH132" s="21">
        <f>EXP(-LN(2)/25)*HH131+(1-EXP(-LN(2)/25))/(LN(2)/25)*Calculateur!HC132*Calculateur!HE132*VLOOKUP('Données projet'!$B$18,Paramètres!$A$1:$I$89,3,0)*0.475*44/12</f>
        <v>1.6710122116664654</v>
      </c>
      <c r="HI132" s="21">
        <f>EXP(-LN(2)/2)*HI131+(1-EXP(-LN(2)/2))/(LN(2)/2)*HC132*HF132*VLOOKUP('Données projet'!$B$18,Paramètres!$A$1:$I$89,3,0)*0.475*44/12</f>
        <v>4.3660293783895081E-14</v>
      </c>
      <c r="HJ132" s="22">
        <f t="shared" ref="HJ132:HJ153" si="138">SUM(HG132:HI132)</f>
        <v>2.2338396117385719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376.11581547534814</v>
      </c>
      <c r="T133" s="59">
        <f t="shared" ref="T133:T196" si="142">$T$3</f>
        <v>300.91675649863294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0.43260733454063055</v>
      </c>
      <c r="AA133" s="21">
        <f>EXP(-LN(2)/25)*AA132+(1-EXP(-LN(2)/25))/(LN(2)/25)*Calculateur!V133*Calculateur!X133*VLOOKUP('Données projet'!$B$9,Paramètres!$A$1:$I$89,3,0)*0.475*44/12</f>
        <v>0.49096652212457675</v>
      </c>
      <c r="AB133" s="21">
        <f>EXP(-LN(2)/2)*AB132+(1-EXP(-LN(2)/2))/(LN(2)/2)*V133*Y133*VLOOKUP('Données projet'!$B$9,Paramètres!$A$1:$I$89,3,0)*0.475*44/12</f>
        <v>8.7327269684820336E-15</v>
      </c>
      <c r="AC133" s="22">
        <f t="shared" si="111"/>
        <v>0.92357385666521608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-5.6843418860808015E-13</v>
      </c>
      <c r="AJ133" s="13">
        <f>AI133*VLOOKUP('Données projet'!$B$10,Paramètres!$A$1:$I$89,3,0)*VLOOKUP('Données projet'!$B$10,Paramètres!$A$1:$I$89,5,0)</f>
        <v>-5.1431925385259092E-13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505.38595282220405</v>
      </c>
      <c r="AO133" s="59">
        <f t="shared" ref="AO133:AO196" si="144">$AO$3</f>
        <v>351.72130415456365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0.33240724660154147</v>
      </c>
      <c r="AV133" s="21">
        <f>EXP(-LN(2)/25)*AV132+(1-EXP(-LN(2)/25))/(LN(2)/25)*Calculateur!AQ133*Calculateur!AS133*VLOOKUP('Données projet'!$B$10,Paramètres!$A$1:$I$89,3,0)*0.475*44/12</f>
        <v>0.70517615003185996</v>
      </c>
      <c r="AW133" s="21">
        <f>EXP(-LN(2)/2)*AW132+(1-EXP(-LN(2)/2))/(LN(2)/2)*AQ133*AT133*VLOOKUP('Données projet'!$B$10,Paramètres!$A$1:$I$89,3,0)*0.475*44/12</f>
        <v>1.9143208595290668E-14</v>
      </c>
      <c r="AX133" s="21">
        <f t="shared" si="114"/>
        <v>1.0375833966334205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-4.0702161641092972E-13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394.14657090341535</v>
      </c>
      <c r="BJ133" s="59">
        <f t="shared" ref="BJ133:BJ196" si="146">$BJ$3</f>
        <v>424.06445894109982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0.45032918382315928</v>
      </c>
      <c r="BQ133" s="21">
        <f>EXP(-LN(2)/25)*BQ132+(1-EXP(-LN(2)/25))/(LN(2)/25)*Calculateur!BL133*Calculateur!BN133*VLOOKUP('Données projet'!$B$11,Paramètres!$A$1:$I$89,3,0)*0.475*44/12</f>
        <v>1.2824751702998125</v>
      </c>
      <c r="BR133" s="21">
        <f>EXP(-LN(2)/2)*BR132+(1-EXP(-LN(2)/2))/(LN(2)/2)*BL133*BO133*VLOOKUP('Données projet'!$B$11,Paramètres!$A$1:$I$89,3,0)*0.475*44/12</f>
        <v>2.1350951453731147E-14</v>
      </c>
      <c r="BS133" s="22">
        <f t="shared" si="117"/>
        <v>1.7328043541229932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5.6843418860808015E-13</v>
      </c>
      <c r="BZ133" s="13">
        <f>BY133*VLOOKUP('Données projet'!$B$12,Paramètres!$A$1:$I$89,3,0)*VLOOKUP('Données projet'!$B$12,Paramètres!$A$1:$I$89,5,0)</f>
        <v>3.1036506698001181E-13</v>
      </c>
      <c r="CA133" s="13">
        <f t="shared" ref="CA133:CA153" si="147">EXP(-1.0587+0.8836*LN(BZ133)+0.284)</f>
        <v>4.086682523110923E-12</v>
      </c>
      <c r="CB133" s="20">
        <f t="shared" si="118"/>
        <v>7.6581912194083782E-12</v>
      </c>
      <c r="CC133" s="59">
        <f t="shared" si="119"/>
        <v>283.91028339343978</v>
      </c>
      <c r="CD133" s="59">
        <f ca="1">AVERAGE(OFFSET($CC$3,0,0,'Données projet'!$E$12+1,1))-AVERAGE(OFFSET($H$3,0,0,'Données projet'!$E$12+1,1))</f>
        <v>382.09004346384319</v>
      </c>
      <c r="CE133" s="59">
        <f t="shared" ref="CE133:CE196" si="148">$CE$3</f>
        <v>410.18893995284986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1.1755540958402546</v>
      </c>
      <c r="CL133" s="21">
        <f>EXP(-LN(2)/25)*CL132+(1-EXP(-LN(2)/25))/(LN(2)/25)*Calculateur!CG133*Calculateur!CI133*VLOOKUP('Données projet'!$B$12,Paramètres!$A$1:$I$89,3,0)*0.475*44/12</f>
        <v>2.1273587332268238</v>
      </c>
      <c r="CM133" s="21">
        <f>EXP(-LN(2)/2)*CM132+(1-EXP(-LN(2)/2))/(LN(2)/2)*CG133*CJ133*VLOOKUP('Données projet'!$B$12,Paramètres!$A$1:$I$89,3,0)*0.475*44/12</f>
        <v>2.2366487430917073E-14</v>
      </c>
      <c r="CN133" s="22">
        <f t="shared" si="120"/>
        <v>3.3029128290671004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363.02374534486341</v>
      </c>
      <c r="CZ133" s="59">
        <f t="shared" ref="CZ133:CZ196" si="150">$CZ$3</f>
        <v>489.00477393029598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1.0086840586529542</v>
      </c>
      <c r="DG133" s="21">
        <f>EXP(-LN(2)/25)*DG132+(1-EXP(-LN(2)/25))/(LN(2)/25)*Calculateur!DB133*Calculateur!DD133*VLOOKUP('Données projet'!$B$13,Paramètres!$A$1:$I$89,3,0)*0.475*44/12</f>
        <v>1.2101517833997595</v>
      </c>
      <c r="DH133" s="21">
        <f>EXP(-LN(2)/2)*DH132+(1-EXP(-LN(2)/2))/(LN(2)/2)*DB133*DE133*VLOOKUP('Données projet'!$B$13,Paramètres!$A$1:$I$89,3,0)*0.475*44/12</f>
        <v>2.6036896383951602E-14</v>
      </c>
      <c r="DI133" s="22">
        <f t="shared" si="123"/>
        <v>2.2188358420527399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-3.7509835237869992E-13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368.03281986807173</v>
      </c>
      <c r="DU133" s="59">
        <f t="shared" ref="DU133:DU196" si="152">$DU$3</f>
        <v>395.83504504492248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0.33670561616966527</v>
      </c>
      <c r="EB133" s="21">
        <f>EXP(-LN(2)/25)*EB132+(1-EXP(-LN(2)/25))/(LN(2)/25)*Calculateur!DW133*Calculateur!DY133*VLOOKUP('Données projet'!$B$14,Paramètres!$A$1:$I$89,3,0)*0.475*44/12</f>
        <v>0.95889098008728302</v>
      </c>
      <c r="EC133" s="21">
        <f>EXP(-LN(2)/2)*EC132+(1-EXP(-LN(2)/2))/(LN(2)/2)*DW133*DZ133*VLOOKUP('Données projet'!$B$14,Paramètres!$A$1:$I$89,3,0)*0.475*44/12</f>
        <v>1.9676367025987683E-14</v>
      </c>
      <c r="ED133" s="22">
        <f t="shared" si="126"/>
        <v>1.295596596256968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225.2264820414552</v>
      </c>
      <c r="EP133" s="59">
        <f t="shared" ref="EP133:EP196" si="154">$EP$3</f>
        <v>249.91838548328681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0.30532197214462142</v>
      </c>
      <c r="EW133" s="21">
        <f>EXP(-LN(2)/25)*EW132+(1-EXP(-LN(2)/25))/(LN(2)/25)*Calculateur!ER133*Calculateur!ET133*VLOOKUP('Données projet'!$B$15,Paramètres!$A$1:$I$89,3,0)*0.475*44/12</f>
        <v>0.54097432518028543</v>
      </c>
      <c r="EX133" s="21">
        <f>EXP(-LN(2)/2)*EX132+(1-EXP(-LN(2)/2))/(LN(2)/2)*ER133*EU133*VLOOKUP('Données projet'!$B$15,Paramètres!$A$1:$I$89,3,0)*0.475*44/12</f>
        <v>3.5931458792121697E-15</v>
      </c>
      <c r="EY133" s="22">
        <f t="shared" si="129"/>
        <v>0.84629629732491041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-1.2505552149377763E-12</v>
      </c>
      <c r="FF133" s="17">
        <f>FE133*VLOOKUP('Données projet'!$B$16,Paramètres!$A$1:$I$89,3,0)*VLOOKUP('Données projet'!$B$16,Paramètres!$A$1:$I$89,5,0)</f>
        <v>-6.9906036515021697E-13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549.85684198202534</v>
      </c>
      <c r="FK133" s="59">
        <f t="shared" ref="FK133:FK196" si="156">$FK$3</f>
        <v>539.63748606275431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1.5760688416452433</v>
      </c>
      <c r="FR133" s="21">
        <f>EXP(-LN(2)/25)*FR132+(1-EXP(-LN(2)/25))/(LN(2)/25)*Calculateur!FM133*Calculateur!FO133*VLOOKUP('Données projet'!$B$16,Paramètres!$A$1:$I$89,3,0)*0.475*44/12</f>
        <v>2.4224631315676097</v>
      </c>
      <c r="FS133" s="21">
        <f>EXP(-LN(2)/2)*FS132+(1-EXP(-LN(2)/2))/(LN(2)/2)*FM133*FP133*VLOOKUP('Données projet'!$B$16,Paramètres!$A$1:$I$89,3,0)*0.475*44/12</f>
        <v>3.2393546827188842E-14</v>
      </c>
      <c r="FT133" s="22">
        <f t="shared" si="132"/>
        <v>3.9985319732128857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-5.6843418860808015E-13</v>
      </c>
      <c r="GA133" s="17">
        <f>FZ133*VLOOKUP('Données projet'!$B$17,Paramètres!$A$1:$I$89,3,0)*VLOOKUP('Données projet'!$B$17,Paramètres!$A$1:$I$89,5,0)</f>
        <v>-3.39923644787632E-13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495.6641415122013</v>
      </c>
      <c r="GF133" s="59">
        <f t="shared" ref="GF133:GF196" si="158">$GF$3</f>
        <v>488.90534169400757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0.55179069804746683</v>
      </c>
      <c r="GM133" s="21">
        <f>EXP(-LN(2)/25)*GM132+(1-EXP(-LN(2)/25))/(LN(2)/25)*Calculateur!GH133*Calculateur!GJ133*VLOOKUP('Données projet'!$B$17,Paramètres!$A$1:$I$89,3,0)*0.475*44/12</f>
        <v>1.6253182948637328</v>
      </c>
      <c r="GN133" s="21">
        <f>EXP(-LN(2)/2)*GN132+(1-EXP(-LN(2)/2))/(LN(2)/2)*GH133*GK133*VLOOKUP('Données projet'!$B$17,Paramètres!$A$1:$I$89,3,0)*0.475*44/12</f>
        <v>3.0872489803189079E-14</v>
      </c>
      <c r="GO133" s="21">
        <f t="shared" si="135"/>
        <v>2.1771089929112306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-5.6843418860808015E-13</v>
      </c>
      <c r="GV133" s="17">
        <f>GU133*VLOOKUP('Données projet'!$B$18,Paramètres!$A$1:$I$89,3,0)*VLOOKUP('Données projet'!$B$18,Paramètres!$A$1:$I$89,5,0)</f>
        <v>-3.39923644787632E-13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-18.333333333333343</v>
      </c>
      <c r="HA133" s="59">
        <f t="shared" ref="HA133:HA196" si="160">$HA$3</f>
        <v>-18.333333333333343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0.55179069804746683</v>
      </c>
      <c r="HH133" s="21">
        <f>EXP(-LN(2)/25)*HH132+(1-EXP(-LN(2)/25))/(LN(2)/25)*Calculateur!HC133*Calculateur!HE133*VLOOKUP('Données projet'!$B$18,Paramètres!$A$1:$I$89,3,0)*0.475*44/12</f>
        <v>1.6253182948637328</v>
      </c>
      <c r="HI133" s="21">
        <f>EXP(-LN(2)/2)*HI132+(1-EXP(-LN(2)/2))/(LN(2)/2)*HC133*HF133*VLOOKUP('Données projet'!$B$18,Paramètres!$A$1:$I$89,3,0)*0.475*44/12</f>
        <v>3.0872489803189079E-14</v>
      </c>
      <c r="HJ133" s="22">
        <f t="shared" si="138"/>
        <v>2.1771089929112306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376.11581547534814</v>
      </c>
      <c r="T134" s="59">
        <f t="shared" si="142"/>
        <v>300.91675649863294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0.42412416857470842</v>
      </c>
      <c r="AA134" s="21">
        <f>EXP(-LN(2)/25)*AA133+(1-EXP(-LN(2)/25))/(LN(2)/25)*Calculateur!V134*Calculateur!X134*VLOOKUP('Données projet'!$B$9,Paramètres!$A$1:$I$89,3,0)*0.475*44/12</f>
        <v>0.47754101675827293</v>
      </c>
      <c r="AB134" s="21">
        <f>EXP(-LN(2)/2)*AB133+(1-EXP(-LN(2)/2))/(LN(2)/2)*V134*Y134*VLOOKUP('Données projet'!$B$9,Paramètres!$A$1:$I$89,3,0)*0.475*44/12</f>
        <v>6.1749704576642879E-15</v>
      </c>
      <c r="AC134" s="22">
        <f t="shared" si="111"/>
        <v>0.90166518533298756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-5.6843418860808015E-13</v>
      </c>
      <c r="AJ134" s="13">
        <f>AI134*VLOOKUP('Données projet'!$B$10,Paramètres!$A$1:$I$89,3,0)*VLOOKUP('Données projet'!$B$10,Paramètres!$A$1:$I$89,5,0)</f>
        <v>-5.1431925385259092E-13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505.38595282220405</v>
      </c>
      <c r="AO134" s="59">
        <f t="shared" si="144"/>
        <v>351.72130415456365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0.3258889432440859</v>
      </c>
      <c r="AV134" s="21">
        <f>EXP(-LN(2)/25)*AV133+(1-EXP(-LN(2)/25))/(LN(2)/25)*Calculateur!AQ134*Calculateur!AS134*VLOOKUP('Données projet'!$B$10,Paramètres!$A$1:$I$89,3,0)*0.475*44/12</f>
        <v>0.68589307112563669</v>
      </c>
      <c r="AW134" s="21">
        <f>EXP(-LN(2)/2)*AW133+(1-EXP(-LN(2)/2))/(LN(2)/2)*AQ134*AT134*VLOOKUP('Données projet'!$B$10,Paramètres!$A$1:$I$89,3,0)*0.475*44/12</f>
        <v>1.3536292611398635E-14</v>
      </c>
      <c r="AX134" s="21">
        <f t="shared" si="114"/>
        <v>1.011782014369736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-4.0702161641092972E-13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394.14657090341535</v>
      </c>
      <c r="BJ134" s="59">
        <f t="shared" si="146"/>
        <v>424.06445894109982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0.44149850320206752</v>
      </c>
      <c r="BQ134" s="21">
        <f>EXP(-LN(2)/25)*BQ133+(1-EXP(-LN(2)/25))/(LN(2)/25)*Calculateur!BL134*Calculateur!BN134*VLOOKUP('Données projet'!$B$11,Paramètres!$A$1:$I$89,3,0)*0.475*44/12</f>
        <v>1.247405819325526</v>
      </c>
      <c r="BR134" s="21">
        <f>EXP(-LN(2)/2)*BR133+(1-EXP(-LN(2)/2))/(LN(2)/2)*BL134*BO134*VLOOKUP('Données projet'!$B$11,Paramètres!$A$1:$I$89,3,0)*0.475*44/12</f>
        <v>1.5097402557718069E-14</v>
      </c>
      <c r="BS134" s="22">
        <f t="shared" si="117"/>
        <v>1.6889043225276086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5.6843418860808015E-13</v>
      </c>
      <c r="BZ134" s="13">
        <f>BY134*VLOOKUP('Données projet'!$B$12,Paramètres!$A$1:$I$89,3,0)*VLOOKUP('Données projet'!$B$12,Paramètres!$A$1:$I$89,5,0)</f>
        <v>3.1036506698001181E-13</v>
      </c>
      <c r="CA134" s="13">
        <f t="shared" si="147"/>
        <v>4.086682523110923E-12</v>
      </c>
      <c r="CB134" s="20">
        <f t="shared" si="118"/>
        <v>7.6581912194083782E-12</v>
      </c>
      <c r="CC134" s="59">
        <f t="shared" si="119"/>
        <v>284.0737522431134</v>
      </c>
      <c r="CD134" s="59">
        <f ca="1">AVERAGE(OFFSET($CC$3,0,0,'Données projet'!$E$12+1,1))-AVERAGE(OFFSET($H$3,0,0,'Données projet'!$E$12+1,1))</f>
        <v>382.09004346384319</v>
      </c>
      <c r="CE134" s="59">
        <f t="shared" si="148"/>
        <v>410.18893995284986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1.152502197038026</v>
      </c>
      <c r="CL134" s="21">
        <f>EXP(-LN(2)/25)*CL133+(1-EXP(-LN(2)/25))/(LN(2)/25)*Calculateur!CG134*Calculateur!CI134*VLOOKUP('Données projet'!$B$12,Paramètres!$A$1:$I$89,3,0)*0.475*44/12</f>
        <v>2.0691859967938027</v>
      </c>
      <c r="CM134" s="21">
        <f>EXP(-LN(2)/2)*CM133+(1-EXP(-LN(2)/2))/(LN(2)/2)*CG134*CJ134*VLOOKUP('Données projet'!$B$12,Paramètres!$A$1:$I$89,3,0)*0.475*44/12</f>
        <v>1.5815494933725144E-14</v>
      </c>
      <c r="CN134" s="22">
        <f t="shared" si="120"/>
        <v>3.2216881938318447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363.02374534486341</v>
      </c>
      <c r="CZ134" s="59">
        <f t="shared" si="150"/>
        <v>489.00477393029598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0.98890437949929599</v>
      </c>
      <c r="DG134" s="21">
        <f>EXP(-LN(2)/25)*DG133+(1-EXP(-LN(2)/25))/(LN(2)/25)*Calculateur!DB134*Calculateur!DD134*VLOOKUP('Données projet'!$B$13,Paramètres!$A$1:$I$89,3,0)*0.475*44/12</f>
        <v>1.1770601192435766</v>
      </c>
      <c r="DH134" s="21">
        <f>EXP(-LN(2)/2)*DH133+(1-EXP(-LN(2)/2))/(LN(2)/2)*DB134*DE134*VLOOKUP('Données projet'!$B$13,Paramètres!$A$1:$I$89,3,0)*0.475*44/12</f>
        <v>1.8410865994143676E-14</v>
      </c>
      <c r="DI134" s="22">
        <f t="shared" si="123"/>
        <v>2.1659644987428908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-3.7509835237869992E-13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368.03281986807173</v>
      </c>
      <c r="DU134" s="59">
        <f t="shared" si="152"/>
        <v>395.83504504492248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0.3301030244067254</v>
      </c>
      <c r="EB134" s="21">
        <f>EXP(-LN(2)/25)*EB133+(1-EXP(-LN(2)/25))/(LN(2)/25)*Calculateur!DW134*Calculateur!DY134*VLOOKUP('Données projet'!$B$14,Paramètres!$A$1:$I$89,3,0)*0.475*44/12</f>
        <v>0.93267005581091122</v>
      </c>
      <c r="EC134" s="21">
        <f>EXP(-LN(2)/2)*EC133+(1-EXP(-LN(2)/2))/(LN(2)/2)*DW134*DZ134*VLOOKUP('Données projet'!$B$14,Paramètres!$A$1:$I$89,3,0)*0.475*44/12</f>
        <v>1.3913292553191273E-14</v>
      </c>
      <c r="ED134" s="22">
        <f t="shared" si="126"/>
        <v>1.2627730802176507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225.2264820414552</v>
      </c>
      <c r="EP134" s="59">
        <f t="shared" si="154"/>
        <v>249.91838548328681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0.2993347944988799</v>
      </c>
      <c r="EW134" s="21">
        <f>EXP(-LN(2)/25)*EW133+(1-EXP(-LN(2)/25))/(LN(2)/25)*Calculateur!ER134*Calculateur!ET134*VLOOKUP('Données projet'!$B$15,Paramètres!$A$1:$I$89,3,0)*0.475*44/12</f>
        <v>0.52618135380962716</v>
      </c>
      <c r="EX134" s="21">
        <f>EXP(-LN(2)/2)*EX133+(1-EXP(-LN(2)/2))/(LN(2)/2)*ER134*EU134*VLOOKUP('Données projet'!$B$15,Paramètres!$A$1:$I$89,3,0)*0.475*44/12</f>
        <v>2.5407378169834246E-15</v>
      </c>
      <c r="EY134" s="22">
        <f t="shared" si="129"/>
        <v>0.82551614830850961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-1.2505552149377763E-12</v>
      </c>
      <c r="FF134" s="17">
        <f>FE134*VLOOKUP('Données projet'!$B$16,Paramètres!$A$1:$I$89,3,0)*VLOOKUP('Données projet'!$B$16,Paramètres!$A$1:$I$89,5,0)</f>
        <v>-6.9906036515021697E-13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549.85684198202534</v>
      </c>
      <c r="FK134" s="59">
        <f t="shared" si="156"/>
        <v>539.63748606275431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1.5451630929676523</v>
      </c>
      <c r="FR134" s="21">
        <f>EXP(-LN(2)/25)*FR133+(1-EXP(-LN(2)/25))/(LN(2)/25)*Calculateur!FM134*Calculateur!FO134*VLOOKUP('Données projet'!$B$16,Paramètres!$A$1:$I$89,3,0)*0.475*44/12</f>
        <v>2.3562207498430938</v>
      </c>
      <c r="FS134" s="21">
        <f>EXP(-LN(2)/2)*FS133+(1-EXP(-LN(2)/2))/(LN(2)/2)*FM134*FP134*VLOOKUP('Données projet'!$B$16,Paramètres!$A$1:$I$89,3,0)*0.475*44/12</f>
        <v>2.2905696628189202E-14</v>
      </c>
      <c r="FT134" s="22">
        <f t="shared" si="132"/>
        <v>3.9013838428107692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-5.6843418860808015E-13</v>
      </c>
      <c r="GA134" s="17">
        <f>FZ134*VLOOKUP('Données projet'!$B$17,Paramètres!$A$1:$I$89,3,0)*VLOOKUP('Données projet'!$B$17,Paramètres!$A$1:$I$89,5,0)</f>
        <v>-3.39923644787632E-13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495.6641415122013</v>
      </c>
      <c r="GF134" s="59">
        <f t="shared" si="158"/>
        <v>488.90534169400757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0.54097041901784937</v>
      </c>
      <c r="GM134" s="21">
        <f>EXP(-LN(2)/25)*GM133+(1-EXP(-LN(2)/25))/(LN(2)/25)*Calculateur!GH134*Calculateur!GJ134*VLOOKUP('Données projet'!$B$17,Paramètres!$A$1:$I$89,3,0)*0.475*44/12</f>
        <v>1.5808738806189095</v>
      </c>
      <c r="GN134" s="21">
        <f>EXP(-LN(2)/2)*GN133+(1-EXP(-LN(2)/2))/(LN(2)/2)*GH134*GK134*VLOOKUP('Données projet'!$B$17,Paramètres!$A$1:$I$89,3,0)*0.475*44/12</f>
        <v>2.183014689194754E-14</v>
      </c>
      <c r="GO134" s="21">
        <f t="shared" si="135"/>
        <v>2.1218442996367806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-5.6843418860808015E-13</v>
      </c>
      <c r="GV134" s="17">
        <f>GU134*VLOOKUP('Données projet'!$B$18,Paramètres!$A$1:$I$89,3,0)*VLOOKUP('Données projet'!$B$18,Paramètres!$A$1:$I$89,5,0)</f>
        <v>-3.39923644787632E-13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-18.333333333333343</v>
      </c>
      <c r="HA134" s="59">
        <f t="shared" si="160"/>
        <v>-18.333333333333343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0.54097041901784937</v>
      </c>
      <c r="HH134" s="21">
        <f>EXP(-LN(2)/25)*HH133+(1-EXP(-LN(2)/25))/(LN(2)/25)*Calculateur!HC134*Calculateur!HE134*VLOOKUP('Données projet'!$B$18,Paramètres!$A$1:$I$89,3,0)*0.475*44/12</f>
        <v>1.5808738806189095</v>
      </c>
      <c r="HI134" s="21">
        <f>EXP(-LN(2)/2)*HI133+(1-EXP(-LN(2)/2))/(LN(2)/2)*HC134*HF134*VLOOKUP('Données projet'!$B$18,Paramètres!$A$1:$I$89,3,0)*0.475*44/12</f>
        <v>2.183014689194754E-14</v>
      </c>
      <c r="HJ134" s="22">
        <f t="shared" si="138"/>
        <v>2.1218442996367806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376.11581547534814</v>
      </c>
      <c r="T135" s="59">
        <f t="shared" si="142"/>
        <v>300.91675649863294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0.41580735231915766</v>
      </c>
      <c r="AA135" s="21">
        <f>EXP(-LN(2)/25)*AA134+(1-EXP(-LN(2)/25))/(LN(2)/25)*Calculateur!V135*Calculateur!X135*VLOOKUP('Données projet'!$B$9,Paramètres!$A$1:$I$89,3,0)*0.475*44/12</f>
        <v>0.46448263254222732</v>
      </c>
      <c r="AB135" s="21">
        <f>EXP(-LN(2)/2)*AB134+(1-EXP(-LN(2)/2))/(LN(2)/2)*V135*Y135*VLOOKUP('Données projet'!$B$9,Paramètres!$A$1:$I$89,3,0)*0.475*44/12</f>
        <v>4.3663634842410168E-15</v>
      </c>
      <c r="AC135" s="22">
        <f t="shared" si="111"/>
        <v>0.88028998486138932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-5.6843418860808015E-13</v>
      </c>
      <c r="AJ135" s="13">
        <f>AI135*VLOOKUP('Données projet'!$B$10,Paramètres!$A$1:$I$89,3,0)*VLOOKUP('Données projet'!$B$10,Paramètres!$A$1:$I$89,5,0)</f>
        <v>-5.1431925385259092E-13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505.38595282220405</v>
      </c>
      <c r="AO135" s="59">
        <f t="shared" si="144"/>
        <v>351.72130415456365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0.3194984598396976</v>
      </c>
      <c r="AV135" s="21">
        <f>EXP(-LN(2)/25)*AV134+(1-EXP(-LN(2)/25))/(LN(2)/25)*Calculateur!AQ135*Calculateur!AS135*VLOOKUP('Données projet'!$B$10,Paramètres!$A$1:$I$89,3,0)*0.475*44/12</f>
        <v>0.66713728902615721</v>
      </c>
      <c r="AW135" s="21">
        <f>EXP(-LN(2)/2)*AW134+(1-EXP(-LN(2)/2))/(LN(2)/2)*AQ135*AT135*VLOOKUP('Données projet'!$B$10,Paramètres!$A$1:$I$89,3,0)*0.475*44/12</f>
        <v>9.5716042976453342E-15</v>
      </c>
      <c r="AX135" s="21">
        <f t="shared" si="114"/>
        <v>0.98663574886586436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-4.0702161641092972E-13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394.14657090341535</v>
      </c>
      <c r="BJ135" s="59">
        <f t="shared" si="146"/>
        <v>424.06445894109982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0.43284098684177197</v>
      </c>
      <c r="BQ135" s="21">
        <f>EXP(-LN(2)/25)*BQ134+(1-EXP(-LN(2)/25))/(LN(2)/25)*Calculateur!BL135*Calculateur!BN135*VLOOKUP('Données projet'!$B$11,Paramètres!$A$1:$I$89,3,0)*0.475*44/12</f>
        <v>1.2132954415978483</v>
      </c>
      <c r="BR135" s="21">
        <f>EXP(-LN(2)/2)*BR134+(1-EXP(-LN(2)/2))/(LN(2)/2)*BL135*BO135*VLOOKUP('Données projet'!$B$11,Paramètres!$A$1:$I$89,3,0)*0.475*44/12</f>
        <v>1.0675475726865574E-14</v>
      </c>
      <c r="BS135" s="22">
        <f t="shared" si="117"/>
        <v>1.6461364284396309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3.1036506698001181E-13</v>
      </c>
      <c r="CA135" s="13">
        <f t="shared" si="147"/>
        <v>4.086682523110923E-12</v>
      </c>
      <c r="CB135" s="20">
        <f t="shared" si="118"/>
        <v>7.6581912194083782E-12</v>
      </c>
      <c r="CC135" s="59">
        <f t="shared" si="119"/>
        <v>284.23438527370683</v>
      </c>
      <c r="CD135" s="59">
        <f ca="1">AVERAGE(OFFSET($CC$3,0,0,'Données projet'!$E$12+1,1))-AVERAGE(OFFSET($H$3,0,0,'Données projet'!$E$12+1,1))</f>
        <v>382.09004346384319</v>
      </c>
      <c r="CE135" s="59">
        <f t="shared" si="148"/>
        <v>410.18893995284986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1.1299023319110393</v>
      </c>
      <c r="CL135" s="21">
        <f>EXP(-LN(2)/25)*CL134+(1-EXP(-LN(2)/25))/(LN(2)/25)*Calculateur!CG135*Calculateur!CI135*VLOOKUP('Données projet'!$B$12,Paramètres!$A$1:$I$89,3,0)*0.475*44/12</f>
        <v>2.0126039968977136</v>
      </c>
      <c r="CM135" s="21">
        <f>EXP(-LN(2)/2)*CM134+(1-EXP(-LN(2)/2))/(LN(2)/2)*CG135*CJ135*VLOOKUP('Données projet'!$B$12,Paramètres!$A$1:$I$89,3,0)*0.475*44/12</f>
        <v>1.1183243715458536E-14</v>
      </c>
      <c r="CN135" s="22">
        <f t="shared" si="120"/>
        <v>3.1425063288087638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363.02374534486341</v>
      </c>
      <c r="CZ135" s="59">
        <f t="shared" si="150"/>
        <v>489.00477393029598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0.96951256778942796</v>
      </c>
      <c r="DG135" s="21">
        <f>EXP(-LN(2)/25)*DG134+(1-EXP(-LN(2)/25))/(LN(2)/25)*Calculateur!DB135*Calculateur!DD135*VLOOKUP('Données projet'!$B$13,Paramètres!$A$1:$I$89,3,0)*0.475*44/12</f>
        <v>1.1448733483839595</v>
      </c>
      <c r="DH135" s="21">
        <f>EXP(-LN(2)/2)*DH134+(1-EXP(-LN(2)/2))/(LN(2)/2)*DB135*DE135*VLOOKUP('Données projet'!$B$13,Paramètres!$A$1:$I$89,3,0)*0.475*44/12</f>
        <v>1.3018448191975801E-14</v>
      </c>
      <c r="DI135" s="22">
        <f t="shared" si="123"/>
        <v>2.1143859161734002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-3.7509835237869992E-13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368.03281986807173</v>
      </c>
      <c r="DU135" s="59">
        <f t="shared" si="152"/>
        <v>395.83504504492248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0.32362990544107345</v>
      </c>
      <c r="EB135" s="21">
        <f>EXP(-LN(2)/25)*EB134+(1-EXP(-LN(2)/25))/(LN(2)/25)*Calculateur!DW135*Calculateur!DY135*VLOOKUP('Données projet'!$B$14,Paramètres!$A$1:$I$89,3,0)*0.475*44/12</f>
        <v>0.90716614408777529</v>
      </c>
      <c r="EC135" s="21">
        <f>EXP(-LN(2)/2)*EC134+(1-EXP(-LN(2)/2))/(LN(2)/2)*DW135*DZ135*VLOOKUP('Données projet'!$B$14,Paramètres!$A$1:$I$89,3,0)*0.475*44/12</f>
        <v>9.8381835129938433E-15</v>
      </c>
      <c r="ED135" s="22">
        <f t="shared" si="126"/>
        <v>1.2307960495288586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225.2264820414552</v>
      </c>
      <c r="EP135" s="59">
        <f t="shared" si="154"/>
        <v>249.91838548328681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0.29346502175495359</v>
      </c>
      <c r="EW135" s="21">
        <f>EXP(-LN(2)/25)*EW134+(1-EXP(-LN(2)/25))/(LN(2)/25)*Calculateur!ER135*Calculateur!ET135*VLOOKUP('Données projet'!$B$15,Paramètres!$A$1:$I$89,3,0)*0.475*44/12</f>
        <v>0.51179289701902808</v>
      </c>
      <c r="EX135" s="21">
        <f>EXP(-LN(2)/2)*EX134+(1-EXP(-LN(2)/2))/(LN(2)/2)*ER135*EU135*VLOOKUP('Données projet'!$B$15,Paramètres!$A$1:$I$89,3,0)*0.475*44/12</f>
        <v>1.7965729396060849E-15</v>
      </c>
      <c r="EY135" s="22">
        <f t="shared" si="129"/>
        <v>0.80525791877398345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-1.2505552149377763E-12</v>
      </c>
      <c r="FF135" s="17">
        <f>FE135*VLOOKUP('Données projet'!$B$16,Paramètres!$A$1:$I$89,3,0)*VLOOKUP('Données projet'!$B$16,Paramètres!$A$1:$I$89,5,0)</f>
        <v>-6.9906036515021697E-13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549.85684198202534</v>
      </c>
      <c r="FK135" s="59">
        <f t="shared" si="156"/>
        <v>539.63748606275431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1.5148633871709836</v>
      </c>
      <c r="FR135" s="21">
        <f>EXP(-LN(2)/25)*FR134+(1-EXP(-LN(2)/25))/(LN(2)/25)*Calculateur!FM135*Calculateur!FO135*VLOOKUP('Données projet'!$B$16,Paramètres!$A$1:$I$89,3,0)*0.475*44/12</f>
        <v>2.2917897695303706</v>
      </c>
      <c r="FS135" s="21">
        <f>EXP(-LN(2)/2)*FS134+(1-EXP(-LN(2)/2))/(LN(2)/2)*FM135*FP135*VLOOKUP('Données projet'!$B$16,Paramètres!$A$1:$I$89,3,0)*0.475*44/12</f>
        <v>1.6196773413594421E-14</v>
      </c>
      <c r="FT135" s="22">
        <f t="shared" si="132"/>
        <v>3.8066531567013699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-5.6843418860808015E-13</v>
      </c>
      <c r="GA135" s="17">
        <f>FZ135*VLOOKUP('Données projet'!$B$17,Paramètres!$A$1:$I$89,3,0)*VLOOKUP('Données projet'!$B$17,Paramètres!$A$1:$I$89,5,0)</f>
        <v>-3.39923644787632E-13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495.6641415122013</v>
      </c>
      <c r="GF135" s="59">
        <f t="shared" si="158"/>
        <v>488.90534169400757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0.53036231906028419</v>
      </c>
      <c r="GM135" s="21">
        <f>EXP(-LN(2)/25)*GM134+(1-EXP(-LN(2)/25))/(LN(2)/25)*Calculateur!GH135*Calculateur!GJ135*VLOOKUP('Données projet'!$B$17,Paramètres!$A$1:$I$89,3,0)*0.475*44/12</f>
        <v>1.5376448012188413</v>
      </c>
      <c r="GN135" s="21">
        <f>EXP(-LN(2)/2)*GN134+(1-EXP(-LN(2)/2))/(LN(2)/2)*GH135*GK135*VLOOKUP('Données projet'!$B$17,Paramètres!$A$1:$I$89,3,0)*0.475*44/12</f>
        <v>1.543624490159454E-14</v>
      </c>
      <c r="GO135" s="21">
        <f t="shared" si="135"/>
        <v>2.068007120279141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-5.6843418860808015E-13</v>
      </c>
      <c r="GV135" s="17">
        <f>GU135*VLOOKUP('Données projet'!$B$18,Paramètres!$A$1:$I$89,3,0)*VLOOKUP('Données projet'!$B$18,Paramètres!$A$1:$I$89,5,0)</f>
        <v>-3.39923644787632E-13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-18.333333333333343</v>
      </c>
      <c r="HA135" s="59">
        <f t="shared" si="160"/>
        <v>-18.333333333333343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0.53036231906028419</v>
      </c>
      <c r="HH135" s="21">
        <f>EXP(-LN(2)/25)*HH134+(1-EXP(-LN(2)/25))/(LN(2)/25)*Calculateur!HC135*Calculateur!HE135*VLOOKUP('Données projet'!$B$18,Paramètres!$A$1:$I$89,3,0)*0.475*44/12</f>
        <v>1.5376448012188413</v>
      </c>
      <c r="HI135" s="21">
        <f>EXP(-LN(2)/2)*HI134+(1-EXP(-LN(2)/2))/(LN(2)/2)*HC135*HF135*VLOOKUP('Données projet'!$B$18,Paramètres!$A$1:$I$89,3,0)*0.475*44/12</f>
        <v>1.543624490159454E-14</v>
      </c>
      <c r="HJ135" s="22">
        <f t="shared" si="138"/>
        <v>2.068007120279141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376.11581547534814</v>
      </c>
      <c r="T136" s="59">
        <f t="shared" si="142"/>
        <v>300.91675649863294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0.40765362375762126</v>
      </c>
      <c r="AA136" s="21">
        <f>EXP(-LN(2)/25)*AA135+(1-EXP(-LN(2)/25))/(LN(2)/25)*Calculateur!V136*Calculateur!X136*VLOOKUP('Données projet'!$B$9,Paramètres!$A$1:$I$89,3,0)*0.475*44/12</f>
        <v>0.45178133052928005</v>
      </c>
      <c r="AB136" s="21">
        <f>EXP(-LN(2)/2)*AB135+(1-EXP(-LN(2)/2))/(LN(2)/2)*V136*Y136*VLOOKUP('Données projet'!$B$9,Paramètres!$A$1:$I$89,3,0)*0.475*44/12</f>
        <v>3.087485228832144E-15</v>
      </c>
      <c r="AC136" s="22">
        <f t="shared" si="111"/>
        <v>0.85943495428690442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-5.6843418860808015E-13</v>
      </c>
      <c r="AJ136" s="13">
        <f>AI136*VLOOKUP('Données projet'!$B$10,Paramètres!$A$1:$I$89,3,0)*VLOOKUP('Données projet'!$B$10,Paramètres!$A$1:$I$89,5,0)</f>
        <v>-5.1431925385259092E-13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505.38595282220405</v>
      </c>
      <c r="AO136" s="59">
        <f t="shared" si="144"/>
        <v>351.72130415456365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0.31323328991705934</v>
      </c>
      <c r="AV136" s="21">
        <f>EXP(-LN(2)/25)*AV135+(1-EXP(-LN(2)/25))/(LN(2)/25)*Calculateur!AQ136*Calculateur!AS136*VLOOKUP('Données projet'!$B$10,Paramètres!$A$1:$I$89,3,0)*0.475*44/12</f>
        <v>0.64889438477451167</v>
      </c>
      <c r="AW136" s="21">
        <f>EXP(-LN(2)/2)*AW135+(1-EXP(-LN(2)/2))/(LN(2)/2)*AQ136*AT136*VLOOKUP('Données projet'!$B$10,Paramètres!$A$1:$I$89,3,0)*0.475*44/12</f>
        <v>6.7681463056993173E-15</v>
      </c>
      <c r="AX136" s="21">
        <f t="shared" si="114"/>
        <v>0.96212767469157778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-4.0702161641092972E-13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394.14657090341535</v>
      </c>
      <c r="BJ136" s="59">
        <f t="shared" si="146"/>
        <v>424.06445894109982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0.42435323909673828</v>
      </c>
      <c r="BQ136" s="21">
        <f>EXP(-LN(2)/25)*BQ135+(1-EXP(-LN(2)/25))/(LN(2)/25)*Calculateur!BL136*Calculateur!BN136*VLOOKUP('Données projet'!$B$11,Paramètres!$A$1:$I$89,3,0)*0.475*44/12</f>
        <v>1.1801178139429209</v>
      </c>
      <c r="BR136" s="21">
        <f>EXP(-LN(2)/2)*BR135+(1-EXP(-LN(2)/2))/(LN(2)/2)*BL136*BO136*VLOOKUP('Données projet'!$B$11,Paramètres!$A$1:$I$89,3,0)*0.475*44/12</f>
        <v>7.5487012788590345E-15</v>
      </c>
      <c r="BS136" s="22">
        <f t="shared" si="117"/>
        <v>1.6044710530396666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3.1036506698001181E-13</v>
      </c>
      <c r="CA136" s="13">
        <f t="shared" si="147"/>
        <v>4.086682523110923E-12</v>
      </c>
      <c r="CB136" s="20">
        <f t="shared" si="118"/>
        <v>7.6581912194083782E-12</v>
      </c>
      <c r="CC136" s="59">
        <f t="shared" si="119"/>
        <v>284.39223168034107</v>
      </c>
      <c r="CD136" s="59">
        <f ca="1">AVERAGE(OFFSET($CC$3,0,0,'Données projet'!$E$12+1,1))-AVERAGE(OFFSET($H$3,0,0,'Données projet'!$E$12+1,1))</f>
        <v>382.09004346384319</v>
      </c>
      <c r="CE136" s="59">
        <f t="shared" si="148"/>
        <v>410.18893995284986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1.1077456363546361</v>
      </c>
      <c r="CL136" s="21">
        <f>EXP(-LN(2)/25)*CL135+(1-EXP(-LN(2)/25))/(LN(2)/25)*Calculateur!CG136*Calculateur!CI136*VLOOKUP('Données projet'!$B$12,Paramètres!$A$1:$I$89,3,0)*0.475*44/12</f>
        <v>1.9575692347643012</v>
      </c>
      <c r="CM136" s="21">
        <f>EXP(-LN(2)/2)*CM135+(1-EXP(-LN(2)/2))/(LN(2)/2)*CG136*CJ136*VLOOKUP('Données projet'!$B$12,Paramètres!$A$1:$I$89,3,0)*0.475*44/12</f>
        <v>7.907747466862572E-15</v>
      </c>
      <c r="CN136" s="22">
        <f t="shared" si="120"/>
        <v>3.0653148711189453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363.02374534486341</v>
      </c>
      <c r="CZ136" s="59">
        <f t="shared" si="150"/>
        <v>489.00477393029598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0.95050101767935324</v>
      </c>
      <c r="DG136" s="21">
        <f>EXP(-LN(2)/25)*DG135+(1-EXP(-LN(2)/25))/(LN(2)/25)*Calculateur!DB136*Calculateur!DD136*VLOOKUP('Données projet'!$B$13,Paramètres!$A$1:$I$89,3,0)*0.475*44/12</f>
        <v>1.1135667264661273</v>
      </c>
      <c r="DH136" s="21">
        <f>EXP(-LN(2)/2)*DH135+(1-EXP(-LN(2)/2))/(LN(2)/2)*DB136*DE136*VLOOKUP('Données projet'!$B$13,Paramètres!$A$1:$I$89,3,0)*0.475*44/12</f>
        <v>9.2054329970718379E-15</v>
      </c>
      <c r="DI136" s="22">
        <f t="shared" si="123"/>
        <v>2.0640677441454898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-3.7509835237869992E-13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368.03281986807173</v>
      </c>
      <c r="DU136" s="59">
        <f t="shared" si="152"/>
        <v>395.83504504492248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0.3172837203901252</v>
      </c>
      <c r="EB136" s="21">
        <f>EXP(-LN(2)/25)*EB135+(1-EXP(-LN(2)/25))/(LN(2)/25)*Calculateur!DW136*Calculateur!DY136*VLOOKUP('Données projet'!$B$14,Paramètres!$A$1:$I$89,3,0)*0.475*44/12</f>
        <v>0.88235963817190088</v>
      </c>
      <c r="EC136" s="21">
        <f>EXP(-LN(2)/2)*EC135+(1-EXP(-LN(2)/2))/(LN(2)/2)*DW136*DZ136*VLOOKUP('Données projet'!$B$14,Paramètres!$A$1:$I$89,3,0)*0.475*44/12</f>
        <v>6.9566462765956375E-15</v>
      </c>
      <c r="ED136" s="22">
        <f t="shared" si="126"/>
        <v>1.199643358562033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225.2264820414552</v>
      </c>
      <c r="EP136" s="59">
        <f t="shared" si="154"/>
        <v>249.91838548328681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0.28771035167432785</v>
      </c>
      <c r="EW136" s="21">
        <f>EXP(-LN(2)/25)*EW135+(1-EXP(-LN(2)/25))/(LN(2)/25)*Calculateur!ER136*Calculateur!ET136*VLOOKUP('Données projet'!$B$15,Paramètres!$A$1:$I$89,3,0)*0.475*44/12</f>
        <v>0.49779789333602403</v>
      </c>
      <c r="EX136" s="21">
        <f>EXP(-LN(2)/2)*EX135+(1-EXP(-LN(2)/2))/(LN(2)/2)*ER136*EU136*VLOOKUP('Données projet'!$B$15,Paramètres!$A$1:$I$89,3,0)*0.475*44/12</f>
        <v>1.2703689084917123E-15</v>
      </c>
      <c r="EY136" s="22">
        <f t="shared" si="129"/>
        <v>0.7855082450103531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-1.2505552149377763E-12</v>
      </c>
      <c r="FF136" s="17">
        <f>FE136*VLOOKUP('Données projet'!$B$16,Paramètres!$A$1:$I$89,3,0)*VLOOKUP('Données projet'!$B$16,Paramètres!$A$1:$I$89,5,0)</f>
        <v>-6.9906036515021697E-13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549.85684198202534</v>
      </c>
      <c r="FK136" s="59">
        <f t="shared" si="156"/>
        <v>539.63748606275431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1.4851578401239918</v>
      </c>
      <c r="FR136" s="21">
        <f>EXP(-LN(2)/25)*FR135+(1-EXP(-LN(2)/25))/(LN(2)/25)*Calculateur!FM136*Calculateur!FO136*VLOOKUP('Données projet'!$B$16,Paramètres!$A$1:$I$89,3,0)*0.475*44/12</f>
        <v>2.2291206577625764</v>
      </c>
      <c r="FS136" s="21">
        <f>EXP(-LN(2)/2)*FS135+(1-EXP(-LN(2)/2))/(LN(2)/2)*FM136*FP136*VLOOKUP('Données projet'!$B$16,Paramètres!$A$1:$I$89,3,0)*0.475*44/12</f>
        <v>1.1452848314094601E-14</v>
      </c>
      <c r="FT136" s="22">
        <f t="shared" si="132"/>
        <v>3.7142784978865797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-5.6843418860808015E-13</v>
      </c>
      <c r="GA136" s="17">
        <f>FZ136*VLOOKUP('Données projet'!$B$17,Paramètres!$A$1:$I$89,3,0)*VLOOKUP('Données projet'!$B$17,Paramètres!$A$1:$I$89,5,0)</f>
        <v>-3.39923644787632E-13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495.6641415122013</v>
      </c>
      <c r="GF136" s="59">
        <f t="shared" si="158"/>
        <v>488.90534169400757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0.51996223747258474</v>
      </c>
      <c r="GM136" s="21">
        <f>EXP(-LN(2)/25)*GM135+(1-EXP(-LN(2)/25))/(LN(2)/25)*Calculateur!GH136*Calculateur!GJ136*VLOOKUP('Données projet'!$B$17,Paramètres!$A$1:$I$89,3,0)*0.475*44/12</f>
        <v>1.4955978232682863</v>
      </c>
      <c r="GN136" s="21">
        <f>EXP(-LN(2)/2)*GN135+(1-EXP(-LN(2)/2))/(LN(2)/2)*GH136*GK136*VLOOKUP('Données projet'!$B$17,Paramètres!$A$1:$I$89,3,0)*0.475*44/12</f>
        <v>1.091507344597377E-14</v>
      </c>
      <c r="GO136" s="21">
        <f t="shared" si="135"/>
        <v>2.0155600607408819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-5.6843418860808015E-13</v>
      </c>
      <c r="GV136" s="17">
        <f>GU136*VLOOKUP('Données projet'!$B$18,Paramètres!$A$1:$I$89,3,0)*VLOOKUP('Données projet'!$B$18,Paramètres!$A$1:$I$89,5,0)</f>
        <v>-3.39923644787632E-13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-18.333333333333343</v>
      </c>
      <c r="HA136" s="59">
        <f t="shared" si="160"/>
        <v>-18.333333333333343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0.51996223747258474</v>
      </c>
      <c r="HH136" s="21">
        <f>EXP(-LN(2)/25)*HH135+(1-EXP(-LN(2)/25))/(LN(2)/25)*Calculateur!HC136*Calculateur!HE136*VLOOKUP('Données projet'!$B$18,Paramètres!$A$1:$I$89,3,0)*0.475*44/12</f>
        <v>1.4955978232682863</v>
      </c>
      <c r="HI136" s="21">
        <f>EXP(-LN(2)/2)*HI135+(1-EXP(-LN(2)/2))/(LN(2)/2)*HC136*HF136*VLOOKUP('Données projet'!$B$18,Paramètres!$A$1:$I$89,3,0)*0.475*44/12</f>
        <v>1.091507344597377E-14</v>
      </c>
      <c r="HJ136" s="22">
        <f t="shared" si="138"/>
        <v>2.0155600607408819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376.11581547534814</v>
      </c>
      <c r="T137" s="59">
        <f t="shared" si="142"/>
        <v>300.91675649863294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0.39965978483989323</v>
      </c>
      <c r="AA137" s="21">
        <f>EXP(-LN(2)/25)*AA136+(1-EXP(-LN(2)/25))/(LN(2)/25)*Calculateur!V137*Calculateur!X137*VLOOKUP('Données projet'!$B$9,Paramètres!$A$1:$I$89,3,0)*0.475*44/12</f>
        <v>0.43942734628780927</v>
      </c>
      <c r="AB137" s="21">
        <f>EXP(-LN(2)/2)*AB136+(1-EXP(-LN(2)/2))/(LN(2)/2)*V137*Y137*VLOOKUP('Données projet'!$B$9,Paramètres!$A$1:$I$89,3,0)*0.475*44/12</f>
        <v>2.1831817421205084E-15</v>
      </c>
      <c r="AC137" s="22">
        <f t="shared" si="111"/>
        <v>0.83908713112770472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-5.6843418860808015E-13</v>
      </c>
      <c r="AJ137" s="13">
        <f>AI137*VLOOKUP('Données projet'!$B$10,Paramètres!$A$1:$I$89,3,0)*VLOOKUP('Données projet'!$B$10,Paramètres!$A$1:$I$89,5,0)</f>
        <v>-5.1431925385259092E-13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505.38595282220405</v>
      </c>
      <c r="AO137" s="59">
        <f t="shared" si="144"/>
        <v>351.72130415456365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0.30709097615522768</v>
      </c>
      <c r="AV137" s="21">
        <f>EXP(-LN(2)/25)*AV136+(1-EXP(-LN(2)/25))/(LN(2)/25)*Calculateur!AQ137*Calculateur!AS137*VLOOKUP('Données projet'!$B$10,Paramètres!$A$1:$I$89,3,0)*0.475*44/12</f>
        <v>0.63115033369897999</v>
      </c>
      <c r="AW137" s="21">
        <f>EXP(-LN(2)/2)*AW136+(1-EXP(-LN(2)/2))/(LN(2)/2)*AQ137*AT137*VLOOKUP('Données projet'!$B$10,Paramètres!$A$1:$I$89,3,0)*0.475*44/12</f>
        <v>4.7858021488226671E-15</v>
      </c>
      <c r="AX137" s="21">
        <f t="shared" si="114"/>
        <v>0.9382413098542125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-4.0702161641092972E-13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394.14657090341535</v>
      </c>
      <c r="BJ137" s="59">
        <f t="shared" si="146"/>
        <v>424.06445894109982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0.41603193090796975</v>
      </c>
      <c r="BQ137" s="21">
        <f>EXP(-LN(2)/25)*BQ136+(1-EXP(-LN(2)/25))/(LN(2)/25)*Calculateur!BL137*Calculateur!BN137*VLOOKUP('Données projet'!$B$11,Paramètres!$A$1:$I$89,3,0)*0.475*44/12</f>
        <v>1.1478474302609531</v>
      </c>
      <c r="BR137" s="21">
        <f>EXP(-LN(2)/2)*BR136+(1-EXP(-LN(2)/2))/(LN(2)/2)*BL137*BO137*VLOOKUP('Données projet'!$B$11,Paramètres!$A$1:$I$89,3,0)*0.475*44/12</f>
        <v>5.3377378634327868E-15</v>
      </c>
      <c r="BS137" s="22">
        <f t="shared" si="117"/>
        <v>1.5638793611689281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3.1036506698001181E-13</v>
      </c>
      <c r="CA137" s="13">
        <f t="shared" si="147"/>
        <v>4.086682523110923E-12</v>
      </c>
      <c r="CB137" s="20">
        <f t="shared" si="118"/>
        <v>7.6581912194083782E-12</v>
      </c>
      <c r="CC137" s="59">
        <f t="shared" si="119"/>
        <v>284.54733980471195</v>
      </c>
      <c r="CD137" s="59">
        <f ca="1">AVERAGE(OFFSET($CC$3,0,0,'Données projet'!$E$12+1,1))-AVERAGE(OFFSET($H$3,0,0,'Données projet'!$E$12+1,1))</f>
        <v>382.09004346384319</v>
      </c>
      <c r="CE137" s="59">
        <f t="shared" si="148"/>
        <v>410.18893995284986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1.0860234200838441</v>
      </c>
      <c r="CL137" s="21">
        <f>EXP(-LN(2)/25)*CL136+(1-EXP(-LN(2)/25))/(LN(2)/25)*Calculateur!CG137*Calculateur!CI137*VLOOKUP('Données projet'!$B$12,Paramètres!$A$1:$I$89,3,0)*0.475*44/12</f>
        <v>1.9040394010955795</v>
      </c>
      <c r="CM137" s="21">
        <f>EXP(-LN(2)/2)*CM136+(1-EXP(-LN(2)/2))/(LN(2)/2)*CG137*CJ137*VLOOKUP('Données projet'!$B$12,Paramètres!$A$1:$I$89,3,0)*0.475*44/12</f>
        <v>5.5916218577292682E-15</v>
      </c>
      <c r="CN137" s="22">
        <f t="shared" si="120"/>
        <v>2.9900628211794293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363.02374534486341</v>
      </c>
      <c r="CZ137" s="59">
        <f t="shared" si="150"/>
        <v>489.00477393029598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0.93186227247103648</v>
      </c>
      <c r="DG137" s="21">
        <f>EXP(-LN(2)/25)*DG136+(1-EXP(-LN(2)/25))/(LN(2)/25)*Calculateur!DB137*Calculateur!DD137*VLOOKUP('Données projet'!$B$13,Paramètres!$A$1:$I$89,3,0)*0.475*44/12</f>
        <v>1.0831161857709819</v>
      </c>
      <c r="DH137" s="21">
        <f>EXP(-LN(2)/2)*DH136+(1-EXP(-LN(2)/2))/(LN(2)/2)*DB137*DE137*VLOOKUP('Données projet'!$B$13,Paramètres!$A$1:$I$89,3,0)*0.475*44/12</f>
        <v>6.5092240959879005E-15</v>
      </c>
      <c r="DI137" s="22">
        <f t="shared" si="123"/>
        <v>2.0149784582420249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-3.7509835237869992E-13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368.03281986807173</v>
      </c>
      <c r="DU137" s="59">
        <f t="shared" si="152"/>
        <v>395.83504504492248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0.31106198015723541</v>
      </c>
      <c r="EB137" s="21">
        <f>EXP(-LN(2)/25)*EB136+(1-EXP(-LN(2)/25))/(LN(2)/25)*Calculateur!DW137*Calculateur!DY137*VLOOKUP('Données projet'!$B$14,Paramètres!$A$1:$I$89,3,0)*0.475*44/12</f>
        <v>0.85823146746481349</v>
      </c>
      <c r="EC137" s="21">
        <f>EXP(-LN(2)/2)*EC136+(1-EXP(-LN(2)/2))/(LN(2)/2)*DW137*DZ137*VLOOKUP('Données projet'!$B$14,Paramètres!$A$1:$I$89,3,0)*0.475*44/12</f>
        <v>4.9190917564969224E-15</v>
      </c>
      <c r="ED137" s="22">
        <f t="shared" si="126"/>
        <v>1.1692934476220538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225.2264820414552</v>
      </c>
      <c r="EP137" s="59">
        <f t="shared" si="154"/>
        <v>249.91838548328681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0.28206852716398101</v>
      </c>
      <c r="EW137" s="21">
        <f>EXP(-LN(2)/25)*EW136+(1-EXP(-LN(2)/25))/(LN(2)/25)*Calculateur!ER137*Calculateur!ET137*VLOOKUP('Données projet'!$B$15,Paramètres!$A$1:$I$89,3,0)*0.475*44/12</f>
        <v>0.484185583764697</v>
      </c>
      <c r="EX137" s="21">
        <f>EXP(-LN(2)/2)*EX136+(1-EXP(-LN(2)/2))/(LN(2)/2)*ER137*EU137*VLOOKUP('Données projet'!$B$15,Paramètres!$A$1:$I$89,3,0)*0.475*44/12</f>
        <v>8.9828646980304243E-16</v>
      </c>
      <c r="EY137" s="22">
        <f t="shared" si="129"/>
        <v>0.7662541109286789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-1.2505552149377763E-12</v>
      </c>
      <c r="FF137" s="17">
        <f>FE137*VLOOKUP('Données projet'!$B$16,Paramètres!$A$1:$I$89,3,0)*VLOOKUP('Données projet'!$B$16,Paramètres!$A$1:$I$89,5,0)</f>
        <v>-6.9906036515021697E-13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549.85684198202534</v>
      </c>
      <c r="FK137" s="59">
        <f t="shared" si="156"/>
        <v>539.63748606275431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1.4560348007359969</v>
      </c>
      <c r="FR137" s="21">
        <f>EXP(-LN(2)/25)*FR136+(1-EXP(-LN(2)/25))/(LN(2)/25)*Calculateur!FM137*Calculateur!FO137*VLOOKUP('Données projet'!$B$16,Paramètres!$A$1:$I$89,3,0)*0.475*44/12</f>
        <v>2.1681652361516979</v>
      </c>
      <c r="FS137" s="21">
        <f>EXP(-LN(2)/2)*FS136+(1-EXP(-LN(2)/2))/(LN(2)/2)*FM137*FP137*VLOOKUP('Données projet'!$B$16,Paramètres!$A$1:$I$89,3,0)*0.475*44/12</f>
        <v>8.0983867067972106E-15</v>
      </c>
      <c r="FT137" s="22">
        <f t="shared" si="132"/>
        <v>3.6242000368877028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-5.6843418860808015E-13</v>
      </c>
      <c r="GA137" s="17">
        <f>FZ137*VLOOKUP('Données projet'!$B$17,Paramètres!$A$1:$I$89,3,0)*VLOOKUP('Données projet'!$B$17,Paramètres!$A$1:$I$89,5,0)</f>
        <v>-3.39923644787632E-13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495.6641415122013</v>
      </c>
      <c r="GF137" s="59">
        <f t="shared" si="158"/>
        <v>488.90534169400757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0.5097660951413967</v>
      </c>
      <c r="GM137" s="21">
        <f>EXP(-LN(2)/25)*GM136+(1-EXP(-LN(2)/25))/(LN(2)/25)*Calculateur!GH137*Calculateur!GJ137*VLOOKUP('Données projet'!$B$17,Paramètres!$A$1:$I$89,3,0)*0.475*44/12</f>
        <v>1.4547006221409438</v>
      </c>
      <c r="GN137" s="21">
        <f>EXP(-LN(2)/2)*GN136+(1-EXP(-LN(2)/2))/(LN(2)/2)*GH137*GK137*VLOOKUP('Données projet'!$B$17,Paramètres!$A$1:$I$89,3,0)*0.475*44/12</f>
        <v>7.7181224507972698E-15</v>
      </c>
      <c r="GO137" s="21">
        <f t="shared" si="135"/>
        <v>1.9644667172823482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-5.6843418860808015E-13</v>
      </c>
      <c r="GV137" s="17">
        <f>GU137*VLOOKUP('Données projet'!$B$18,Paramètres!$A$1:$I$89,3,0)*VLOOKUP('Données projet'!$B$18,Paramètres!$A$1:$I$89,5,0)</f>
        <v>-3.39923644787632E-13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-18.333333333333343</v>
      </c>
      <c r="HA137" s="59">
        <f t="shared" si="160"/>
        <v>-18.333333333333343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0.5097660951413967</v>
      </c>
      <c r="HH137" s="21">
        <f>EXP(-LN(2)/25)*HH136+(1-EXP(-LN(2)/25))/(LN(2)/25)*Calculateur!HC137*Calculateur!HE137*VLOOKUP('Données projet'!$B$18,Paramètres!$A$1:$I$89,3,0)*0.475*44/12</f>
        <v>1.4547006221409438</v>
      </c>
      <c r="HI137" s="21">
        <f>EXP(-LN(2)/2)*HI136+(1-EXP(-LN(2)/2))/(LN(2)/2)*HC137*HF137*VLOOKUP('Données projet'!$B$18,Paramètres!$A$1:$I$89,3,0)*0.475*44/12</f>
        <v>7.7181224507972698E-15</v>
      </c>
      <c r="HJ137" s="22">
        <f t="shared" si="138"/>
        <v>1.9644667172823482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376.11581547534814</v>
      </c>
      <c r="T138" s="59">
        <f t="shared" si="142"/>
        <v>300.91675649863294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0.39182270022758153</v>
      </c>
      <c r="AA138" s="21">
        <f>EXP(-LN(2)/25)*AA137+(1-EXP(-LN(2)/25))/(LN(2)/25)*Calculateur!V138*Calculateur!X138*VLOOKUP('Données projet'!$B$9,Paramètres!$A$1:$I$89,3,0)*0.475*44/12</f>
        <v>0.4274111823950893</v>
      </c>
      <c r="AB138" s="21">
        <f>EXP(-LN(2)/2)*AB137+(1-EXP(-LN(2)/2))/(LN(2)/2)*V138*Y138*VLOOKUP('Données projet'!$B$9,Paramètres!$A$1:$I$89,3,0)*0.475*44/12</f>
        <v>1.543742614416072E-15</v>
      </c>
      <c r="AC138" s="22">
        <f t="shared" si="111"/>
        <v>0.81923388262267238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-5.6843418860808015E-13</v>
      </c>
      <c r="AJ138" s="13">
        <f>AI138*VLOOKUP('Données projet'!$B$10,Paramètres!$A$1:$I$89,3,0)*VLOOKUP('Données projet'!$B$10,Paramètres!$A$1:$I$89,5,0)</f>
        <v>-5.1431925385259092E-13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505.38595282220405</v>
      </c>
      <c r="AO138" s="59">
        <f t="shared" si="144"/>
        <v>351.72130415456365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0.30106910941982407</v>
      </c>
      <c r="AV138" s="21">
        <f>EXP(-LN(2)/25)*AV137+(1-EXP(-LN(2)/25))/(LN(2)/25)*Calculateur!AQ138*Calculateur!AS138*VLOOKUP('Données projet'!$B$10,Paramètres!$A$1:$I$89,3,0)*0.475*44/12</f>
        <v>0.6138914946332279</v>
      </c>
      <c r="AW138" s="21">
        <f>EXP(-LN(2)/2)*AW137+(1-EXP(-LN(2)/2))/(LN(2)/2)*AQ138*AT138*VLOOKUP('Données projet'!$B$10,Paramètres!$A$1:$I$89,3,0)*0.475*44/12</f>
        <v>3.3840731528496587E-15</v>
      </c>
      <c r="AX138" s="21">
        <f t="shared" si="114"/>
        <v>0.91496060405305535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-4.0702161641092972E-13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394.14657090341535</v>
      </c>
      <c r="BJ138" s="59">
        <f t="shared" si="146"/>
        <v>424.06445894109982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0.40787379849728617</v>
      </c>
      <c r="BQ138" s="21">
        <f>EXP(-LN(2)/25)*BQ137+(1-EXP(-LN(2)/25))/(LN(2)/25)*Calculateur!BL138*Calculateur!BN138*VLOOKUP('Données projet'!$B$11,Paramètres!$A$1:$I$89,3,0)*0.475*44/12</f>
        <v>1.1164594819177944</v>
      </c>
      <c r="BR138" s="21">
        <f>EXP(-LN(2)/2)*BR137+(1-EXP(-LN(2)/2))/(LN(2)/2)*BL138*BO138*VLOOKUP('Données projet'!$B$11,Paramètres!$A$1:$I$89,3,0)*0.475*44/12</f>
        <v>3.7743506394295173E-15</v>
      </c>
      <c r="BS138" s="22">
        <f t="shared" si="117"/>
        <v>1.5243332804150844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3.1036506698001181E-13</v>
      </c>
      <c r="CA138" s="13">
        <f t="shared" si="147"/>
        <v>4.086682523110923E-12</v>
      </c>
      <c r="CB138" s="20">
        <f t="shared" si="118"/>
        <v>7.6581912194083782E-12</v>
      </c>
      <c r="CC138" s="59">
        <f t="shared" si="119"/>
        <v>284.69975714989482</v>
      </c>
      <c r="CD138" s="59">
        <f ca="1">AVERAGE(OFFSET($CC$3,0,0,'Données projet'!$E$12+1,1))-AVERAGE(OFFSET($H$3,0,0,'Données projet'!$E$12+1,1))</f>
        <v>382.09004346384319</v>
      </c>
      <c r="CE138" s="59">
        <f t="shared" si="148"/>
        <v>410.18893995284986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1.0647271632248787</v>
      </c>
      <c r="CL138" s="21">
        <f>EXP(-LN(2)/25)*CL137+(1-EXP(-LN(2)/25))/(LN(2)/25)*Calculateur!CG138*Calculateur!CI138*VLOOKUP('Données projet'!$B$12,Paramètres!$A$1:$I$89,3,0)*0.475*44/12</f>
        <v>1.8519733435435404</v>
      </c>
      <c r="CM138" s="21">
        <f>EXP(-LN(2)/2)*CM137+(1-EXP(-LN(2)/2))/(LN(2)/2)*CG138*CJ138*VLOOKUP('Données projet'!$B$12,Paramètres!$A$1:$I$89,3,0)*0.475*44/12</f>
        <v>3.953873733431286E-15</v>
      </c>
      <c r="CN138" s="22">
        <f t="shared" si="120"/>
        <v>2.9167005067684229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363.02374534486341</v>
      </c>
      <c r="CZ138" s="59">
        <f t="shared" si="150"/>
        <v>489.00477393029598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0.91358902168774281</v>
      </c>
      <c r="DG138" s="21">
        <f>EXP(-LN(2)/25)*DG137+(1-EXP(-LN(2)/25))/(LN(2)/25)*Calculateur!DB138*Calculateur!DD138*VLOOKUP('Données projet'!$B$13,Paramètres!$A$1:$I$89,3,0)*0.475*44/12</f>
        <v>1.0534983167124696</v>
      </c>
      <c r="DH138" s="21">
        <f>EXP(-LN(2)/2)*DH137+(1-EXP(-LN(2)/2))/(LN(2)/2)*DB138*DE138*VLOOKUP('Données projet'!$B$13,Paramètres!$A$1:$I$89,3,0)*0.475*44/12</f>
        <v>4.6027164985359189E-15</v>
      </c>
      <c r="DI138" s="22">
        <f t="shared" si="123"/>
        <v>1.9670873384002172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-3.7509835237869992E-13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368.03281986807173</v>
      </c>
      <c r="DU138" s="59">
        <f t="shared" si="152"/>
        <v>395.83504504492248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0.30496224445542575</v>
      </c>
      <c r="EB138" s="21">
        <f>EXP(-LN(2)/25)*EB137+(1-EXP(-LN(2)/25))/(LN(2)/25)*Calculateur!DW138*Calculateur!DY138*VLOOKUP('Données projet'!$B$14,Paramètres!$A$1:$I$89,3,0)*0.475*44/12</f>
        <v>0.8347630828545568</v>
      </c>
      <c r="EC138" s="21">
        <f>EXP(-LN(2)/2)*EC137+(1-EXP(-LN(2)/2))/(LN(2)/2)*DW138*DZ138*VLOOKUP('Données projet'!$B$14,Paramètres!$A$1:$I$89,3,0)*0.475*44/12</f>
        <v>3.4783231382978191E-15</v>
      </c>
      <c r="ED138" s="22">
        <f t="shared" si="126"/>
        <v>1.1397253273099861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225.2264820414552</v>
      </c>
      <c r="EP138" s="59">
        <f t="shared" si="154"/>
        <v>249.91838548328681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0.27653733539110892</v>
      </c>
      <c r="EW138" s="21">
        <f>EXP(-LN(2)/25)*EW137+(1-EXP(-LN(2)/25))/(LN(2)/25)*Calculateur!ER138*Calculateur!ET138*VLOOKUP('Données projet'!$B$15,Paramètres!$A$1:$I$89,3,0)*0.475*44/12</f>
        <v>0.47094550351443815</v>
      </c>
      <c r="EX138" s="21">
        <f>EXP(-LN(2)/2)*EX137+(1-EXP(-LN(2)/2))/(LN(2)/2)*ER138*EU138*VLOOKUP('Données projet'!$B$15,Paramètres!$A$1:$I$89,3,0)*0.475*44/12</f>
        <v>6.3518445424585616E-16</v>
      </c>
      <c r="EY138" s="22">
        <f t="shared" si="129"/>
        <v>0.74748283890554768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-1.2505552149377763E-12</v>
      </c>
      <c r="FF138" s="17">
        <f>FE138*VLOOKUP('Données projet'!$B$16,Paramètres!$A$1:$I$89,3,0)*VLOOKUP('Données projet'!$B$16,Paramètres!$A$1:$I$89,5,0)</f>
        <v>-6.9906036515021697E-13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549.85684198202534</v>
      </c>
      <c r="FK138" s="59">
        <f t="shared" si="156"/>
        <v>539.63748606275431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1.4274828463871005</v>
      </c>
      <c r="FR138" s="21">
        <f>EXP(-LN(2)/25)*FR137+(1-EXP(-LN(2)/25))/(LN(2)/25)*Calculateur!FM138*Calculateur!FO138*VLOOKUP('Données projet'!$B$16,Paramètres!$A$1:$I$89,3,0)*0.475*44/12</f>
        <v>2.1088766437502753</v>
      </c>
      <c r="FS138" s="21">
        <f>EXP(-LN(2)/2)*FS137+(1-EXP(-LN(2)/2))/(LN(2)/2)*FM138*FP138*VLOOKUP('Données projet'!$B$16,Paramètres!$A$1:$I$89,3,0)*0.475*44/12</f>
        <v>5.7264241570473004E-15</v>
      </c>
      <c r="FT138" s="22">
        <f t="shared" si="132"/>
        <v>3.5363594901373818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-5.6843418860808015E-13</v>
      </c>
      <c r="GA138" s="17">
        <f>FZ138*VLOOKUP('Données projet'!$B$17,Paramètres!$A$1:$I$89,3,0)*VLOOKUP('Données projet'!$B$17,Paramètres!$A$1:$I$89,5,0)</f>
        <v>-3.39923644787632E-13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495.6641415122013</v>
      </c>
      <c r="GF138" s="59">
        <f t="shared" si="158"/>
        <v>488.90534169400757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0.49976989294229052</v>
      </c>
      <c r="GM138" s="21">
        <f>EXP(-LN(2)/25)*GM137+(1-EXP(-LN(2)/25))/(LN(2)/25)*Calculateur!GH138*Calculateur!GJ138*VLOOKUP('Données projet'!$B$17,Paramètres!$A$1:$I$89,3,0)*0.475*44/12</f>
        <v>1.4149217571291186</v>
      </c>
      <c r="GN138" s="21">
        <f>EXP(-LN(2)/2)*GN137+(1-EXP(-LN(2)/2))/(LN(2)/2)*GH138*GK138*VLOOKUP('Données projet'!$B$17,Paramètres!$A$1:$I$89,3,0)*0.475*44/12</f>
        <v>5.4575367229868851E-15</v>
      </c>
      <c r="GO138" s="21">
        <f t="shared" si="135"/>
        <v>1.9146916500714146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-5.6843418860808015E-13</v>
      </c>
      <c r="GV138" s="17">
        <f>GU138*VLOOKUP('Données projet'!$B$18,Paramètres!$A$1:$I$89,3,0)*VLOOKUP('Données projet'!$B$18,Paramètres!$A$1:$I$89,5,0)</f>
        <v>-3.39923644787632E-13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-18.333333333333343</v>
      </c>
      <c r="HA138" s="59">
        <f t="shared" si="160"/>
        <v>-18.333333333333343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0.49976989294229052</v>
      </c>
      <c r="HH138" s="21">
        <f>EXP(-LN(2)/25)*HH137+(1-EXP(-LN(2)/25))/(LN(2)/25)*Calculateur!HC138*Calculateur!HE138*VLOOKUP('Données projet'!$B$18,Paramètres!$A$1:$I$89,3,0)*0.475*44/12</f>
        <v>1.4149217571291186</v>
      </c>
      <c r="HI138" s="21">
        <f>EXP(-LN(2)/2)*HI137+(1-EXP(-LN(2)/2))/(LN(2)/2)*HC138*HF138*VLOOKUP('Données projet'!$B$18,Paramètres!$A$1:$I$89,3,0)*0.475*44/12</f>
        <v>5.4575367229868851E-15</v>
      </c>
      <c r="HJ138" s="22">
        <f t="shared" si="138"/>
        <v>1.9146916500714146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376.11581547534814</v>
      </c>
      <c r="T139" s="59">
        <f t="shared" si="142"/>
        <v>300.91675649863294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0.38413929606436764</v>
      </c>
      <c r="AA139" s="21">
        <f>EXP(-LN(2)/25)*AA138+(1-EXP(-LN(2)/25))/(LN(2)/25)*Calculateur!V139*Calculateur!X139*VLOOKUP('Données projet'!$B$9,Paramètres!$A$1:$I$89,3,0)*0.475*44/12</f>
        <v>0.41572360113591833</v>
      </c>
      <c r="AB139" s="21">
        <f>EXP(-LN(2)/2)*AB138+(1-EXP(-LN(2)/2))/(LN(2)/2)*V139*Y139*VLOOKUP('Données projet'!$B$9,Paramètres!$A$1:$I$89,3,0)*0.475*44/12</f>
        <v>1.0915908710602542E-15</v>
      </c>
      <c r="AC139" s="22">
        <f t="shared" si="111"/>
        <v>0.79986289720028703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-5.6843418860808015E-13</v>
      </c>
      <c r="AJ139" s="13">
        <f>AI139*VLOOKUP('Données projet'!$B$10,Paramètres!$A$1:$I$89,3,0)*VLOOKUP('Données projet'!$B$10,Paramètres!$A$1:$I$89,5,0)</f>
        <v>-5.1431925385259092E-13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505.38595282220405</v>
      </c>
      <c r="AO139" s="59">
        <f t="shared" si="144"/>
        <v>351.72130415456365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0.29516532781812571</v>
      </c>
      <c r="AV139" s="21">
        <f>EXP(-LN(2)/25)*AV138+(1-EXP(-LN(2)/25))/(LN(2)/25)*Calculateur!AQ139*Calculateur!AS139*VLOOKUP('Données projet'!$B$10,Paramètres!$A$1:$I$89,3,0)*0.475*44/12</f>
        <v>0.59710459942933169</v>
      </c>
      <c r="AW139" s="21">
        <f>EXP(-LN(2)/2)*AW138+(1-EXP(-LN(2)/2))/(LN(2)/2)*AQ139*AT139*VLOOKUP('Données projet'!$B$10,Paramètres!$A$1:$I$89,3,0)*0.475*44/12</f>
        <v>2.3929010744113335E-15</v>
      </c>
      <c r="AX139" s="21">
        <f t="shared" si="114"/>
        <v>0.8922699272474599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-4.0702161641092972E-13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394.14657090341535</v>
      </c>
      <c r="BJ139" s="59">
        <f t="shared" si="146"/>
        <v>424.06445894109982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0.39987564208720666</v>
      </c>
      <c r="BQ139" s="21">
        <f>EXP(-LN(2)/25)*BQ138+(1-EXP(-LN(2)/25))/(LN(2)/25)*Calculateur!BL139*Calculateur!BN139*VLOOKUP('Données projet'!$B$11,Paramètres!$A$1:$I$89,3,0)*0.475*44/12</f>
        <v>1.0859298386726999</v>
      </c>
      <c r="BR139" s="21">
        <f>EXP(-LN(2)/2)*BR138+(1-EXP(-LN(2)/2))/(LN(2)/2)*BL139*BO139*VLOOKUP('Données projet'!$B$11,Paramètres!$A$1:$I$89,3,0)*0.475*44/12</f>
        <v>2.6688689317163934E-15</v>
      </c>
      <c r="BS139" s="22">
        <f t="shared" si="117"/>
        <v>1.4858054807599093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3.1036506698001181E-13</v>
      </c>
      <c r="CA139" s="13">
        <f t="shared" si="147"/>
        <v>4.086682523110923E-12</v>
      </c>
      <c r="CB139" s="20">
        <f t="shared" si="118"/>
        <v>7.6581912194083782E-12</v>
      </c>
      <c r="CC139" s="59">
        <f t="shared" si="119"/>
        <v>284.84953039489289</v>
      </c>
      <c r="CD139" s="59">
        <f ca="1">AVERAGE(OFFSET($CC$3,0,0,'Données projet'!$E$12+1,1))-AVERAGE(OFFSET($H$3,0,0,'Données projet'!$E$12+1,1))</f>
        <v>382.09004346384319</v>
      </c>
      <c r="CE139" s="59">
        <f t="shared" si="148"/>
        <v>410.18893995284986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1.0438485129734836</v>
      </c>
      <c r="CL139" s="21">
        <f>EXP(-LN(2)/25)*CL138+(1-EXP(-LN(2)/25))/(LN(2)/25)*Calculateur!CG139*Calculateur!CI139*VLOOKUP('Données projet'!$B$12,Paramètres!$A$1:$I$89,3,0)*0.475*44/12</f>
        <v>1.8013310350732969</v>
      </c>
      <c r="CM139" s="21">
        <f>EXP(-LN(2)/2)*CM138+(1-EXP(-LN(2)/2))/(LN(2)/2)*CG139*CJ139*VLOOKUP('Données projet'!$B$12,Paramètres!$A$1:$I$89,3,0)*0.475*44/12</f>
        <v>2.7958109288646341E-15</v>
      </c>
      <c r="CN139" s="22">
        <f t="shared" si="120"/>
        <v>2.845179548046783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363.02374534486341</v>
      </c>
      <c r="CZ139" s="59">
        <f t="shared" si="150"/>
        <v>489.00477393029598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0.89567409820672705</v>
      </c>
      <c r="DG139" s="21">
        <f>EXP(-LN(2)/25)*DG138+(1-EXP(-LN(2)/25))/(LN(2)/25)*Calculateur!DB139*Calculateur!DD139*VLOOKUP('Données projet'!$B$13,Paramètres!$A$1:$I$89,3,0)*0.475*44/12</f>
        <v>1.0246903498408986</v>
      </c>
      <c r="DH139" s="21">
        <f>EXP(-LN(2)/2)*DH138+(1-EXP(-LN(2)/2))/(LN(2)/2)*DB139*DE139*VLOOKUP('Données projet'!$B$13,Paramètres!$A$1:$I$89,3,0)*0.475*44/12</f>
        <v>3.2546120479939503E-15</v>
      </c>
      <c r="DI139" s="22">
        <f t="shared" si="123"/>
        <v>1.920364448047629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-3.7509835237869992E-13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368.03281986807173</v>
      </c>
      <c r="DU139" s="59">
        <f t="shared" si="152"/>
        <v>395.83504504492248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0.29898212085025716</v>
      </c>
      <c r="EB139" s="21">
        <f>EXP(-LN(2)/25)*EB138+(1-EXP(-LN(2)/25))/(LN(2)/25)*Calculateur!DW139*Calculateur!DY139*VLOOKUP('Données projet'!$B$14,Paramètres!$A$1:$I$89,3,0)*0.475*44/12</f>
        <v>0.81193644245561625</v>
      </c>
      <c r="EC139" s="21">
        <f>EXP(-LN(2)/2)*EC138+(1-EXP(-LN(2)/2))/(LN(2)/2)*DW139*DZ139*VLOOKUP('Données projet'!$B$14,Paramètres!$A$1:$I$89,3,0)*0.475*44/12</f>
        <v>2.4595458782484616E-15</v>
      </c>
      <c r="ED139" s="22">
        <f t="shared" si="126"/>
        <v>1.1109185633058758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225.2264820414552</v>
      </c>
      <c r="EP139" s="59">
        <f t="shared" si="154"/>
        <v>249.91838548328681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0.27111460691520894</v>
      </c>
      <c r="EW139" s="21">
        <f>EXP(-LN(2)/25)*EW138+(1-EXP(-LN(2)/25))/(LN(2)/25)*Calculateur!ER139*Calculateur!ET139*VLOOKUP('Données projet'!$B$15,Paramètres!$A$1:$I$89,3,0)*0.475*44/12</f>
        <v>0.45806747395488817</v>
      </c>
      <c r="EX139" s="21">
        <f>EXP(-LN(2)/2)*EX138+(1-EXP(-LN(2)/2))/(LN(2)/2)*ER139*EU139*VLOOKUP('Données projet'!$B$15,Paramètres!$A$1:$I$89,3,0)*0.475*44/12</f>
        <v>4.4914323490152121E-16</v>
      </c>
      <c r="EY139" s="22">
        <f t="shared" si="129"/>
        <v>0.7291820808700975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-1.2505552149377763E-12</v>
      </c>
      <c r="FF139" s="17">
        <f>FE139*VLOOKUP('Données projet'!$B$16,Paramètres!$A$1:$I$89,3,0)*VLOOKUP('Données projet'!$B$16,Paramètres!$A$1:$I$89,5,0)</f>
        <v>-6.9906036515021697E-13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549.85684198202534</v>
      </c>
      <c r="FK139" s="59">
        <f t="shared" si="156"/>
        <v>539.63748606275431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1.3994907784480135</v>
      </c>
      <c r="FR139" s="21">
        <f>EXP(-LN(2)/25)*FR138+(1-EXP(-LN(2)/25))/(LN(2)/25)*Calculateur!FM139*Calculateur!FO139*VLOOKUP('Données projet'!$B$16,Paramètres!$A$1:$I$89,3,0)*0.475*44/12</f>
        <v>2.0512093010259211</v>
      </c>
      <c r="FS139" s="21">
        <f>EXP(-LN(2)/2)*FS138+(1-EXP(-LN(2)/2))/(LN(2)/2)*FM139*FP139*VLOOKUP('Données projet'!$B$16,Paramètres!$A$1:$I$89,3,0)*0.475*44/12</f>
        <v>4.0491933533986053E-15</v>
      </c>
      <c r="FT139" s="22">
        <f t="shared" si="132"/>
        <v>3.4507000794739384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-5.6843418860808015E-13</v>
      </c>
      <c r="GA139" s="17">
        <f>FZ139*VLOOKUP('Données projet'!$B$17,Paramètres!$A$1:$I$89,3,0)*VLOOKUP('Données projet'!$B$17,Paramètres!$A$1:$I$89,5,0)</f>
        <v>-3.39923644787632E-13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495.6641415122013</v>
      </c>
      <c r="GF139" s="59">
        <f t="shared" si="158"/>
        <v>488.90534169400757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0.48996971017122748</v>
      </c>
      <c r="GM139" s="21">
        <f>EXP(-LN(2)/25)*GM138+(1-EXP(-LN(2)/25))/(LN(2)/25)*Calculateur!GH139*Calculateur!GJ139*VLOOKUP('Données projet'!$B$17,Paramètres!$A$1:$I$89,3,0)*0.475*44/12</f>
        <v>1.3762306472729215</v>
      </c>
      <c r="GN139" s="21">
        <f>EXP(-LN(2)/2)*GN138+(1-EXP(-LN(2)/2))/(LN(2)/2)*GH139*GK139*VLOOKUP('Données projet'!$B$17,Paramètres!$A$1:$I$89,3,0)*0.475*44/12</f>
        <v>3.8590612253986349E-15</v>
      </c>
      <c r="GO139" s="21">
        <f t="shared" si="135"/>
        <v>1.8662003574441528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-5.6843418860808015E-13</v>
      </c>
      <c r="GV139" s="17">
        <f>GU139*VLOOKUP('Données projet'!$B$18,Paramètres!$A$1:$I$89,3,0)*VLOOKUP('Données projet'!$B$18,Paramètres!$A$1:$I$89,5,0)</f>
        <v>-3.39923644787632E-13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-18.333333333333343</v>
      </c>
      <c r="HA139" s="59">
        <f t="shared" si="160"/>
        <v>-18.333333333333343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0.48996971017122748</v>
      </c>
      <c r="HH139" s="21">
        <f>EXP(-LN(2)/25)*HH138+(1-EXP(-LN(2)/25))/(LN(2)/25)*Calculateur!HC139*Calculateur!HE139*VLOOKUP('Données projet'!$B$18,Paramètres!$A$1:$I$89,3,0)*0.475*44/12</f>
        <v>1.3762306472729215</v>
      </c>
      <c r="HI139" s="21">
        <f>EXP(-LN(2)/2)*HI138+(1-EXP(-LN(2)/2))/(LN(2)/2)*HC139*HF139*VLOOKUP('Données projet'!$B$18,Paramètres!$A$1:$I$89,3,0)*0.475*44/12</f>
        <v>3.8590612253986349E-15</v>
      </c>
      <c r="HJ139" s="22">
        <f t="shared" si="138"/>
        <v>1.8662003574441528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376.11581547534814</v>
      </c>
      <c r="T140" s="59">
        <f t="shared" si="142"/>
        <v>300.91675649863294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0.37660655877038063</v>
      </c>
      <c r="AA140" s="21">
        <f>EXP(-LN(2)/25)*AA139+(1-EXP(-LN(2)/25))/(LN(2)/25)*Calculateur!V140*Calculateur!X140*VLOOKUP('Données projet'!$B$9,Paramètres!$A$1:$I$89,3,0)*0.475*44/12</f>
        <v>0.40435561740090259</v>
      </c>
      <c r="AB140" s="21">
        <f>EXP(-LN(2)/2)*AB139+(1-EXP(-LN(2)/2))/(LN(2)/2)*V140*Y140*VLOOKUP('Données projet'!$B$9,Paramètres!$A$1:$I$89,3,0)*0.475*44/12</f>
        <v>7.7187130720803599E-16</v>
      </c>
      <c r="AC140" s="22">
        <f t="shared" si="111"/>
        <v>0.78096217617128405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-5.6843418860808015E-13</v>
      </c>
      <c r="AJ140" s="13">
        <f>AI140*VLOOKUP('Données projet'!$B$10,Paramètres!$A$1:$I$89,3,0)*VLOOKUP('Données projet'!$B$10,Paramètres!$A$1:$I$89,5,0)</f>
        <v>-5.1431925385259092E-13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505.38595282220405</v>
      </c>
      <c r="AO140" s="59">
        <f t="shared" si="144"/>
        <v>351.72130415456365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0.28937731577268544</v>
      </c>
      <c r="AV140" s="21">
        <f>EXP(-LN(2)/25)*AV139+(1-EXP(-LN(2)/25))/(LN(2)/25)*Calculateur!AQ140*Calculateur!AS140*VLOOKUP('Données projet'!$B$10,Paramètres!$A$1:$I$89,3,0)*0.475*44/12</f>
        <v>0.58077674275757041</v>
      </c>
      <c r="AW140" s="21">
        <f>EXP(-LN(2)/2)*AW139+(1-EXP(-LN(2)/2))/(LN(2)/2)*AQ140*AT140*VLOOKUP('Données projet'!$B$10,Paramètres!$A$1:$I$89,3,0)*0.475*44/12</f>
        <v>1.6920365764248293E-15</v>
      </c>
      <c r="AX140" s="21">
        <f t="shared" si="114"/>
        <v>0.87015405853025751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-4.0702161641092972E-13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394.14657090341535</v>
      </c>
      <c r="BJ140" s="59">
        <f t="shared" si="146"/>
        <v>424.06445894109982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0.39203432464593507</v>
      </c>
      <c r="BQ140" s="21">
        <f>EXP(-LN(2)/25)*BQ139+(1-EXP(-LN(2)/25))/(LN(2)/25)*Calculateur!BL140*Calculateur!BN140*VLOOKUP('Données projet'!$B$11,Paramètres!$A$1:$I$89,3,0)*0.475*44/12</f>
        <v>1.0562350301276267</v>
      </c>
      <c r="BR140" s="21">
        <f>EXP(-LN(2)/2)*BR139+(1-EXP(-LN(2)/2))/(LN(2)/2)*BL140*BO140*VLOOKUP('Données projet'!$B$11,Paramètres!$A$1:$I$89,3,0)*0.475*44/12</f>
        <v>1.8871753197147586E-15</v>
      </c>
      <c r="BS140" s="22">
        <f t="shared" si="117"/>
        <v>1.4482693547735634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3.1036506698001181E-13</v>
      </c>
      <c r="CA140" s="13">
        <f t="shared" si="147"/>
        <v>4.086682523110923E-12</v>
      </c>
      <c r="CB140" s="20">
        <f t="shared" si="118"/>
        <v>7.6581912194083782E-12</v>
      </c>
      <c r="CC140" s="59">
        <f t="shared" si="119"/>
        <v>284.99670540893305</v>
      </c>
      <c r="CD140" s="59">
        <f ca="1">AVERAGE(OFFSET($CC$3,0,0,'Données projet'!$E$12+1,1))-AVERAGE(OFFSET($H$3,0,0,'Données projet'!$E$12+1,1))</f>
        <v>382.09004346384319</v>
      </c>
      <c r="CE140" s="59">
        <f t="shared" si="148"/>
        <v>410.18893995284986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1.0233792803187991</v>
      </c>
      <c r="CL140" s="21">
        <f>EXP(-LN(2)/25)*CL139+(1-EXP(-LN(2)/25))/(LN(2)/25)*Calculateur!CG140*Calculateur!CI140*VLOOKUP('Données projet'!$B$12,Paramètres!$A$1:$I$89,3,0)*0.475*44/12</f>
        <v>1.7520735431913355</v>
      </c>
      <c r="CM140" s="21">
        <f>EXP(-LN(2)/2)*CM139+(1-EXP(-LN(2)/2))/(LN(2)/2)*CG140*CJ140*VLOOKUP('Données projet'!$B$12,Paramètres!$A$1:$I$89,3,0)*0.475*44/12</f>
        <v>1.976936866715643E-15</v>
      </c>
      <c r="CN140" s="22">
        <f t="shared" si="120"/>
        <v>2.7754528235101361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363.02374534486341</v>
      </c>
      <c r="CZ140" s="59">
        <f t="shared" si="150"/>
        <v>489.00477393029598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0.87811047544814969</v>
      </c>
      <c r="DG140" s="21">
        <f>EXP(-LN(2)/25)*DG139+(1-EXP(-LN(2)/25))/(LN(2)/25)*Calculateur!DB140*Calculateur!DD140*VLOOKUP('Données projet'!$B$13,Paramètres!$A$1:$I$89,3,0)*0.475*44/12</f>
        <v>0.9966701383383757</v>
      </c>
      <c r="DH140" s="21">
        <f>EXP(-LN(2)/2)*DH139+(1-EXP(-LN(2)/2))/(LN(2)/2)*DB140*DE140*VLOOKUP('Données projet'!$B$13,Paramètres!$A$1:$I$89,3,0)*0.475*44/12</f>
        <v>2.3013582492679595E-15</v>
      </c>
      <c r="DI140" s="22">
        <f t="shared" si="123"/>
        <v>1.8747806137865277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-3.7509835237869992E-13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368.03281986807173</v>
      </c>
      <c r="DU140" s="59">
        <f t="shared" si="152"/>
        <v>395.83504504492248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0.29311926382147069</v>
      </c>
      <c r="EB140" s="21">
        <f>EXP(-LN(2)/25)*EB139+(1-EXP(-LN(2)/25))/(LN(2)/25)*Calculateur!DW140*Calculateur!DY140*VLOOKUP('Données projet'!$B$14,Paramètres!$A$1:$I$89,3,0)*0.475*44/12</f>
        <v>0.78973399773878561</v>
      </c>
      <c r="EC140" s="21">
        <f>EXP(-LN(2)/2)*EC139+(1-EXP(-LN(2)/2))/(LN(2)/2)*DW140*DZ140*VLOOKUP('Données projet'!$B$14,Paramètres!$A$1:$I$89,3,0)*0.475*44/12</f>
        <v>1.73916156914891E-15</v>
      </c>
      <c r="ED140" s="22">
        <f t="shared" si="126"/>
        <v>1.082853261560258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225.2264820414552</v>
      </c>
      <c r="EP140" s="59">
        <f t="shared" si="154"/>
        <v>249.91838548328681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0.26579821483718363</v>
      </c>
      <c r="EW140" s="21">
        <f>EXP(-LN(2)/25)*EW139+(1-EXP(-LN(2)/25))/(LN(2)/25)*Calculateur!ER140*Calculateur!ET140*VLOOKUP('Données projet'!$B$15,Paramètres!$A$1:$I$89,3,0)*0.475*44/12</f>
        <v>0.44554159479087024</v>
      </c>
      <c r="EX140" s="21">
        <f>EXP(-LN(2)/2)*EX139+(1-EXP(-LN(2)/2))/(LN(2)/2)*ER140*EU140*VLOOKUP('Données projet'!$B$15,Paramètres!$A$1:$I$89,3,0)*0.475*44/12</f>
        <v>3.1759222712292808E-16</v>
      </c>
      <c r="EY140" s="22">
        <f t="shared" si="129"/>
        <v>0.71133980962805421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-1.2505552149377763E-12</v>
      </c>
      <c r="FF140" s="17">
        <f>FE140*VLOOKUP('Données projet'!$B$16,Paramètres!$A$1:$I$89,3,0)*VLOOKUP('Données projet'!$B$16,Paramètres!$A$1:$I$89,5,0)</f>
        <v>-6.9906036515021697E-13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549.85684198202534</v>
      </c>
      <c r="FK140" s="59">
        <f t="shared" si="156"/>
        <v>539.63748606275431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1.3720476178877363</v>
      </c>
      <c r="FR140" s="21">
        <f>EXP(-LN(2)/25)*FR139+(1-EXP(-LN(2)/25))/(LN(2)/25)*Calculateur!FM140*Calculateur!FO140*VLOOKUP('Données projet'!$B$16,Paramètres!$A$1:$I$89,3,0)*0.475*44/12</f>
        <v>1.9951188748209583</v>
      </c>
      <c r="FS140" s="21">
        <f>EXP(-LN(2)/2)*FS139+(1-EXP(-LN(2)/2))/(LN(2)/2)*FM140*FP140*VLOOKUP('Données projet'!$B$16,Paramètres!$A$1:$I$89,3,0)*0.475*44/12</f>
        <v>2.8632120785236502E-15</v>
      </c>
      <c r="FT140" s="22">
        <f t="shared" si="132"/>
        <v>3.3671664927086971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-5.6843418860808015E-13</v>
      </c>
      <c r="GA140" s="17">
        <f>FZ140*VLOOKUP('Données projet'!$B$17,Paramètres!$A$1:$I$89,3,0)*VLOOKUP('Données projet'!$B$17,Paramètres!$A$1:$I$89,5,0)</f>
        <v>-3.39923644787632E-13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495.6641415122013</v>
      </c>
      <c r="GF140" s="59">
        <f t="shared" si="158"/>
        <v>488.90534169400757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0.48036170300678371</v>
      </c>
      <c r="GM140" s="21">
        <f>EXP(-LN(2)/25)*GM139+(1-EXP(-LN(2)/25))/(LN(2)/25)*Calculateur!GH140*Calculateur!GJ140*VLOOKUP('Données projet'!$B$17,Paramètres!$A$1:$I$89,3,0)*0.475*44/12</f>
        <v>1.3385975478504193</v>
      </c>
      <c r="GN140" s="21">
        <f>EXP(-LN(2)/2)*GN139+(1-EXP(-LN(2)/2))/(LN(2)/2)*GH140*GK140*VLOOKUP('Données projet'!$B$17,Paramètres!$A$1:$I$89,3,0)*0.475*44/12</f>
        <v>2.7287683614934425E-15</v>
      </c>
      <c r="GO140" s="21">
        <f t="shared" si="135"/>
        <v>1.8189592508572057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-5.6843418860808015E-13</v>
      </c>
      <c r="GV140" s="17">
        <f>GU140*VLOOKUP('Données projet'!$B$18,Paramètres!$A$1:$I$89,3,0)*VLOOKUP('Données projet'!$B$18,Paramètres!$A$1:$I$89,5,0)</f>
        <v>-3.39923644787632E-13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-18.333333333333343</v>
      </c>
      <c r="HA140" s="59">
        <f t="shared" si="160"/>
        <v>-18.333333333333343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0.48036170300678371</v>
      </c>
      <c r="HH140" s="21">
        <f>EXP(-LN(2)/25)*HH139+(1-EXP(-LN(2)/25))/(LN(2)/25)*Calculateur!HC140*Calculateur!HE140*VLOOKUP('Données projet'!$B$18,Paramètres!$A$1:$I$89,3,0)*0.475*44/12</f>
        <v>1.3385975478504193</v>
      </c>
      <c r="HI140" s="21">
        <f>EXP(-LN(2)/2)*HI139+(1-EXP(-LN(2)/2))/(LN(2)/2)*HC140*HF140*VLOOKUP('Données projet'!$B$18,Paramètres!$A$1:$I$89,3,0)*0.475*44/12</f>
        <v>2.7287683614934425E-15</v>
      </c>
      <c r="HJ140" s="22">
        <f t="shared" si="138"/>
        <v>1.8189592508572057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376.11581547534814</v>
      </c>
      <c r="T141" s="59">
        <f t="shared" si="142"/>
        <v>300.91675649863294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0.36922153386021261</v>
      </c>
      <c r="AA141" s="21">
        <f>EXP(-LN(2)/25)*AA140+(1-EXP(-LN(2)/25))/(LN(2)/25)*Calculateur!V141*Calculateur!X141*VLOOKUP('Données projet'!$B$9,Paramètres!$A$1:$I$89,3,0)*0.475*44/12</f>
        <v>0.39329849177893716</v>
      </c>
      <c r="AB141" s="21">
        <f>EXP(-LN(2)/2)*AB140+(1-EXP(-LN(2)/2))/(LN(2)/2)*V141*Y141*VLOOKUP('Données projet'!$B$9,Paramètres!$A$1:$I$89,3,0)*0.475*44/12</f>
        <v>5.457954355301271E-16</v>
      </c>
      <c r="AC141" s="22">
        <f t="shared" si="111"/>
        <v>0.76252002563915033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-5.6843418860808015E-13</v>
      </c>
      <c r="AJ141" s="13">
        <f>AI141*VLOOKUP('Données projet'!$B$10,Paramètres!$A$1:$I$89,3,0)*VLOOKUP('Données projet'!$B$10,Paramètres!$A$1:$I$89,5,0)</f>
        <v>-5.1431925385259092E-13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505.38595282220405</v>
      </c>
      <c r="AO141" s="59">
        <f t="shared" si="144"/>
        <v>351.72130415456365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0.28370280311311752</v>
      </c>
      <c r="AV141" s="21">
        <f>EXP(-LN(2)/25)*AV140+(1-EXP(-LN(2)/25))/(LN(2)/25)*Calculateur!AQ141*Calculateur!AS141*VLOOKUP('Données projet'!$B$10,Paramètres!$A$1:$I$89,3,0)*0.475*44/12</f>
        <v>0.56489537218514307</v>
      </c>
      <c r="AW141" s="21">
        <f>EXP(-LN(2)/2)*AW140+(1-EXP(-LN(2)/2))/(LN(2)/2)*AQ141*AT141*VLOOKUP('Données projet'!$B$10,Paramètres!$A$1:$I$89,3,0)*0.475*44/12</f>
        <v>1.1964505372056668E-15</v>
      </c>
      <c r="AX141" s="21">
        <f t="shared" si="114"/>
        <v>0.84859817529826176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-4.0702161641092972E-13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394.14657090341535</v>
      </c>
      <c r="BJ141" s="59">
        <f t="shared" si="146"/>
        <v>424.06445894109982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0.38434677065695544</v>
      </c>
      <c r="BQ141" s="21">
        <f>EXP(-LN(2)/25)*BQ140+(1-EXP(-LN(2)/25))/(LN(2)/25)*Calculateur!BL141*Calculateur!BN141*VLOOKUP('Données projet'!$B$11,Paramètres!$A$1:$I$89,3,0)*0.475*44/12</f>
        <v>1.0273522276838005</v>
      </c>
      <c r="BR141" s="21">
        <f>EXP(-LN(2)/2)*BR140+(1-EXP(-LN(2)/2))/(LN(2)/2)*BL141*BO141*VLOOKUP('Données projet'!$B$11,Paramètres!$A$1:$I$89,3,0)*0.475*44/12</f>
        <v>1.3344344658581967E-15</v>
      </c>
      <c r="BS141" s="22">
        <f t="shared" si="117"/>
        <v>1.4116989983407573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3.1036506698001181E-13</v>
      </c>
      <c r="CA141" s="13">
        <f t="shared" si="147"/>
        <v>4.086682523110923E-12</v>
      </c>
      <c r="CB141" s="20">
        <f t="shared" si="118"/>
        <v>7.6581912194083782E-12</v>
      </c>
      <c r="CC141" s="59">
        <f t="shared" si="119"/>
        <v>285.14132726551361</v>
      </c>
      <c r="CD141" s="59">
        <f ca="1">AVERAGE(OFFSET($CC$3,0,0,'Données projet'!$E$12+1,1))-AVERAGE(OFFSET($H$3,0,0,'Données projet'!$E$12+1,1))</f>
        <v>382.09004346384319</v>
      </c>
      <c r="CE141" s="59">
        <f t="shared" si="148"/>
        <v>410.18893995284986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1.0033114368314739</v>
      </c>
      <c r="CL141" s="21">
        <f>EXP(-LN(2)/25)*CL140+(1-EXP(-LN(2)/25))/(LN(2)/25)*Calculateur!CG141*Calculateur!CI141*VLOOKUP('Données projet'!$B$12,Paramètres!$A$1:$I$89,3,0)*0.475*44/12</f>
        <v>1.7041630000152252</v>
      </c>
      <c r="CM141" s="21">
        <f>EXP(-LN(2)/2)*CM140+(1-EXP(-LN(2)/2))/(LN(2)/2)*CG141*CJ141*VLOOKUP('Données projet'!$B$12,Paramètres!$A$1:$I$89,3,0)*0.475*44/12</f>
        <v>1.3979054644323171E-15</v>
      </c>
      <c r="CN141" s="22">
        <f t="shared" si="120"/>
        <v>2.7074744368467005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363.02374534486341</v>
      </c>
      <c r="CZ141" s="59">
        <f t="shared" si="150"/>
        <v>489.00477393029598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0.86089126461911591</v>
      </c>
      <c r="DG141" s="21">
        <f>EXP(-LN(2)/25)*DG140+(1-EXP(-LN(2)/25))/(LN(2)/25)*Calculateur!DB141*Calculateur!DD141*VLOOKUP('Données projet'!$B$13,Paramètres!$A$1:$I$89,3,0)*0.475*44/12</f>
        <v>0.96941614099290818</v>
      </c>
      <c r="DH141" s="21">
        <f>EXP(-LN(2)/2)*DH140+(1-EXP(-LN(2)/2))/(LN(2)/2)*DB141*DE141*VLOOKUP('Données projet'!$B$13,Paramètres!$A$1:$I$89,3,0)*0.475*44/12</f>
        <v>1.6273060239969751E-15</v>
      </c>
      <c r="DI141" s="22">
        <f t="shared" si="123"/>
        <v>1.8303074056120257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-3.7509835237869992E-13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368.03281986807173</v>
      </c>
      <c r="DU141" s="59">
        <f t="shared" si="152"/>
        <v>395.83504504492248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0.28737137384302902</v>
      </c>
      <c r="EB141" s="21">
        <f>EXP(-LN(2)/25)*EB140+(1-EXP(-LN(2)/25))/(LN(2)/25)*Calculateur!DW141*Calculateur!DY141*VLOOKUP('Données projet'!$B$14,Paramètres!$A$1:$I$89,3,0)*0.475*44/12</f>
        <v>0.76813868004031249</v>
      </c>
      <c r="EC141" s="21">
        <f>EXP(-LN(2)/2)*EC140+(1-EXP(-LN(2)/2))/(LN(2)/2)*DW141*DZ141*VLOOKUP('Données projet'!$B$14,Paramètres!$A$1:$I$89,3,0)*0.475*44/12</f>
        <v>1.229772939124231E-15</v>
      </c>
      <c r="ED141" s="22">
        <f t="shared" si="126"/>
        <v>1.0555100538833428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225.2264820414552</v>
      </c>
      <c r="EP141" s="59">
        <f t="shared" si="154"/>
        <v>249.91838548328681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0.26058607396512939</v>
      </c>
      <c r="EW141" s="21">
        <f>EXP(-LN(2)/25)*EW140+(1-EXP(-LN(2)/25))/(LN(2)/25)*Calculateur!ER141*Calculateur!ET141*VLOOKUP('Données projet'!$B$15,Paramètres!$A$1:$I$89,3,0)*0.475*44/12</f>
        <v>0.43335823645129973</v>
      </c>
      <c r="EX141" s="21">
        <f>EXP(-LN(2)/2)*EX140+(1-EXP(-LN(2)/2))/(LN(2)/2)*ER141*EU141*VLOOKUP('Données projet'!$B$15,Paramètres!$A$1:$I$89,3,0)*0.475*44/12</f>
        <v>2.2457161745076061E-16</v>
      </c>
      <c r="EY141" s="22">
        <f t="shared" si="129"/>
        <v>0.69394431041642934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-1.2505552149377763E-12</v>
      </c>
      <c r="FF141" s="17">
        <f>FE141*VLOOKUP('Données projet'!$B$16,Paramètres!$A$1:$I$89,3,0)*VLOOKUP('Données projet'!$B$16,Paramètres!$A$1:$I$89,5,0)</f>
        <v>-6.9906036515021697E-13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549.85684198202534</v>
      </c>
      <c r="FK141" s="59">
        <f t="shared" si="156"/>
        <v>539.63748606275431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1.345142600967371</v>
      </c>
      <c r="FR141" s="21">
        <f>EXP(-LN(2)/25)*FR140+(1-EXP(-LN(2)/25))/(LN(2)/25)*Calculateur!FM141*Calculateur!FO141*VLOOKUP('Données projet'!$B$16,Paramètres!$A$1:$I$89,3,0)*0.475*44/12</f>
        <v>1.9405622442702375</v>
      </c>
      <c r="FS141" s="21">
        <f>EXP(-LN(2)/2)*FS140+(1-EXP(-LN(2)/2))/(LN(2)/2)*FM141*FP141*VLOOKUP('Données projet'!$B$16,Paramètres!$A$1:$I$89,3,0)*0.475*44/12</f>
        <v>2.0245966766993026E-15</v>
      </c>
      <c r="FT141" s="22">
        <f t="shared" si="132"/>
        <v>3.285704845237611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-5.6843418860808015E-13</v>
      </c>
      <c r="GA141" s="17">
        <f>FZ141*VLOOKUP('Données projet'!$B$17,Paramètres!$A$1:$I$89,3,0)*VLOOKUP('Données projet'!$B$17,Paramètres!$A$1:$I$89,5,0)</f>
        <v>-3.39923644787632E-13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495.6641415122013</v>
      </c>
      <c r="GF141" s="59">
        <f t="shared" si="158"/>
        <v>488.90534169400757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0.47094210300252898</v>
      </c>
      <c r="GM141" s="21">
        <f>EXP(-LN(2)/25)*GM140+(1-EXP(-LN(2)/25))/(LN(2)/25)*Calculateur!GH141*Calculateur!GJ141*VLOOKUP('Données projet'!$B$17,Paramètres!$A$1:$I$89,3,0)*0.475*44/12</f>
        <v>1.301993527510664</v>
      </c>
      <c r="GN141" s="21">
        <f>EXP(-LN(2)/2)*GN140+(1-EXP(-LN(2)/2))/(LN(2)/2)*GH141*GK141*VLOOKUP('Données projet'!$B$17,Paramètres!$A$1:$I$89,3,0)*0.475*44/12</f>
        <v>1.9295306126993174E-15</v>
      </c>
      <c r="GO141" s="21">
        <f t="shared" si="135"/>
        <v>1.7729356305131949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-5.6843418860808015E-13</v>
      </c>
      <c r="GV141" s="17">
        <f>GU141*VLOOKUP('Données projet'!$B$18,Paramètres!$A$1:$I$89,3,0)*VLOOKUP('Données projet'!$B$18,Paramètres!$A$1:$I$89,5,0)</f>
        <v>-3.39923644787632E-13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-18.333333333333343</v>
      </c>
      <c r="HA141" s="59">
        <f t="shared" si="160"/>
        <v>-18.333333333333343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0.47094210300252898</v>
      </c>
      <c r="HH141" s="21">
        <f>EXP(-LN(2)/25)*HH140+(1-EXP(-LN(2)/25))/(LN(2)/25)*Calculateur!HC141*Calculateur!HE141*VLOOKUP('Données projet'!$B$18,Paramètres!$A$1:$I$89,3,0)*0.475*44/12</f>
        <v>1.301993527510664</v>
      </c>
      <c r="HI141" s="21">
        <f>EXP(-LN(2)/2)*HI140+(1-EXP(-LN(2)/2))/(LN(2)/2)*HC141*HF141*VLOOKUP('Données projet'!$B$18,Paramètres!$A$1:$I$89,3,0)*0.475*44/12</f>
        <v>1.9295306126993174E-15</v>
      </c>
      <c r="HJ141" s="22">
        <f t="shared" si="138"/>
        <v>1.7729356305131949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376.11581547534814</v>
      </c>
      <c r="T142" s="59">
        <f t="shared" si="142"/>
        <v>300.91675649863294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0.36198132478411255</v>
      </c>
      <c r="AA142" s="21">
        <f>EXP(-LN(2)/25)*AA141+(1-EXP(-LN(2)/25))/(LN(2)/25)*Calculateur!V142*Calculateur!X142*VLOOKUP('Données projet'!$B$9,Paramètres!$A$1:$I$89,3,0)*0.475*44/12</f>
        <v>0.38254372383857332</v>
      </c>
      <c r="AB142" s="21">
        <f>EXP(-LN(2)/2)*AB141+(1-EXP(-LN(2)/2))/(LN(2)/2)*V142*Y142*VLOOKUP('Données projet'!$B$9,Paramètres!$A$1:$I$89,3,0)*0.475*44/12</f>
        <v>3.85935653604018E-16</v>
      </c>
      <c r="AC142" s="22">
        <f t="shared" si="111"/>
        <v>0.7445250486226862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-5.6843418860808015E-13</v>
      </c>
      <c r="AJ142" s="13">
        <f>AI142*VLOOKUP('Données projet'!$B$10,Paramètres!$A$1:$I$89,3,0)*VLOOKUP('Données projet'!$B$10,Paramètres!$A$1:$I$89,5,0)</f>
        <v>-5.1431925385259092E-13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505.38595282220405</v>
      </c>
      <c r="AO142" s="59">
        <f t="shared" si="144"/>
        <v>351.72130415456365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0.27813956418569274</v>
      </c>
      <c r="AV142" s="21">
        <f>EXP(-LN(2)/25)*AV141+(1-EXP(-LN(2)/25))/(LN(2)/25)*Calculateur!AQ142*Calculateur!AS142*VLOOKUP('Données projet'!$B$10,Paramètres!$A$1:$I$89,3,0)*0.475*44/12</f>
        <v>0.54944827852618383</v>
      </c>
      <c r="AW142" s="21">
        <f>EXP(-LN(2)/2)*AW141+(1-EXP(-LN(2)/2))/(LN(2)/2)*AQ142*AT142*VLOOKUP('Données projet'!$B$10,Paramètres!$A$1:$I$89,3,0)*0.475*44/12</f>
        <v>8.4601828821241466E-16</v>
      </c>
      <c r="AX142" s="21">
        <f t="shared" si="114"/>
        <v>0.82758784271187746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-4.0702161641092972E-13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394.14657090341535</v>
      </c>
      <c r="BJ142" s="59">
        <f t="shared" si="146"/>
        <v>424.06445894109982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0.37680996491275476</v>
      </c>
      <c r="BQ142" s="21">
        <f>EXP(-LN(2)/25)*BQ141+(1-EXP(-LN(2)/25))/(LN(2)/25)*Calculateur!BL142*Calculateur!BN142*VLOOKUP('Données projet'!$B$11,Paramètres!$A$1:$I$89,3,0)*0.475*44/12</f>
        <v>0.99925922699168135</v>
      </c>
      <c r="BR142" s="21">
        <f>EXP(-LN(2)/2)*BR141+(1-EXP(-LN(2)/2))/(LN(2)/2)*BL142*BO142*VLOOKUP('Données projet'!$B$11,Paramètres!$A$1:$I$89,3,0)*0.475*44/12</f>
        <v>9.4358765985737932E-16</v>
      </c>
      <c r="BS142" s="22">
        <f t="shared" si="117"/>
        <v>1.376069191904437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3.1036506698001181E-13</v>
      </c>
      <c r="CA142" s="13">
        <f t="shared" si="147"/>
        <v>4.086682523110923E-12</v>
      </c>
      <c r="CB142" s="20">
        <f t="shared" si="118"/>
        <v>7.6581912194083782E-12</v>
      </c>
      <c r="CC142" s="59">
        <f t="shared" si="119"/>
        <v>285.28344025620856</v>
      </c>
      <c r="CD142" s="59">
        <f ca="1">AVERAGE(OFFSET($CC$3,0,0,'Données projet'!$E$12+1,1))-AVERAGE(OFFSET($H$3,0,0,'Données projet'!$E$12+1,1))</f>
        <v>382.09004346384319</v>
      </c>
      <c r="CE142" s="59">
        <f t="shared" si="148"/>
        <v>410.18893995284986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0.98363711151475919</v>
      </c>
      <c r="CL142" s="21">
        <f>EXP(-LN(2)/25)*CL141+(1-EXP(-LN(2)/25))/(LN(2)/25)*Calculateur!CG142*Calculateur!CI142*VLOOKUP('Données projet'!$B$12,Paramètres!$A$1:$I$89,3,0)*0.475*44/12</f>
        <v>1.6575625731617716</v>
      </c>
      <c r="CM142" s="21">
        <f>EXP(-LN(2)/2)*CM141+(1-EXP(-LN(2)/2))/(LN(2)/2)*CG142*CJ142*VLOOKUP('Données projet'!$B$12,Paramètres!$A$1:$I$89,3,0)*0.475*44/12</f>
        <v>9.884684333578215E-16</v>
      </c>
      <c r="CN142" s="22">
        <f t="shared" si="120"/>
        <v>2.6411996846765318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363.02374534486341</v>
      </c>
      <c r="CZ142" s="59">
        <f t="shared" si="150"/>
        <v>489.00477393029598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0.84400971201175801</v>
      </c>
      <c r="DG142" s="21">
        <f>EXP(-LN(2)/25)*DG141+(1-EXP(-LN(2)/25))/(LN(2)/25)*Calculateur!DB142*Calculateur!DD142*VLOOKUP('Données projet'!$B$13,Paramètres!$A$1:$I$89,3,0)*0.475*44/12</f>
        <v>0.94290740563807784</v>
      </c>
      <c r="DH142" s="21">
        <f>EXP(-LN(2)/2)*DH141+(1-EXP(-LN(2)/2))/(LN(2)/2)*DB142*DE142*VLOOKUP('Données projet'!$B$13,Paramètres!$A$1:$I$89,3,0)*0.475*44/12</f>
        <v>1.1506791246339797E-15</v>
      </c>
      <c r="DI142" s="22">
        <f t="shared" si="123"/>
        <v>1.7869171176498371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-3.7509835237869992E-13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368.03281986807173</v>
      </c>
      <c r="DU142" s="59">
        <f t="shared" si="152"/>
        <v>395.83504504492248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0.28173619648119785</v>
      </c>
      <c r="EB142" s="21">
        <f>EXP(-LN(2)/25)*EB141+(1-EXP(-LN(2)/25))/(LN(2)/25)*Calculateur!DW142*Calculateur!DY142*VLOOKUP('Données projet'!$B$14,Paramètres!$A$1:$I$89,3,0)*0.475*44/12</f>
        <v>0.74713388743995257</v>
      </c>
      <c r="EC142" s="21">
        <f>EXP(-LN(2)/2)*EC141+(1-EXP(-LN(2)/2))/(LN(2)/2)*DW142*DZ142*VLOOKUP('Données projet'!$B$14,Paramètres!$A$1:$I$89,3,0)*0.475*44/12</f>
        <v>8.6958078457445508E-16</v>
      </c>
      <c r="ED142" s="22">
        <f t="shared" si="126"/>
        <v>1.0288700839211513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225.2264820414552</v>
      </c>
      <c r="EP142" s="59">
        <f t="shared" si="154"/>
        <v>249.91838548328681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0.25547613999648411</v>
      </c>
      <c r="EW142" s="21">
        <f>EXP(-LN(2)/25)*EW141+(1-EXP(-LN(2)/25))/(LN(2)/25)*Calculateur!ER142*Calculateur!ET142*VLOOKUP('Données projet'!$B$15,Paramètres!$A$1:$I$89,3,0)*0.475*44/12</f>
        <v>0.42150803268621972</v>
      </c>
      <c r="EX142" s="21">
        <f>EXP(-LN(2)/2)*EX141+(1-EXP(-LN(2)/2))/(LN(2)/2)*ER142*EU142*VLOOKUP('Données projet'!$B$15,Paramètres!$A$1:$I$89,3,0)*0.475*44/12</f>
        <v>1.5879611356146404E-16</v>
      </c>
      <c r="EY142" s="22">
        <f t="shared" si="129"/>
        <v>0.67698417268270394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-1.2505552149377763E-12</v>
      </c>
      <c r="FF142" s="17">
        <f>FE142*VLOOKUP('Données projet'!$B$16,Paramètres!$A$1:$I$89,3,0)*VLOOKUP('Données projet'!$B$16,Paramètres!$A$1:$I$89,5,0)</f>
        <v>-6.9906036515021697E-13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549.85684198202534</v>
      </c>
      <c r="FK142" s="59">
        <f t="shared" si="156"/>
        <v>539.63748606275431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1.3187651750183742</v>
      </c>
      <c r="FR142" s="21">
        <f>EXP(-LN(2)/25)*FR141+(1-EXP(-LN(2)/25))/(LN(2)/25)*Calculateur!FM142*Calculateur!FO142*VLOOKUP('Données projet'!$B$16,Paramètres!$A$1:$I$89,3,0)*0.475*44/12</f>
        <v>1.8874974676509346</v>
      </c>
      <c r="FS142" s="21">
        <f>EXP(-LN(2)/2)*FS141+(1-EXP(-LN(2)/2))/(LN(2)/2)*FM142*FP142*VLOOKUP('Données projet'!$B$16,Paramètres!$A$1:$I$89,3,0)*0.475*44/12</f>
        <v>1.4316060392618251E-15</v>
      </c>
      <c r="FT142" s="22">
        <f t="shared" si="132"/>
        <v>3.2062626426693099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-5.6843418860808015E-13</v>
      </c>
      <c r="GA142" s="17">
        <f>FZ142*VLOOKUP('Données projet'!$B$17,Paramètres!$A$1:$I$89,3,0)*VLOOKUP('Données projet'!$B$17,Paramètres!$A$1:$I$89,5,0)</f>
        <v>-3.39923644787632E-13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495.6641415122013</v>
      </c>
      <c r="GF142" s="59">
        <f t="shared" si="158"/>
        <v>488.90534169400757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0.46170721560896899</v>
      </c>
      <c r="GM142" s="21">
        <f>EXP(-LN(2)/25)*GM141+(1-EXP(-LN(2)/25))/(LN(2)/25)*Calculateur!GH142*Calculateur!GJ142*VLOOKUP('Données projet'!$B$17,Paramètres!$A$1:$I$89,3,0)*0.475*44/12</f>
        <v>1.266390446032021</v>
      </c>
      <c r="GN142" s="21">
        <f>EXP(-LN(2)/2)*GN141+(1-EXP(-LN(2)/2))/(LN(2)/2)*GH142*GK142*VLOOKUP('Données projet'!$B$17,Paramètres!$A$1:$I$89,3,0)*0.475*44/12</f>
        <v>1.3643841807467213E-15</v>
      </c>
      <c r="GO142" s="21">
        <f t="shared" si="135"/>
        <v>1.7280976616409913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-5.6843418860808015E-13</v>
      </c>
      <c r="GV142" s="17">
        <f>GU142*VLOOKUP('Données projet'!$B$18,Paramètres!$A$1:$I$89,3,0)*VLOOKUP('Données projet'!$B$18,Paramètres!$A$1:$I$89,5,0)</f>
        <v>-3.39923644787632E-13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-18.333333333333343</v>
      </c>
      <c r="HA142" s="59">
        <f t="shared" si="160"/>
        <v>-18.333333333333343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0.46170721560896899</v>
      </c>
      <c r="HH142" s="21">
        <f>EXP(-LN(2)/25)*HH141+(1-EXP(-LN(2)/25))/(LN(2)/25)*Calculateur!HC142*Calculateur!HE142*VLOOKUP('Données projet'!$B$18,Paramètres!$A$1:$I$89,3,0)*0.475*44/12</f>
        <v>1.266390446032021</v>
      </c>
      <c r="HI142" s="21">
        <f>EXP(-LN(2)/2)*HI141+(1-EXP(-LN(2)/2))/(LN(2)/2)*HC142*HF142*VLOOKUP('Données projet'!$B$18,Paramètres!$A$1:$I$89,3,0)*0.475*44/12</f>
        <v>1.3643841807467213E-15</v>
      </c>
      <c r="HJ142" s="22">
        <f t="shared" si="138"/>
        <v>1.7280976616409913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376.11581547534814</v>
      </c>
      <c r="T143" s="59">
        <f t="shared" si="142"/>
        <v>300.91675649863294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0.3548830917919033</v>
      </c>
      <c r="AA143" s="21">
        <f>EXP(-LN(2)/25)*AA142+(1-EXP(-LN(2)/25))/(LN(2)/25)*Calculateur!V143*Calculateur!X143*VLOOKUP('Données projet'!$B$9,Paramètres!$A$1:$I$89,3,0)*0.475*44/12</f>
        <v>0.3720830455931074</v>
      </c>
      <c r="AB143" s="21">
        <f>EXP(-LN(2)/2)*AB142+(1-EXP(-LN(2)/2))/(LN(2)/2)*V143*Y143*VLOOKUP('Données projet'!$B$9,Paramètres!$A$1:$I$89,3,0)*0.475*44/12</f>
        <v>2.7289771776506355E-16</v>
      </c>
      <c r="AC143" s="22">
        <f t="shared" si="111"/>
        <v>0.72696613738501092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-5.6843418860808015E-13</v>
      </c>
      <c r="AJ143" s="13">
        <f>AI143*VLOOKUP('Données projet'!$B$10,Paramètres!$A$1:$I$89,3,0)*VLOOKUP('Données projet'!$B$10,Paramètres!$A$1:$I$89,5,0)</f>
        <v>-5.1431925385259092E-13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505.38595282220405</v>
      </c>
      <c r="AO143" s="59">
        <f t="shared" si="144"/>
        <v>351.72130415456365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0.27268541698039406</v>
      </c>
      <c r="AV143" s="21">
        <f>EXP(-LN(2)/25)*AV142+(1-EXP(-LN(2)/25))/(LN(2)/25)*Calculateur!AQ143*Calculateur!AS143*VLOOKUP('Données projet'!$B$10,Paramètres!$A$1:$I$89,3,0)*0.475*44/12</f>
        <v>0.53442358645565613</v>
      </c>
      <c r="AW143" s="21">
        <f>EXP(-LN(2)/2)*AW142+(1-EXP(-LN(2)/2))/(LN(2)/2)*AQ143*AT143*VLOOKUP('Données projet'!$B$10,Paramètres!$A$1:$I$89,3,0)*0.475*44/12</f>
        <v>5.9822526860283339E-16</v>
      </c>
      <c r="AX143" s="21">
        <f t="shared" si="114"/>
        <v>0.80710900343605074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-4.0702161641092972E-13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394.14657090341535</v>
      </c>
      <c r="BJ143" s="59">
        <f t="shared" si="146"/>
        <v>424.06445894109982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0.36942095133220026</v>
      </c>
      <c r="BQ143" s="21">
        <f>EXP(-LN(2)/25)*BQ142+(1-EXP(-LN(2)/25))/(LN(2)/25)*Calculateur!BL143*Calculateur!BN143*VLOOKUP('Données projet'!$B$11,Paramètres!$A$1:$I$89,3,0)*0.475*44/12</f>
        <v>0.97193443088083487</v>
      </c>
      <c r="BR143" s="21">
        <f>EXP(-LN(2)/2)*BR142+(1-EXP(-LN(2)/2))/(LN(2)/2)*BL143*BO143*VLOOKUP('Données projet'!$B$11,Paramètres!$A$1:$I$89,3,0)*0.475*44/12</f>
        <v>6.6721723292909835E-16</v>
      </c>
      <c r="BS143" s="22">
        <f t="shared" si="117"/>
        <v>1.3413553822130357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3.1036506698001181E-13</v>
      </c>
      <c r="CA143" s="13">
        <f t="shared" si="147"/>
        <v>4.086682523110923E-12</v>
      </c>
      <c r="CB143" s="20">
        <f t="shared" si="118"/>
        <v>7.6581912194083782E-12</v>
      </c>
      <c r="CC143" s="59">
        <f t="shared" si="119"/>
        <v>285.42308790423203</v>
      </c>
      <c r="CD143" s="59">
        <f ca="1">AVERAGE(OFFSET($CC$3,0,0,'Données projet'!$E$12+1,1))-AVERAGE(OFFSET($H$3,0,0,'Données projet'!$E$12+1,1))</f>
        <v>382.09004346384319</v>
      </c>
      <c r="CE143" s="59">
        <f t="shared" si="148"/>
        <v>410.18893995284986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0.96434858771735177</v>
      </c>
      <c r="CL143" s="21">
        <f>EXP(-LN(2)/25)*CL142+(1-EXP(-LN(2)/25))/(LN(2)/25)*Calculateur!CG143*Calculateur!CI143*VLOOKUP('Données projet'!$B$12,Paramètres!$A$1:$I$89,3,0)*0.475*44/12</f>
        <v>1.6122364374312357</v>
      </c>
      <c r="CM143" s="21">
        <f>EXP(-LN(2)/2)*CM142+(1-EXP(-LN(2)/2))/(LN(2)/2)*CG143*CJ143*VLOOKUP('Données projet'!$B$12,Paramètres!$A$1:$I$89,3,0)*0.475*44/12</f>
        <v>6.9895273221615853E-16</v>
      </c>
      <c r="CN143" s="22">
        <f t="shared" si="120"/>
        <v>2.5765850251485882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363.02374534486341</v>
      </c>
      <c r="CZ143" s="59">
        <f t="shared" si="150"/>
        <v>489.00477393029598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0.82745919635429999</v>
      </c>
      <c r="DG143" s="21">
        <f>EXP(-LN(2)/25)*DG142+(1-EXP(-LN(2)/25))/(LN(2)/25)*Calculateur!DB143*Calculateur!DD143*VLOOKUP('Données projet'!$B$13,Paramètres!$A$1:$I$89,3,0)*0.475*44/12</f>
        <v>0.91712355304555915</v>
      </c>
      <c r="DH143" s="21">
        <f>EXP(-LN(2)/2)*DH142+(1-EXP(-LN(2)/2))/(LN(2)/2)*DB143*DE143*VLOOKUP('Données projet'!$B$13,Paramètres!$A$1:$I$89,3,0)*0.475*44/12</f>
        <v>8.1365301199848756E-16</v>
      </c>
      <c r="DI143" s="22">
        <f t="shared" si="123"/>
        <v>1.74458274939986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-3.7509835237869992E-13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368.03281986807173</v>
      </c>
      <c r="DU143" s="59">
        <f t="shared" si="152"/>
        <v>395.83504504492248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0.27621152151031342</v>
      </c>
      <c r="EB143" s="21">
        <f>EXP(-LN(2)/25)*EB142+(1-EXP(-LN(2)/25))/(LN(2)/25)*Calculateur!DW143*Calculateur!DY143*VLOOKUP('Données projet'!$B$14,Paramètres!$A$1:$I$89,3,0)*0.475*44/12</f>
        <v>0.72670347199784358</v>
      </c>
      <c r="EC143" s="21">
        <f>EXP(-LN(2)/2)*EC142+(1-EXP(-LN(2)/2))/(LN(2)/2)*DW143*DZ143*VLOOKUP('Données projet'!$B$14,Paramètres!$A$1:$I$89,3,0)*0.475*44/12</f>
        <v>6.148864695621156E-16</v>
      </c>
      <c r="ED143" s="22">
        <f t="shared" si="126"/>
        <v>1.0029149935081576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225.2264820414552</v>
      </c>
      <c r="EP143" s="59">
        <f t="shared" si="154"/>
        <v>249.91838548328681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0.25046640871621201</v>
      </c>
      <c r="EW143" s="21">
        <f>EXP(-LN(2)/25)*EW142+(1-EXP(-LN(2)/25))/(LN(2)/25)*Calculateur!ER143*Calculateur!ET143*VLOOKUP('Données projet'!$B$15,Paramètres!$A$1:$I$89,3,0)*0.475*44/12</f>
        <v>0.40998187336627095</v>
      </c>
      <c r="EX143" s="21">
        <f>EXP(-LN(2)/2)*EX142+(1-EXP(-LN(2)/2))/(LN(2)/2)*ER143*EU143*VLOOKUP('Données projet'!$B$15,Paramètres!$A$1:$I$89,3,0)*0.475*44/12</f>
        <v>1.122858087253803E-16</v>
      </c>
      <c r="EY143" s="22">
        <f t="shared" si="129"/>
        <v>0.66044828208248307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-1.2505552149377763E-12</v>
      </c>
      <c r="FF143" s="17">
        <f>FE143*VLOOKUP('Données projet'!$B$16,Paramètres!$A$1:$I$89,3,0)*VLOOKUP('Données projet'!$B$16,Paramètres!$A$1:$I$89,5,0)</f>
        <v>-6.9906036515021697E-13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549.85684198202534</v>
      </c>
      <c r="FK143" s="59">
        <f t="shared" si="156"/>
        <v>539.63748606275431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1.292904994303596</v>
      </c>
      <c r="FR143" s="21">
        <f>EXP(-LN(2)/25)*FR142+(1-EXP(-LN(2)/25))/(LN(2)/25)*Calculateur!FM143*Calculateur!FO143*VLOOKUP('Données projet'!$B$16,Paramètres!$A$1:$I$89,3,0)*0.475*44/12</f>
        <v>1.8358837501388419</v>
      </c>
      <c r="FS143" s="21">
        <f>EXP(-LN(2)/2)*FS142+(1-EXP(-LN(2)/2))/(LN(2)/2)*FM143*FP143*VLOOKUP('Données projet'!$B$16,Paramètres!$A$1:$I$89,3,0)*0.475*44/12</f>
        <v>1.0122983383496513E-15</v>
      </c>
      <c r="FT143" s="22">
        <f t="shared" si="132"/>
        <v>3.1287887444424385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-5.6843418860808015E-13</v>
      </c>
      <c r="GA143" s="17">
        <f>FZ143*VLOOKUP('Données projet'!$B$17,Paramètres!$A$1:$I$89,3,0)*VLOOKUP('Données projet'!$B$17,Paramètres!$A$1:$I$89,5,0)</f>
        <v>-3.39923644787632E-13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495.6641415122013</v>
      </c>
      <c r="GF143" s="59">
        <f t="shared" si="158"/>
        <v>488.90534169400757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0.45265341872447162</v>
      </c>
      <c r="GM143" s="21">
        <f>EXP(-LN(2)/25)*GM142+(1-EXP(-LN(2)/25))/(LN(2)/25)*Calculateur!GH143*Calculateur!GJ143*VLOOKUP('Données projet'!$B$17,Paramètres!$A$1:$I$89,3,0)*0.475*44/12</f>
        <v>1.2317609326886962</v>
      </c>
      <c r="GN143" s="21">
        <f>EXP(-LN(2)/2)*GN142+(1-EXP(-LN(2)/2))/(LN(2)/2)*GH143*GK143*VLOOKUP('Données projet'!$B$17,Paramètres!$A$1:$I$89,3,0)*0.475*44/12</f>
        <v>9.6476530634965872E-16</v>
      </c>
      <c r="GO143" s="21">
        <f t="shared" si="135"/>
        <v>1.6844143514131686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-5.6843418860808015E-13</v>
      </c>
      <c r="GV143" s="17">
        <f>GU143*VLOOKUP('Données projet'!$B$18,Paramètres!$A$1:$I$89,3,0)*VLOOKUP('Données projet'!$B$18,Paramètres!$A$1:$I$89,5,0)</f>
        <v>-3.39923644787632E-13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-18.333333333333343</v>
      </c>
      <c r="HA143" s="59">
        <f t="shared" si="160"/>
        <v>-18.333333333333343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0.45265341872447162</v>
      </c>
      <c r="HH143" s="21">
        <f>EXP(-LN(2)/25)*HH142+(1-EXP(-LN(2)/25))/(LN(2)/25)*Calculateur!HC143*Calculateur!HE143*VLOOKUP('Données projet'!$B$18,Paramètres!$A$1:$I$89,3,0)*0.475*44/12</f>
        <v>1.2317609326886962</v>
      </c>
      <c r="HI143" s="21">
        <f>EXP(-LN(2)/2)*HI142+(1-EXP(-LN(2)/2))/(LN(2)/2)*HC143*HF143*VLOOKUP('Données projet'!$B$18,Paramètres!$A$1:$I$89,3,0)*0.475*44/12</f>
        <v>9.6476530634965872E-16</v>
      </c>
      <c r="HJ143" s="22">
        <f t="shared" si="138"/>
        <v>1.6844143514131686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376.11581547534814</v>
      </c>
      <c r="T144" s="59">
        <f t="shared" si="142"/>
        <v>300.91675649863294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0.34792405081917671</v>
      </c>
      <c r="AA144" s="21">
        <f>EXP(-LN(2)/25)*AA143+(1-EXP(-LN(2)/25))/(LN(2)/25)*Calculateur!V144*Calculateur!X144*VLOOKUP('Données projet'!$B$9,Paramètres!$A$1:$I$89,3,0)*0.475*44/12</f>
        <v>0.36190841514436689</v>
      </c>
      <c r="AB144" s="21">
        <f>EXP(-LN(2)/2)*AB143+(1-EXP(-LN(2)/2))/(LN(2)/2)*V144*Y144*VLOOKUP('Données projet'!$B$9,Paramètres!$A$1:$I$89,3,0)*0.475*44/12</f>
        <v>1.92967826802009E-16</v>
      </c>
      <c r="AC144" s="22">
        <f t="shared" si="111"/>
        <v>0.70983246596354377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-5.6843418860808015E-13</v>
      </c>
      <c r="AJ144" s="13">
        <f>AI144*VLOOKUP('Données projet'!$B$10,Paramètres!$A$1:$I$89,3,0)*VLOOKUP('Données projet'!$B$10,Paramètres!$A$1:$I$89,5,0)</f>
        <v>-5.1431925385259092E-13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505.38595282220405</v>
      </c>
      <c r="AO144" s="59">
        <f t="shared" si="144"/>
        <v>351.72130415456365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0.26733822227508997</v>
      </c>
      <c r="AV144" s="21">
        <f>EXP(-LN(2)/25)*AV143+(1-EXP(-LN(2)/25))/(LN(2)/25)*Calculateur!AQ144*Calculateur!AS144*VLOOKUP('Données projet'!$B$10,Paramètres!$A$1:$I$89,3,0)*0.475*44/12</f>
        <v>0.5198097453799112</v>
      </c>
      <c r="AW144" s="21">
        <f>EXP(-LN(2)/2)*AW143+(1-EXP(-LN(2)/2))/(LN(2)/2)*AQ144*AT144*VLOOKUP('Données projet'!$B$10,Paramètres!$A$1:$I$89,3,0)*0.475*44/12</f>
        <v>4.2300914410620733E-16</v>
      </c>
      <c r="AX144" s="21">
        <f t="shared" si="114"/>
        <v>0.78714796765500161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-4.0702161641092972E-13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394.14657090341535</v>
      </c>
      <c r="BJ144" s="59">
        <f t="shared" si="146"/>
        <v>424.06445894109982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0.36217683180110716</v>
      </c>
      <c r="BQ144" s="21">
        <f>EXP(-LN(2)/25)*BQ143+(1-EXP(-LN(2)/25))/(LN(2)/25)*Calculateur!BL144*Calculateur!BN144*VLOOKUP('Données projet'!$B$11,Paramètres!$A$1:$I$89,3,0)*0.475*44/12</f>
        <v>0.94535683275658811</v>
      </c>
      <c r="BR144" s="21">
        <f>EXP(-LN(2)/2)*BR143+(1-EXP(-LN(2)/2))/(LN(2)/2)*BL144*BO144*VLOOKUP('Données projet'!$B$11,Paramètres!$A$1:$I$89,3,0)*0.475*44/12</f>
        <v>4.7179382992868966E-16</v>
      </c>
      <c r="BS144" s="22">
        <f t="shared" si="117"/>
        <v>1.3075336645576958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3.1036506698001181E-13</v>
      </c>
      <c r="CA144" s="13">
        <f t="shared" si="147"/>
        <v>4.086682523110923E-12</v>
      </c>
      <c r="CB144" s="20">
        <f t="shared" si="118"/>
        <v>7.6581912194083782E-12</v>
      </c>
      <c r="CC144" s="59">
        <f t="shared" si="119"/>
        <v>285.56031297776769</v>
      </c>
      <c r="CD144" s="59">
        <f ca="1">AVERAGE(OFFSET($CC$3,0,0,'Données projet'!$E$12+1,1))-AVERAGE(OFFSET($H$3,0,0,'Données projet'!$E$12+1,1))</f>
        <v>382.09004346384319</v>
      </c>
      <c r="CE144" s="59">
        <f t="shared" si="148"/>
        <v>410.18893995284986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0.94543830010677365</v>
      </c>
      <c r="CL144" s="21">
        <f>EXP(-LN(2)/25)*CL143+(1-EXP(-LN(2)/25))/(LN(2)/25)*Calculateur!CG144*Calculateur!CI144*VLOOKUP('Données projet'!$B$12,Paramètres!$A$1:$I$89,3,0)*0.475*44/12</f>
        <v>1.5681497472658492</v>
      </c>
      <c r="CM144" s="21">
        <f>EXP(-LN(2)/2)*CM143+(1-EXP(-LN(2)/2))/(LN(2)/2)*CG144*CJ144*VLOOKUP('Données projet'!$B$12,Paramètres!$A$1:$I$89,3,0)*0.475*44/12</f>
        <v>4.9423421667891075E-16</v>
      </c>
      <c r="CN144" s="22">
        <f t="shared" si="120"/>
        <v>2.5135880473726231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363.02374534486341</v>
      </c>
      <c r="CZ144" s="59">
        <f t="shared" si="150"/>
        <v>489.00477393029598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0.8112332262140669</v>
      </c>
      <c r="DG144" s="21">
        <f>EXP(-LN(2)/25)*DG143+(1-EXP(-LN(2)/25))/(LN(2)/25)*Calculateur!DB144*Calculateur!DD144*VLOOKUP('Données projet'!$B$13,Paramètres!$A$1:$I$89,3,0)*0.475*44/12</f>
        <v>0.89204476125809684</v>
      </c>
      <c r="DH144" s="21">
        <f>EXP(-LN(2)/2)*DH143+(1-EXP(-LN(2)/2))/(LN(2)/2)*DB144*DE144*VLOOKUP('Données projet'!$B$13,Paramètres!$A$1:$I$89,3,0)*0.475*44/12</f>
        <v>5.7533956231698987E-16</v>
      </c>
      <c r="DI144" s="22">
        <f t="shared" si="123"/>
        <v>1.7032779874721644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-3.7509835237869992E-13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368.03281986807173</v>
      </c>
      <c r="DU144" s="59">
        <f t="shared" si="152"/>
        <v>395.83504504492248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0.27079518204588904</v>
      </c>
      <c r="EB144" s="21">
        <f>EXP(-LN(2)/25)*EB143+(1-EXP(-LN(2)/25))/(LN(2)/25)*Calculateur!DW144*Calculateur!DY144*VLOOKUP('Données projet'!$B$14,Paramètres!$A$1:$I$89,3,0)*0.475*44/12</f>
        <v>0.70683172734038791</v>
      </c>
      <c r="EC144" s="21">
        <f>EXP(-LN(2)/2)*EC143+(1-EXP(-LN(2)/2))/(LN(2)/2)*DW144*DZ144*VLOOKUP('Données projet'!$B$14,Paramètres!$A$1:$I$89,3,0)*0.475*44/12</f>
        <v>4.3479039228722764E-16</v>
      </c>
      <c r="ED144" s="22">
        <f t="shared" si="126"/>
        <v>0.97762690938627739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225.2264820414552</v>
      </c>
      <c r="EP144" s="59">
        <f t="shared" si="154"/>
        <v>249.91838548328681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0.24555491521071168</v>
      </c>
      <c r="EW144" s="21">
        <f>EXP(-LN(2)/25)*EW143+(1-EXP(-LN(2)/25))/(LN(2)/25)*Calculateur!ER144*Calculateur!ET144*VLOOKUP('Données projet'!$B$15,Paramètres!$A$1:$I$89,3,0)*0.475*44/12</f>
        <v>0.39877089747906058</v>
      </c>
      <c r="EX144" s="21">
        <f>EXP(-LN(2)/2)*EX143+(1-EXP(-LN(2)/2))/(LN(2)/2)*ER144*EU144*VLOOKUP('Données projet'!$B$15,Paramètres!$A$1:$I$89,3,0)*0.475*44/12</f>
        <v>7.939805678073202E-17</v>
      </c>
      <c r="EY144" s="22">
        <f t="shared" si="129"/>
        <v>0.6443258126897724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-1.2505552149377763E-12</v>
      </c>
      <c r="FF144" s="17">
        <f>FE144*VLOOKUP('Données projet'!$B$16,Paramètres!$A$1:$I$89,3,0)*VLOOKUP('Données projet'!$B$16,Paramètres!$A$1:$I$89,5,0)</f>
        <v>-6.9906036515021697E-13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549.85684198202534</v>
      </c>
      <c r="FK144" s="59">
        <f t="shared" si="156"/>
        <v>539.63748606275431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1.2675519159594817</v>
      </c>
      <c r="FR144" s="21">
        <f>EXP(-LN(2)/25)*FR143+(1-EXP(-LN(2)/25))/(LN(2)/25)*Calculateur!FM144*Calculateur!FO144*VLOOKUP('Données projet'!$B$16,Paramètres!$A$1:$I$89,3,0)*0.475*44/12</f>
        <v>1.7856814124463647</v>
      </c>
      <c r="FS144" s="21">
        <f>EXP(-LN(2)/2)*FS143+(1-EXP(-LN(2)/2))/(LN(2)/2)*FM144*FP144*VLOOKUP('Données projet'!$B$16,Paramètres!$A$1:$I$89,3,0)*0.475*44/12</f>
        <v>7.1580301963091256E-16</v>
      </c>
      <c r="FT144" s="22">
        <f t="shared" si="132"/>
        <v>3.053233328405847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-5.6843418860808015E-13</v>
      </c>
      <c r="GA144" s="17">
        <f>FZ144*VLOOKUP('Données projet'!$B$17,Paramètres!$A$1:$I$89,3,0)*VLOOKUP('Données projet'!$B$17,Paramètres!$A$1:$I$89,5,0)</f>
        <v>-3.39923644787632E-13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495.6641415122013</v>
      </c>
      <c r="GF144" s="59">
        <f t="shared" si="158"/>
        <v>488.90534169400757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0.44377716127460842</v>
      </c>
      <c r="GM144" s="21">
        <f>EXP(-LN(2)/25)*GM143+(1-EXP(-LN(2)/25))/(LN(2)/25)*Calculateur!GH144*Calculateur!GJ144*VLOOKUP('Données projet'!$B$17,Paramètres!$A$1:$I$89,3,0)*0.475*44/12</f>
        <v>1.1980783652088316</v>
      </c>
      <c r="GN144" s="21">
        <f>EXP(-LN(2)/2)*GN143+(1-EXP(-LN(2)/2))/(LN(2)/2)*GH144*GK144*VLOOKUP('Données projet'!$B$17,Paramètres!$A$1:$I$89,3,0)*0.475*44/12</f>
        <v>6.8219209037336063E-16</v>
      </c>
      <c r="GO144" s="21">
        <f t="shared" si="135"/>
        <v>1.6418555264834407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-5.6843418860808015E-13</v>
      </c>
      <c r="GV144" s="17">
        <f>GU144*VLOOKUP('Données projet'!$B$18,Paramètres!$A$1:$I$89,3,0)*VLOOKUP('Données projet'!$B$18,Paramètres!$A$1:$I$89,5,0)</f>
        <v>-3.39923644787632E-13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-18.333333333333343</v>
      </c>
      <c r="HA144" s="59">
        <f t="shared" si="160"/>
        <v>-18.333333333333343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0.44377716127460842</v>
      </c>
      <c r="HH144" s="21">
        <f>EXP(-LN(2)/25)*HH143+(1-EXP(-LN(2)/25))/(LN(2)/25)*Calculateur!HC144*Calculateur!HE144*VLOOKUP('Données projet'!$B$18,Paramètres!$A$1:$I$89,3,0)*0.475*44/12</f>
        <v>1.1980783652088316</v>
      </c>
      <c r="HI144" s="21">
        <f>EXP(-LN(2)/2)*HI143+(1-EXP(-LN(2)/2))/(LN(2)/2)*HC144*HF144*VLOOKUP('Données projet'!$B$18,Paramètres!$A$1:$I$89,3,0)*0.475*44/12</f>
        <v>6.8219209037336063E-16</v>
      </c>
      <c r="HJ144" s="22">
        <f t="shared" si="138"/>
        <v>1.6418555264834407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376.11581547534814</v>
      </c>
      <c r="T145" s="59">
        <f t="shared" si="142"/>
        <v>300.91675649863294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0.3411014723953294</v>
      </c>
      <c r="AA145" s="21">
        <f>EXP(-LN(2)/25)*AA144+(1-EXP(-LN(2)/25))/(LN(2)/25)*Calculateur!V145*Calculateur!X145*VLOOKUP('Données projet'!$B$9,Paramètres!$A$1:$I$89,3,0)*0.475*44/12</f>
        <v>0.35201201050030778</v>
      </c>
      <c r="AB145" s="21">
        <f>EXP(-LN(2)/2)*AB144+(1-EXP(-LN(2)/2))/(LN(2)/2)*V145*Y145*VLOOKUP('Données projet'!$B$9,Paramètres!$A$1:$I$89,3,0)*0.475*44/12</f>
        <v>1.3644885888253177E-16</v>
      </c>
      <c r="AC145" s="22">
        <f t="shared" si="111"/>
        <v>0.69311348289563723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-5.6843418860808015E-13</v>
      </c>
      <c r="AJ145" s="13">
        <f>AI145*VLOOKUP('Données projet'!$B$10,Paramètres!$A$1:$I$89,3,0)*VLOOKUP('Données projet'!$B$10,Paramètres!$A$1:$I$89,5,0)</f>
        <v>-5.1431925385259092E-13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505.38595282220405</v>
      </c>
      <c r="AO145" s="59">
        <f t="shared" si="144"/>
        <v>351.72130415456365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0.26209588279649015</v>
      </c>
      <c r="AV145" s="21">
        <f>EXP(-LN(2)/25)*AV144+(1-EXP(-LN(2)/25))/(LN(2)/25)*Calculateur!AQ145*Calculateur!AS145*VLOOKUP('Données projet'!$B$10,Paramètres!$A$1:$I$89,3,0)*0.475*44/12</f>
        <v>0.50559552055689105</v>
      </c>
      <c r="AW145" s="21">
        <f>EXP(-LN(2)/2)*AW144+(1-EXP(-LN(2)/2))/(LN(2)/2)*AQ145*AT145*VLOOKUP('Données projet'!$B$10,Paramètres!$A$1:$I$89,3,0)*0.475*44/12</f>
        <v>2.9911263430141669E-16</v>
      </c>
      <c r="AX145" s="21">
        <f t="shared" si="114"/>
        <v>0.7676914033533816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-4.0702161641092972E-13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394.14657090341535</v>
      </c>
      <c r="BJ145" s="59">
        <f t="shared" si="146"/>
        <v>424.06445894109982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0.35507476503554219</v>
      </c>
      <c r="BQ145" s="21">
        <f>EXP(-LN(2)/25)*BQ144+(1-EXP(-LN(2)/25))/(LN(2)/25)*Calculateur!BL145*Calculateur!BN145*VLOOKUP('Données projet'!$B$11,Paramètres!$A$1:$I$89,3,0)*0.475*44/12</f>
        <v>0.91950600045070396</v>
      </c>
      <c r="BR145" s="21">
        <f>EXP(-LN(2)/2)*BR144+(1-EXP(-LN(2)/2))/(LN(2)/2)*BL145*BO145*VLOOKUP('Données projet'!$B$11,Paramètres!$A$1:$I$89,3,0)*0.475*44/12</f>
        <v>3.3360861646454918E-16</v>
      </c>
      <c r="BS145" s="22">
        <f t="shared" si="117"/>
        <v>1.2745807654862467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3.1036506698001181E-13</v>
      </c>
      <c r="CA145" s="13">
        <f t="shared" si="147"/>
        <v>4.086682523110923E-12</v>
      </c>
      <c r="CB145" s="20">
        <f t="shared" si="118"/>
        <v>7.6581912194083782E-12</v>
      </c>
      <c r="CC145" s="59">
        <f t="shared" si="119"/>
        <v>285.69515750306675</v>
      </c>
      <c r="CD145" s="59">
        <f ca="1">AVERAGE(OFFSET($CC$3,0,0,'Données projet'!$E$12+1,1))-AVERAGE(OFFSET($H$3,0,0,'Données projet'!$E$12+1,1))</f>
        <v>382.09004346384319</v>
      </c>
      <c r="CE145" s="59">
        <f t="shared" si="148"/>
        <v>410.18893995284986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0.92689883170210241</v>
      </c>
      <c r="CL145" s="21">
        <f>EXP(-LN(2)/25)*CL144+(1-EXP(-LN(2)/25))/(LN(2)/25)*Calculateur!CG145*Calculateur!CI145*VLOOKUP('Données projet'!$B$12,Paramètres!$A$1:$I$89,3,0)*0.475*44/12</f>
        <v>1.5252686099614534</v>
      </c>
      <c r="CM145" s="21">
        <f>EXP(-LN(2)/2)*CM144+(1-EXP(-LN(2)/2))/(LN(2)/2)*CG145*CJ145*VLOOKUP('Données projet'!$B$12,Paramètres!$A$1:$I$89,3,0)*0.475*44/12</f>
        <v>3.4947636610807926E-16</v>
      </c>
      <c r="CN145" s="22">
        <f t="shared" si="120"/>
        <v>2.4521674416635562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363.02374534486341</v>
      </c>
      <c r="CZ145" s="59">
        <f t="shared" si="150"/>
        <v>489.00477393029598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0.79532543745141926</v>
      </c>
      <c r="DG145" s="21">
        <f>EXP(-LN(2)/25)*DG144+(1-EXP(-LN(2)/25))/(LN(2)/25)*Calculateur!DB145*Calculateur!DD145*VLOOKUP('Données projet'!$B$13,Paramètres!$A$1:$I$89,3,0)*0.475*44/12</f>
        <v>0.86765175035089903</v>
      </c>
      <c r="DH145" s="21">
        <f>EXP(-LN(2)/2)*DH144+(1-EXP(-LN(2)/2))/(LN(2)/2)*DB145*DE145*VLOOKUP('Données projet'!$B$13,Paramètres!$A$1:$I$89,3,0)*0.475*44/12</f>
        <v>4.0682650599924378E-16</v>
      </c>
      <c r="DI145" s="22">
        <f t="shared" si="123"/>
        <v>1.6629771878023187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-3.7509835237869992E-13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368.03281986807173</v>
      </c>
      <c r="DU145" s="59">
        <f t="shared" si="152"/>
        <v>395.83504504492248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0.26548505369472114</v>
      </c>
      <c r="EB145" s="21">
        <f>EXP(-LN(2)/25)*EB144+(1-EXP(-LN(2)/25))/(LN(2)/25)*Calculateur!DW145*Calculateur!DY145*VLOOKUP('Données projet'!$B$14,Paramètres!$A$1:$I$89,3,0)*0.475*44/12</f>
        <v>0.6875033765855999</v>
      </c>
      <c r="EC145" s="21">
        <f>EXP(-LN(2)/2)*EC144+(1-EXP(-LN(2)/2))/(LN(2)/2)*DW145*DZ145*VLOOKUP('Données projet'!$B$14,Paramètres!$A$1:$I$89,3,0)*0.475*44/12</f>
        <v>3.0744323478105785E-16</v>
      </c>
      <c r="ED145" s="22">
        <f t="shared" si="126"/>
        <v>0.95298843028032143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225.2264820414552</v>
      </c>
      <c r="EP145" s="59">
        <f t="shared" si="154"/>
        <v>249.91838548328681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0.24073973309713897</v>
      </c>
      <c r="EW145" s="21">
        <f>EXP(-LN(2)/25)*EW144+(1-EXP(-LN(2)/25))/(LN(2)/25)*Calculateur!ER145*Calculateur!ET145*VLOOKUP('Données projet'!$B$15,Paramètres!$A$1:$I$89,3,0)*0.475*44/12</f>
        <v>0.38786648631704557</v>
      </c>
      <c r="EX145" s="21">
        <f>EXP(-LN(2)/2)*EX144+(1-EXP(-LN(2)/2))/(LN(2)/2)*ER145*EU145*VLOOKUP('Données projet'!$B$15,Paramètres!$A$1:$I$89,3,0)*0.475*44/12</f>
        <v>5.6142904362690152E-17</v>
      </c>
      <c r="EY145" s="22">
        <f t="shared" si="129"/>
        <v>0.62860621941418471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-1.2505552149377763E-12</v>
      </c>
      <c r="FF145" s="17">
        <f>FE145*VLOOKUP('Données projet'!$B$16,Paramètres!$A$1:$I$89,3,0)*VLOOKUP('Données projet'!$B$16,Paramètres!$A$1:$I$89,5,0)</f>
        <v>-6.9906036515021697E-13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549.85684198202534</v>
      </c>
      <c r="FK145" s="59">
        <f t="shared" si="156"/>
        <v>539.63748606275431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1.2426959960178448</v>
      </c>
      <c r="FR145" s="21">
        <f>EXP(-LN(2)/25)*FR144+(1-EXP(-LN(2)/25))/(LN(2)/25)*Calculateur!FM145*Calculateur!FO145*VLOOKUP('Données projet'!$B$16,Paramètres!$A$1:$I$89,3,0)*0.475*44/12</f>
        <v>1.7368518603181147</v>
      </c>
      <c r="FS145" s="21">
        <f>EXP(-LN(2)/2)*FS144+(1-EXP(-LN(2)/2))/(LN(2)/2)*FM145*FP145*VLOOKUP('Données projet'!$B$16,Paramètres!$A$1:$I$89,3,0)*0.475*44/12</f>
        <v>5.0614916917482566E-16</v>
      </c>
      <c r="FT145" s="22">
        <f t="shared" si="132"/>
        <v>2.9795478563359601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-5.6843418860808015E-13</v>
      </c>
      <c r="GA145" s="17">
        <f>FZ145*VLOOKUP('Données projet'!$B$17,Paramètres!$A$1:$I$89,3,0)*VLOOKUP('Données projet'!$B$17,Paramètres!$A$1:$I$89,5,0)</f>
        <v>-3.39923644787632E-13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495.6641415122013</v>
      </c>
      <c r="GF145" s="59">
        <f t="shared" si="158"/>
        <v>488.90534169400757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0.43507496181935457</v>
      </c>
      <c r="GM145" s="21">
        <f>EXP(-LN(2)/25)*GM144+(1-EXP(-LN(2)/25))/(LN(2)/25)*Calculateur!GH145*Calculateur!GJ145*VLOOKUP('Données projet'!$B$17,Paramètres!$A$1:$I$89,3,0)*0.475*44/12</f>
        <v>1.1653168493079931</v>
      </c>
      <c r="GN145" s="21">
        <f>EXP(-LN(2)/2)*GN144+(1-EXP(-LN(2)/2))/(LN(2)/2)*GH145*GK145*VLOOKUP('Données projet'!$B$17,Paramètres!$A$1:$I$89,3,0)*0.475*44/12</f>
        <v>4.8238265317482936E-16</v>
      </c>
      <c r="GO145" s="21">
        <f t="shared" si="135"/>
        <v>1.6003918111273481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-5.6843418860808015E-13</v>
      </c>
      <c r="GV145" s="17">
        <f>GU145*VLOOKUP('Données projet'!$B$18,Paramètres!$A$1:$I$89,3,0)*VLOOKUP('Données projet'!$B$18,Paramètres!$A$1:$I$89,5,0)</f>
        <v>-3.39923644787632E-13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-18.333333333333343</v>
      </c>
      <c r="HA145" s="59">
        <f t="shared" si="160"/>
        <v>-18.333333333333343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0.43507496181935457</v>
      </c>
      <c r="HH145" s="21">
        <f>EXP(-LN(2)/25)*HH144+(1-EXP(-LN(2)/25))/(LN(2)/25)*Calculateur!HC145*Calculateur!HE145*VLOOKUP('Données projet'!$B$18,Paramètres!$A$1:$I$89,3,0)*0.475*44/12</f>
        <v>1.1653168493079931</v>
      </c>
      <c r="HI145" s="21">
        <f>EXP(-LN(2)/2)*HI144+(1-EXP(-LN(2)/2))/(LN(2)/2)*HC145*HF145*VLOOKUP('Données projet'!$B$18,Paramètres!$A$1:$I$89,3,0)*0.475*44/12</f>
        <v>4.8238265317482936E-16</v>
      </c>
      <c r="HJ145" s="22">
        <f t="shared" si="138"/>
        <v>1.6003918111273481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376.11581547534814</v>
      </c>
      <c r="T146" s="59">
        <f t="shared" si="142"/>
        <v>300.91675649863294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0.33441268057301177</v>
      </c>
      <c r="AA146" s="21">
        <f>EXP(-LN(2)/25)*AA145+(1-EXP(-LN(2)/25))/(LN(2)/25)*Calculateur!V146*Calculateur!X146*VLOOKUP('Données projet'!$B$9,Paramètres!$A$1:$I$89,3,0)*0.475*44/12</f>
        <v>0.34238622356166976</v>
      </c>
      <c r="AB146" s="21">
        <f>EXP(-LN(2)/2)*AB145+(1-EXP(-LN(2)/2))/(LN(2)/2)*V146*Y146*VLOOKUP('Données projet'!$B$9,Paramètres!$A$1:$I$89,3,0)*0.475*44/12</f>
        <v>9.6483913401004499E-17</v>
      </c>
      <c r="AC146" s="22">
        <f t="shared" si="111"/>
        <v>0.67679890413468169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-5.6843418860808015E-13</v>
      </c>
      <c r="AJ146" s="13">
        <f>AI146*VLOOKUP('Données projet'!$B$10,Paramètres!$A$1:$I$89,3,0)*VLOOKUP('Données projet'!$B$10,Paramètres!$A$1:$I$89,5,0)</f>
        <v>-5.1431925385259092E-13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505.38595282220405</v>
      </c>
      <c r="AO146" s="59">
        <f t="shared" si="144"/>
        <v>351.72130415456365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0.25695634239755438</v>
      </c>
      <c r="AV146" s="21">
        <f>EXP(-LN(2)/25)*AV145+(1-EXP(-LN(2)/25))/(LN(2)/25)*Calculateur!AQ146*Calculateur!AS146*VLOOKUP('Données projet'!$B$10,Paramètres!$A$1:$I$89,3,0)*0.475*44/12</f>
        <v>0.49176998445914999</v>
      </c>
      <c r="AW146" s="21">
        <f>EXP(-LN(2)/2)*AW145+(1-EXP(-LN(2)/2))/(LN(2)/2)*AQ146*AT146*VLOOKUP('Données projet'!$B$10,Paramètres!$A$1:$I$89,3,0)*0.475*44/12</f>
        <v>2.1150457205310367E-16</v>
      </c>
      <c r="AX146" s="21">
        <f t="shared" si="114"/>
        <v>0.74872632685670459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-4.0702161641092972E-13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394.14657090341535</v>
      </c>
      <c r="BJ146" s="59">
        <f t="shared" si="146"/>
        <v>424.06445894109982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0.34811196546741696</v>
      </c>
      <c r="BQ146" s="21">
        <f>EXP(-LN(2)/25)*BQ145+(1-EXP(-LN(2)/25))/(LN(2)/25)*Calculateur!BL146*Calculateur!BN146*VLOOKUP('Données projet'!$B$11,Paramètres!$A$1:$I$89,3,0)*0.475*44/12</f>
        <v>0.89436206051366041</v>
      </c>
      <c r="BR146" s="21">
        <f>EXP(-LN(2)/2)*BR145+(1-EXP(-LN(2)/2))/(LN(2)/2)*BL146*BO146*VLOOKUP('Données projet'!$B$11,Paramètres!$A$1:$I$89,3,0)*0.475*44/12</f>
        <v>2.3589691496434483E-16</v>
      </c>
      <c r="BS146" s="22">
        <f t="shared" si="117"/>
        <v>1.2424740259810776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3.1036506698001181E-13</v>
      </c>
      <c r="CA146" s="13">
        <f t="shared" si="147"/>
        <v>4.086682523110923E-12</v>
      </c>
      <c r="CB146" s="20">
        <f t="shared" si="118"/>
        <v>7.6581912194083782E-12</v>
      </c>
      <c r="CC146" s="59">
        <f t="shared" si="119"/>
        <v>285.82766277731912</v>
      </c>
      <c r="CD146" s="59">
        <f ca="1">AVERAGE(OFFSET($CC$3,0,0,'Données projet'!$E$12+1,1))-AVERAGE(OFFSET($H$3,0,0,'Données projet'!$E$12+1,1))</f>
        <v>382.09004346384319</v>
      </c>
      <c r="CE146" s="59">
        <f t="shared" si="148"/>
        <v>410.18893995284986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0.90872291096488755</v>
      </c>
      <c r="CL146" s="21">
        <f>EXP(-LN(2)/25)*CL145+(1-EXP(-LN(2)/25))/(LN(2)/25)*Calculateur!CG146*Calculateur!CI146*VLOOKUP('Données projet'!$B$12,Paramètres!$A$1:$I$89,3,0)*0.475*44/12</f>
        <v>1.4835600596116674</v>
      </c>
      <c r="CM146" s="21">
        <f>EXP(-LN(2)/2)*CM145+(1-EXP(-LN(2)/2))/(LN(2)/2)*CG146*CJ146*VLOOKUP('Données projet'!$B$12,Paramètres!$A$1:$I$89,3,0)*0.475*44/12</f>
        <v>2.4711710833945538E-16</v>
      </c>
      <c r="CN146" s="22">
        <f t="shared" si="120"/>
        <v>2.3922829705765554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363.02374534486341</v>
      </c>
      <c r="CZ146" s="59">
        <f t="shared" si="150"/>
        <v>489.00477393029598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0.77972959072361403</v>
      </c>
      <c r="DG146" s="21">
        <f>EXP(-LN(2)/25)*DG145+(1-EXP(-LN(2)/25))/(LN(2)/25)*Calculateur!DB146*Calculateur!DD146*VLOOKUP('Données projet'!$B$13,Paramètres!$A$1:$I$89,3,0)*0.475*44/12</f>
        <v>0.84392576760973115</v>
      </c>
      <c r="DH146" s="21">
        <f>EXP(-LN(2)/2)*DH145+(1-EXP(-LN(2)/2))/(LN(2)/2)*DB146*DE146*VLOOKUP('Données projet'!$B$13,Paramètres!$A$1:$I$89,3,0)*0.475*44/12</f>
        <v>2.8766978115849493E-16</v>
      </c>
      <c r="DI146" s="22">
        <f t="shared" si="123"/>
        <v>1.6236553583333453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-3.7509835237869992E-13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368.03281986807173</v>
      </c>
      <c r="DU146" s="59">
        <f t="shared" si="152"/>
        <v>395.83504504492248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0.26027905372166116</v>
      </c>
      <c r="EB146" s="21">
        <f>EXP(-LN(2)/25)*EB145+(1-EXP(-LN(2)/25))/(LN(2)/25)*Calculateur!DW146*Calculateur!DY146*VLOOKUP('Données projet'!$B$14,Paramètres!$A$1:$I$89,3,0)*0.475*44/12</f>
        <v>0.66870356059863545</v>
      </c>
      <c r="EC146" s="21">
        <f>EXP(-LN(2)/2)*EC145+(1-EXP(-LN(2)/2))/(LN(2)/2)*DW146*DZ146*VLOOKUP('Données projet'!$B$14,Paramètres!$A$1:$I$89,3,0)*0.475*44/12</f>
        <v>2.1739519614361384E-16</v>
      </c>
      <c r="ED146" s="22">
        <f t="shared" si="126"/>
        <v>0.92898261432029683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225.2264820414552</v>
      </c>
      <c r="EP146" s="59">
        <f t="shared" si="154"/>
        <v>249.91838548328681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0.23601897376784234</v>
      </c>
      <c r="EW146" s="21">
        <f>EXP(-LN(2)/25)*EW145+(1-EXP(-LN(2)/25))/(LN(2)/25)*Calculateur!ER146*Calculateur!ET146*VLOOKUP('Données projet'!$B$15,Paramètres!$A$1:$I$89,3,0)*0.475*44/12</f>
        <v>0.3772602568516939</v>
      </c>
      <c r="EX146" s="21">
        <f>EXP(-LN(2)/2)*EX145+(1-EXP(-LN(2)/2))/(LN(2)/2)*ER146*EU146*VLOOKUP('Données projet'!$B$15,Paramètres!$A$1:$I$89,3,0)*0.475*44/12</f>
        <v>3.969902839036601E-17</v>
      </c>
      <c r="EY146" s="22">
        <f t="shared" si="129"/>
        <v>0.61327923061953626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-1.2505552149377763E-12</v>
      </c>
      <c r="FF146" s="17">
        <f>FE146*VLOOKUP('Données projet'!$B$16,Paramètres!$A$1:$I$89,3,0)*VLOOKUP('Données projet'!$B$16,Paramètres!$A$1:$I$89,5,0)</f>
        <v>-6.9906036515021697E-13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549.85684198202534</v>
      </c>
      <c r="FK146" s="59">
        <f t="shared" si="156"/>
        <v>539.63748606275431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1.2183274855056492</v>
      </c>
      <c r="FR146" s="21">
        <f>EXP(-LN(2)/25)*FR145+(1-EXP(-LN(2)/25))/(LN(2)/25)*Calculateur!FM146*Calculateur!FO146*VLOOKUP('Données projet'!$B$16,Paramètres!$A$1:$I$89,3,0)*0.475*44/12</f>
        <v>1.6893575548606461</v>
      </c>
      <c r="FS146" s="21">
        <f>EXP(-LN(2)/2)*FS145+(1-EXP(-LN(2)/2))/(LN(2)/2)*FM146*FP146*VLOOKUP('Données projet'!$B$16,Paramètres!$A$1:$I$89,3,0)*0.475*44/12</f>
        <v>3.5790150981545628E-16</v>
      </c>
      <c r="FT146" s="22">
        <f t="shared" si="132"/>
        <v>2.9076850403662955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-5.6843418860808015E-13</v>
      </c>
      <c r="GA146" s="17">
        <f>FZ146*VLOOKUP('Données projet'!$B$17,Paramètres!$A$1:$I$89,3,0)*VLOOKUP('Données projet'!$B$17,Paramètres!$A$1:$I$89,5,0)</f>
        <v>-3.39923644787632E-13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495.6641415122013</v>
      </c>
      <c r="GF146" s="59">
        <f t="shared" si="158"/>
        <v>488.90534169400757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0.42654340718760064</v>
      </c>
      <c r="GM146" s="21">
        <f>EXP(-LN(2)/25)*GM145+(1-EXP(-LN(2)/25))/(LN(2)/25)*Calculateur!GH146*Calculateur!GJ146*VLOOKUP('Données projet'!$B$17,Paramètres!$A$1:$I$89,3,0)*0.475*44/12</f>
        <v>1.1334511987823161</v>
      </c>
      <c r="GN146" s="21">
        <f>EXP(-LN(2)/2)*GN145+(1-EXP(-LN(2)/2))/(LN(2)/2)*GH146*GK146*VLOOKUP('Données projet'!$B$17,Paramètres!$A$1:$I$89,3,0)*0.475*44/12</f>
        <v>3.4109604518668032E-16</v>
      </c>
      <c r="GO146" s="21">
        <f t="shared" si="135"/>
        <v>1.5599946059699172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-5.6843418860808015E-13</v>
      </c>
      <c r="GV146" s="17">
        <f>GU146*VLOOKUP('Données projet'!$B$18,Paramètres!$A$1:$I$89,3,0)*VLOOKUP('Données projet'!$B$18,Paramètres!$A$1:$I$89,5,0)</f>
        <v>-3.39923644787632E-13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-18.333333333333343</v>
      </c>
      <c r="HA146" s="59">
        <f t="shared" si="160"/>
        <v>-18.333333333333343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0.42654340718760064</v>
      </c>
      <c r="HH146" s="21">
        <f>EXP(-LN(2)/25)*HH145+(1-EXP(-LN(2)/25))/(LN(2)/25)*Calculateur!HC146*Calculateur!HE146*VLOOKUP('Données projet'!$B$18,Paramètres!$A$1:$I$89,3,0)*0.475*44/12</f>
        <v>1.1334511987823161</v>
      </c>
      <c r="HI146" s="21">
        <f>EXP(-LN(2)/2)*HI145+(1-EXP(-LN(2)/2))/(LN(2)/2)*HC146*HF146*VLOOKUP('Données projet'!$B$18,Paramètres!$A$1:$I$89,3,0)*0.475*44/12</f>
        <v>3.4109604518668032E-16</v>
      </c>
      <c r="HJ146" s="22">
        <f t="shared" si="138"/>
        <v>1.5599946059699172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376.11581547534814</v>
      </c>
      <c r="T147" s="59">
        <f t="shared" si="142"/>
        <v>300.91675649863294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0.32785505187856961</v>
      </c>
      <c r="AA147" s="21">
        <f>EXP(-LN(2)/25)*AA146+(1-EXP(-LN(2)/25))/(LN(2)/25)*Calculateur!V147*Calculateur!X147*VLOOKUP('Données projet'!$B$9,Paramètres!$A$1:$I$89,3,0)*0.475*44/12</f>
        <v>0.33302365427306696</v>
      </c>
      <c r="AB147" s="21">
        <f>EXP(-LN(2)/2)*AB146+(1-EXP(-LN(2)/2))/(LN(2)/2)*V147*Y147*VLOOKUP('Données projet'!$B$9,Paramètres!$A$1:$I$89,3,0)*0.475*44/12</f>
        <v>6.8224429441265887E-17</v>
      </c>
      <c r="AC147" s="22">
        <f t="shared" si="111"/>
        <v>0.66087870615163669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-5.6843418860808015E-13</v>
      </c>
      <c r="AJ147" s="13">
        <f>AI147*VLOOKUP('Données projet'!$B$10,Paramètres!$A$1:$I$89,3,0)*VLOOKUP('Données projet'!$B$10,Paramètres!$A$1:$I$89,5,0)</f>
        <v>-5.1431925385259092E-13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505.38595282220405</v>
      </c>
      <c r="AO147" s="59">
        <f t="shared" si="144"/>
        <v>351.72130415456365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0.25191758525103158</v>
      </c>
      <c r="AV147" s="21">
        <f>EXP(-LN(2)/25)*AV146+(1-EXP(-LN(2)/25))/(LN(2)/25)*Calculateur!AQ147*Calculateur!AS147*VLOOKUP('Données projet'!$B$10,Paramètres!$A$1:$I$89,3,0)*0.475*44/12</f>
        <v>0.47832250837305501</v>
      </c>
      <c r="AW147" s="21">
        <f>EXP(-LN(2)/2)*AW146+(1-EXP(-LN(2)/2))/(LN(2)/2)*AQ147*AT147*VLOOKUP('Données projet'!$B$10,Paramètres!$A$1:$I$89,3,0)*0.475*44/12</f>
        <v>1.4955631715070835E-16</v>
      </c>
      <c r="AX147" s="21">
        <f t="shared" si="114"/>
        <v>0.73024009362408671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-4.0702161641092972E-13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394.14657090341535</v>
      </c>
      <c r="BJ147" s="59">
        <f t="shared" si="146"/>
        <v>424.06445894109982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0.34128570215193427</v>
      </c>
      <c r="BQ147" s="21">
        <f>EXP(-LN(2)/25)*BQ146+(1-EXP(-LN(2)/25))/(LN(2)/25)*Calculateur!BL147*Calculateur!BN147*VLOOKUP('Données projet'!$B$11,Paramètres!$A$1:$I$89,3,0)*0.475*44/12</f>
        <v>0.86990568293645765</v>
      </c>
      <c r="BR147" s="21">
        <f>EXP(-LN(2)/2)*BR146+(1-EXP(-LN(2)/2))/(LN(2)/2)*BL147*BO147*VLOOKUP('Données projet'!$B$11,Paramètres!$A$1:$I$89,3,0)*0.475*44/12</f>
        <v>1.6680430823227459E-16</v>
      </c>
      <c r="BS147" s="22">
        <f t="shared" si="117"/>
        <v>1.2111913850883922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3.1036506698001181E-13</v>
      </c>
      <c r="CA147" s="13">
        <f t="shared" si="147"/>
        <v>4.086682523110923E-12</v>
      </c>
      <c r="CB147" s="20">
        <f t="shared" si="118"/>
        <v>7.6581912194083782E-12</v>
      </c>
      <c r="CC147" s="59">
        <f t="shared" si="119"/>
        <v>285.95786938130055</v>
      </c>
      <c r="CD147" s="59">
        <f ca="1">AVERAGE(OFFSET($CC$3,0,0,'Données projet'!$E$12+1,1))-AVERAGE(OFFSET($H$3,0,0,'Données projet'!$E$12+1,1))</f>
        <v>382.09004346384319</v>
      </c>
      <c r="CE147" s="59">
        <f t="shared" si="148"/>
        <v>410.18893995284986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0.89090340894711251</v>
      </c>
      <c r="CL147" s="21">
        <f>EXP(-LN(2)/25)*CL146+(1-EXP(-LN(2)/25))/(LN(2)/25)*Calculateur!CG147*Calculateur!CI147*VLOOKUP('Données projet'!$B$12,Paramètres!$A$1:$I$89,3,0)*0.475*44/12</f>
        <v>1.4429920317645535</v>
      </c>
      <c r="CM147" s="21">
        <f>EXP(-LN(2)/2)*CM146+(1-EXP(-LN(2)/2))/(LN(2)/2)*CG147*CJ147*VLOOKUP('Données projet'!$B$12,Paramètres!$A$1:$I$89,3,0)*0.475*44/12</f>
        <v>1.7473818305403963E-16</v>
      </c>
      <c r="CN147" s="22">
        <f t="shared" si="120"/>
        <v>2.3338954407116659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363.02374534486341</v>
      </c>
      <c r="CZ147" s="59">
        <f t="shared" si="150"/>
        <v>489.00477393029598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0.7644395690376139</v>
      </c>
      <c r="DG147" s="21">
        <f>EXP(-LN(2)/25)*DG146+(1-EXP(-LN(2)/25))/(LN(2)/25)*Calculateur!DB147*Calculateur!DD147*VLOOKUP('Données projet'!$B$13,Paramètres!$A$1:$I$89,3,0)*0.475*44/12</f>
        <v>0.8208485731143158</v>
      </c>
      <c r="DH147" s="21">
        <f>EXP(-LN(2)/2)*DH146+(1-EXP(-LN(2)/2))/(LN(2)/2)*DB147*DE147*VLOOKUP('Données projet'!$B$13,Paramètres!$A$1:$I$89,3,0)*0.475*44/12</f>
        <v>2.0341325299962189E-16</v>
      </c>
      <c r="DI147" s="22">
        <f t="shared" si="123"/>
        <v>1.5852881421519298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-3.7509835237869992E-13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368.03281986807173</v>
      </c>
      <c r="DU147" s="59">
        <f t="shared" si="152"/>
        <v>395.83504504492248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0.25517514023272642</v>
      </c>
      <c r="EB147" s="21">
        <f>EXP(-LN(2)/25)*EB146+(1-EXP(-LN(2)/25))/(LN(2)/25)*Calculateur!DW147*Calculateur!DY147*VLOOKUP('Données projet'!$B$14,Paramètres!$A$1:$I$89,3,0)*0.475*44/12</f>
        <v>0.6504178265684738</v>
      </c>
      <c r="EC147" s="21">
        <f>EXP(-LN(2)/2)*EC146+(1-EXP(-LN(2)/2))/(LN(2)/2)*DW147*DZ147*VLOOKUP('Données projet'!$B$14,Paramètres!$A$1:$I$89,3,0)*0.475*44/12</f>
        <v>1.5372161739052895E-16</v>
      </c>
      <c r="ED147" s="22">
        <f t="shared" si="126"/>
        <v>0.90559296680120027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225.2264820414552</v>
      </c>
      <c r="EP147" s="59">
        <f t="shared" si="154"/>
        <v>249.91838548328681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0.23139078564961435</v>
      </c>
      <c r="EW147" s="21">
        <f>EXP(-LN(2)/25)*EW146+(1-EXP(-LN(2)/25))/(LN(2)/25)*Calculateur!ER147*Calculateur!ET147*VLOOKUP('Données projet'!$B$15,Paramètres!$A$1:$I$89,3,0)*0.475*44/12</f>
        <v>0.36694405528882967</v>
      </c>
      <c r="EX147" s="21">
        <f>EXP(-LN(2)/2)*EX146+(1-EXP(-LN(2)/2))/(LN(2)/2)*ER147*EU147*VLOOKUP('Données projet'!$B$15,Paramètres!$A$1:$I$89,3,0)*0.475*44/12</f>
        <v>2.8071452181345076E-17</v>
      </c>
      <c r="EY147" s="22">
        <f t="shared" si="129"/>
        <v>0.59833484093844402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-1.2505552149377763E-12</v>
      </c>
      <c r="FF147" s="17">
        <f>FE147*VLOOKUP('Données projet'!$B$16,Paramètres!$A$1:$I$89,3,0)*VLOOKUP('Données projet'!$B$16,Paramètres!$A$1:$I$89,5,0)</f>
        <v>-6.9906036515021697E-13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549.85684198202534</v>
      </c>
      <c r="FK147" s="59">
        <f t="shared" si="156"/>
        <v>539.63748606275431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1.1944368266212739</v>
      </c>
      <c r="FR147" s="21">
        <f>EXP(-LN(2)/25)*FR146+(1-EXP(-LN(2)/25))/(LN(2)/25)*Calculateur!FM147*Calculateur!FO147*VLOOKUP('Données projet'!$B$16,Paramètres!$A$1:$I$89,3,0)*0.475*44/12</f>
        <v>1.6431619836835289</v>
      </c>
      <c r="FS147" s="21">
        <f>EXP(-LN(2)/2)*FS146+(1-EXP(-LN(2)/2))/(LN(2)/2)*FM147*FP147*VLOOKUP('Données projet'!$B$16,Paramètres!$A$1:$I$89,3,0)*0.475*44/12</f>
        <v>2.5307458458741283E-16</v>
      </c>
      <c r="FT147" s="22">
        <f t="shared" si="132"/>
        <v>2.8375988103048031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-5.6843418860808015E-13</v>
      </c>
      <c r="GA147" s="17">
        <f>FZ147*VLOOKUP('Données projet'!$B$17,Paramètres!$A$1:$I$89,3,0)*VLOOKUP('Données projet'!$B$17,Paramètres!$A$1:$I$89,5,0)</f>
        <v>-3.39923644787632E-13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495.6641415122013</v>
      </c>
      <c r="GF147" s="59">
        <f t="shared" si="158"/>
        <v>488.90534169400757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0.41817915113844095</v>
      </c>
      <c r="GM147" s="21">
        <f>EXP(-LN(2)/25)*GM146+(1-EXP(-LN(2)/25))/(LN(2)/25)*Calculateur!GH147*Calculateur!GJ147*VLOOKUP('Données projet'!$B$17,Paramètres!$A$1:$I$89,3,0)*0.475*44/12</f>
        <v>1.1024569161460056</v>
      </c>
      <c r="GN147" s="21">
        <f>EXP(-LN(2)/2)*GN146+(1-EXP(-LN(2)/2))/(LN(2)/2)*GH147*GK147*VLOOKUP('Données projet'!$B$17,Paramètres!$A$1:$I$89,3,0)*0.475*44/12</f>
        <v>2.4119132658741468E-16</v>
      </c>
      <c r="GO147" s="21">
        <f t="shared" si="135"/>
        <v>1.5206360672844468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-5.6843418860808015E-13</v>
      </c>
      <c r="GV147" s="17">
        <f>GU147*VLOOKUP('Données projet'!$B$18,Paramètres!$A$1:$I$89,3,0)*VLOOKUP('Données projet'!$B$18,Paramètres!$A$1:$I$89,5,0)</f>
        <v>-3.39923644787632E-13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-18.333333333333343</v>
      </c>
      <c r="HA147" s="59">
        <f t="shared" si="160"/>
        <v>-18.333333333333343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0.41817915113844095</v>
      </c>
      <c r="HH147" s="21">
        <f>EXP(-LN(2)/25)*HH146+(1-EXP(-LN(2)/25))/(LN(2)/25)*Calculateur!HC147*Calculateur!HE147*VLOOKUP('Données projet'!$B$18,Paramètres!$A$1:$I$89,3,0)*0.475*44/12</f>
        <v>1.1024569161460056</v>
      </c>
      <c r="HI147" s="21">
        <f>EXP(-LN(2)/2)*HI146+(1-EXP(-LN(2)/2))/(LN(2)/2)*HC147*HF147*VLOOKUP('Données projet'!$B$18,Paramètres!$A$1:$I$89,3,0)*0.475*44/12</f>
        <v>2.4119132658741468E-16</v>
      </c>
      <c r="HJ147" s="22">
        <f t="shared" si="138"/>
        <v>1.5206360672844468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376.11581547534814</v>
      </c>
      <c r="T148" s="59">
        <f t="shared" si="142"/>
        <v>300.91675649863294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0.32142601428306694</v>
      </c>
      <c r="AA148" s="21">
        <f>EXP(-LN(2)/25)*AA147+(1-EXP(-LN(2)/25))/(LN(2)/25)*Calculateur!V148*Calculateur!X148*VLOOKUP('Données projet'!$B$9,Paramètres!$A$1:$I$89,3,0)*0.475*44/12</f>
        <v>0.3239171049340171</v>
      </c>
      <c r="AB148" s="21">
        <f>EXP(-LN(2)/2)*AB147+(1-EXP(-LN(2)/2))/(LN(2)/2)*V148*Y148*VLOOKUP('Données projet'!$B$9,Paramètres!$A$1:$I$89,3,0)*0.475*44/12</f>
        <v>4.8241956700502249E-17</v>
      </c>
      <c r="AC148" s="22">
        <f t="shared" si="111"/>
        <v>0.64534311921708398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-5.6843418860808015E-13</v>
      </c>
      <c r="AJ148" s="13">
        <f>AI148*VLOOKUP('Données projet'!$B$10,Paramètres!$A$1:$I$89,3,0)*VLOOKUP('Données projet'!$B$10,Paramètres!$A$1:$I$89,5,0)</f>
        <v>-5.1431925385259092E-13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505.38595282220405</v>
      </c>
      <c r="AO148" s="59">
        <f t="shared" si="144"/>
        <v>351.72130415456365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0.24697763505881373</v>
      </c>
      <c r="AV148" s="21">
        <f>EXP(-LN(2)/25)*AV147+(1-EXP(-LN(2)/25))/(LN(2)/25)*Calculateur!AQ148*Calculateur!AS148*VLOOKUP('Données projet'!$B$10,Paramètres!$A$1:$I$89,3,0)*0.475*44/12</f>
        <v>0.46524275422770633</v>
      </c>
      <c r="AW148" s="21">
        <f>EXP(-LN(2)/2)*AW147+(1-EXP(-LN(2)/2))/(LN(2)/2)*AQ148*AT148*VLOOKUP('Données projet'!$B$10,Paramètres!$A$1:$I$89,3,0)*0.475*44/12</f>
        <v>1.0575228602655183E-16</v>
      </c>
      <c r="AX148" s="21">
        <f t="shared" si="114"/>
        <v>0.71222038928652021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-4.0702161641092972E-13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394.14657090341535</v>
      </c>
      <c r="BJ148" s="59">
        <f t="shared" si="146"/>
        <v>424.06445894109982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0.33459329769645868</v>
      </c>
      <c r="BQ148" s="21">
        <f>EXP(-LN(2)/25)*BQ147+(1-EXP(-LN(2)/25))/(LN(2)/25)*Calculateur!BL148*Calculateur!BN148*VLOOKUP('Données projet'!$B$11,Paramètres!$A$1:$I$89,3,0)*0.475*44/12</f>
        <v>0.84611806629020858</v>
      </c>
      <c r="BR148" s="21">
        <f>EXP(-LN(2)/2)*BR147+(1-EXP(-LN(2)/2))/(LN(2)/2)*BL148*BO148*VLOOKUP('Données projet'!$B$11,Paramètres!$A$1:$I$89,3,0)*0.475*44/12</f>
        <v>1.1794845748217241E-16</v>
      </c>
      <c r="BS148" s="22">
        <f t="shared" si="117"/>
        <v>1.1807113639866675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3.1036506698001181E-13</v>
      </c>
      <c r="CA148" s="13">
        <f t="shared" si="147"/>
        <v>4.086682523110923E-12</v>
      </c>
      <c r="CB148" s="20">
        <f t="shared" si="118"/>
        <v>7.6581912194083782E-12</v>
      </c>
      <c r="CC148" s="59">
        <f t="shared" si="119"/>
        <v>286.08581719180125</v>
      </c>
      <c r="CD148" s="59">
        <f ca="1">AVERAGE(OFFSET($CC$3,0,0,'Données projet'!$E$12+1,1))-AVERAGE(OFFSET($H$3,0,0,'Données projet'!$E$12+1,1))</f>
        <v>382.09004346384319</v>
      </c>
      <c r="CE148" s="59">
        <f t="shared" si="148"/>
        <v>410.18893995284986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0.87343333649508303</v>
      </c>
      <c r="CL148" s="21">
        <f>EXP(-LN(2)/25)*CL147+(1-EXP(-LN(2)/25))/(LN(2)/25)*Calculateur!CG148*Calculateur!CI148*VLOOKUP('Données projet'!$B$12,Paramètres!$A$1:$I$89,3,0)*0.475*44/12</f>
        <v>1.4035333387722988</v>
      </c>
      <c r="CM148" s="21">
        <f>EXP(-LN(2)/2)*CM147+(1-EXP(-LN(2)/2))/(LN(2)/2)*CG148*CJ148*VLOOKUP('Données projet'!$B$12,Paramètres!$A$1:$I$89,3,0)*0.475*44/12</f>
        <v>1.2355855416972769E-16</v>
      </c>
      <c r="CN148" s="22">
        <f t="shared" si="120"/>
        <v>2.2769666752673818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363.02374534486341</v>
      </c>
      <c r="CZ148" s="59">
        <f t="shared" si="150"/>
        <v>489.00477393029598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0.74944937535088385</v>
      </c>
      <c r="DG148" s="21">
        <f>EXP(-LN(2)/25)*DG147+(1-EXP(-LN(2)/25))/(LN(2)/25)*Calculateur!DB148*Calculateur!DD148*VLOOKUP('Données projet'!$B$13,Paramètres!$A$1:$I$89,3,0)*0.475*44/12</f>
        <v>0.79840242571595443</v>
      </c>
      <c r="DH148" s="21">
        <f>EXP(-LN(2)/2)*DH147+(1-EXP(-LN(2)/2))/(LN(2)/2)*DB148*DE148*VLOOKUP('Données projet'!$B$13,Paramètres!$A$1:$I$89,3,0)*0.475*44/12</f>
        <v>1.4383489057924747E-16</v>
      </c>
      <c r="DI148" s="22">
        <f t="shared" si="123"/>
        <v>1.5478518010668385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-3.7509835237869992E-13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368.03281986807173</v>
      </c>
      <c r="DU148" s="59">
        <f t="shared" si="152"/>
        <v>395.83504504492248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0.25017131137422988</v>
      </c>
      <c r="EB148" s="21">
        <f>EXP(-LN(2)/25)*EB147+(1-EXP(-LN(2)/25))/(LN(2)/25)*Calculateur!DW148*Calculateur!DY148*VLOOKUP('Données projet'!$B$14,Paramètres!$A$1:$I$89,3,0)*0.475*44/12</f>
        <v>0.63263211689697196</v>
      </c>
      <c r="EC148" s="21">
        <f>EXP(-LN(2)/2)*EC147+(1-EXP(-LN(2)/2))/(LN(2)/2)*DW148*DZ148*VLOOKUP('Données projet'!$B$14,Paramètres!$A$1:$I$89,3,0)*0.475*44/12</f>
        <v>1.0869759807180693E-16</v>
      </c>
      <c r="ED148" s="22">
        <f t="shared" si="126"/>
        <v>0.88280342827120195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225.2264820414552</v>
      </c>
      <c r="EP148" s="59">
        <f t="shared" si="154"/>
        <v>249.91838548328681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0.22685335347746879</v>
      </c>
      <c r="EW148" s="21">
        <f>EXP(-LN(2)/25)*EW147+(1-EXP(-LN(2)/25))/(LN(2)/25)*Calculateur!ER148*Calculateur!ET148*VLOOKUP('Données projet'!$B$15,Paramètres!$A$1:$I$89,3,0)*0.475*44/12</f>
        <v>0.35690995080020743</v>
      </c>
      <c r="EX148" s="21">
        <f>EXP(-LN(2)/2)*EX147+(1-EXP(-LN(2)/2))/(LN(2)/2)*ER148*EU148*VLOOKUP('Données projet'!$B$15,Paramètres!$A$1:$I$89,3,0)*0.475*44/12</f>
        <v>1.9849514195183005E-17</v>
      </c>
      <c r="EY148" s="22">
        <f t="shared" si="129"/>
        <v>0.5837633042776762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-1.2505552149377763E-12</v>
      </c>
      <c r="FF148" s="17">
        <f>FE148*VLOOKUP('Données projet'!$B$16,Paramètres!$A$1:$I$89,3,0)*VLOOKUP('Données projet'!$B$16,Paramètres!$A$1:$I$89,5,0)</f>
        <v>-6.9906036515021697E-13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549.85684198202534</v>
      </c>
      <c r="FK148" s="59">
        <f t="shared" si="156"/>
        <v>539.63748606275431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1.1710146489857582</v>
      </c>
      <c r="FR148" s="21">
        <f>EXP(-LN(2)/25)*FR147+(1-EXP(-LN(2)/25))/(LN(2)/25)*Calculateur!FM148*Calculateur!FO148*VLOOKUP('Données projet'!$B$16,Paramètres!$A$1:$I$89,3,0)*0.475*44/12</f>
        <v>1.5982296328295695</v>
      </c>
      <c r="FS148" s="21">
        <f>EXP(-LN(2)/2)*FS147+(1-EXP(-LN(2)/2))/(LN(2)/2)*FM148*FP148*VLOOKUP('Données projet'!$B$16,Paramètres!$A$1:$I$89,3,0)*0.475*44/12</f>
        <v>1.7895075490772814E-16</v>
      </c>
      <c r="FT148" s="22">
        <f t="shared" si="132"/>
        <v>2.769244281815328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-5.6843418860808015E-13</v>
      </c>
      <c r="GA148" s="17">
        <f>FZ148*VLOOKUP('Données projet'!$B$17,Paramètres!$A$1:$I$89,3,0)*VLOOKUP('Données projet'!$B$17,Paramètres!$A$1:$I$89,5,0)</f>
        <v>-3.39923644787632E-13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495.6641415122013</v>
      </c>
      <c r="GF148" s="59">
        <f t="shared" si="158"/>
        <v>488.90534169400757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0.40997891304871281</v>
      </c>
      <c r="GM148" s="21">
        <f>EXP(-LN(2)/25)*GM147+(1-EXP(-LN(2)/25))/(LN(2)/25)*Calculateur!GH148*Calculateur!GJ148*VLOOKUP('Données projet'!$B$17,Paramètres!$A$1:$I$89,3,0)*0.475*44/12</f>
        <v>1.0723101737983036</v>
      </c>
      <c r="GN148" s="21">
        <f>EXP(-LN(2)/2)*GN147+(1-EXP(-LN(2)/2))/(LN(2)/2)*GH148*GK148*VLOOKUP('Données projet'!$B$17,Paramètres!$A$1:$I$89,3,0)*0.475*44/12</f>
        <v>1.7054802259334016E-16</v>
      </c>
      <c r="GO148" s="21">
        <f t="shared" si="135"/>
        <v>1.4822890868470167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-5.6843418860808015E-13</v>
      </c>
      <c r="GV148" s="17">
        <f>GU148*VLOOKUP('Données projet'!$B$18,Paramètres!$A$1:$I$89,3,0)*VLOOKUP('Données projet'!$B$18,Paramètres!$A$1:$I$89,5,0)</f>
        <v>-3.39923644787632E-13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-18.333333333333343</v>
      </c>
      <c r="HA148" s="59">
        <f t="shared" si="160"/>
        <v>-18.333333333333343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0.40997891304871281</v>
      </c>
      <c r="HH148" s="21">
        <f>EXP(-LN(2)/25)*HH147+(1-EXP(-LN(2)/25))/(LN(2)/25)*Calculateur!HC148*Calculateur!HE148*VLOOKUP('Données projet'!$B$18,Paramètres!$A$1:$I$89,3,0)*0.475*44/12</f>
        <v>1.0723101737983036</v>
      </c>
      <c r="HI148" s="21">
        <f>EXP(-LN(2)/2)*HI147+(1-EXP(-LN(2)/2))/(LN(2)/2)*HC148*HF148*VLOOKUP('Données projet'!$B$18,Paramètres!$A$1:$I$89,3,0)*0.475*44/12</f>
        <v>1.7054802259334016E-16</v>
      </c>
      <c r="HJ148" s="22">
        <f t="shared" si="138"/>
        <v>1.4822890868470167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376.11581547534814</v>
      </c>
      <c r="T149" s="59">
        <f t="shared" si="142"/>
        <v>300.91675649863294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0.31512304619348636</v>
      </c>
      <c r="AA149" s="21">
        <f>EXP(-LN(2)/25)*AA148+(1-EXP(-LN(2)/25))/(LN(2)/25)*Calculateur!V149*Calculateur!X149*VLOOKUP('Données projet'!$B$9,Paramètres!$A$1:$I$89,3,0)*0.475*44/12</f>
        <v>0.31505957466553619</v>
      </c>
      <c r="AB149" s="21">
        <f>EXP(-LN(2)/2)*AB148+(1-EXP(-LN(2)/2))/(LN(2)/2)*V149*Y149*VLOOKUP('Données projet'!$B$9,Paramètres!$A$1:$I$89,3,0)*0.475*44/12</f>
        <v>3.4112214720632944E-17</v>
      </c>
      <c r="AC149" s="22">
        <f t="shared" si="111"/>
        <v>0.63018262085902255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-5.6843418860808015E-13</v>
      </c>
      <c r="AJ149" s="13">
        <f>AI149*VLOOKUP('Données projet'!$B$10,Paramètres!$A$1:$I$89,3,0)*VLOOKUP('Données projet'!$B$10,Paramètres!$A$1:$I$89,5,0)</f>
        <v>-5.1431925385259092E-13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505.38595282220405</v>
      </c>
      <c r="AO149" s="59">
        <f t="shared" si="144"/>
        <v>351.72130415456365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0.24213455427679317</v>
      </c>
      <c r="AV149" s="21">
        <f>EXP(-LN(2)/25)*AV148+(1-EXP(-LN(2)/25))/(LN(2)/25)*Calculateur!AQ149*Calculateur!AS149*VLOOKUP('Données projet'!$B$10,Paramètres!$A$1:$I$89,3,0)*0.475*44/12</f>
        <v>0.45252066664729657</v>
      </c>
      <c r="AW149" s="21">
        <f>EXP(-LN(2)/2)*AW148+(1-EXP(-LN(2)/2))/(LN(2)/2)*AQ149*AT149*VLOOKUP('Données projet'!$B$10,Paramètres!$A$1:$I$89,3,0)*0.475*44/12</f>
        <v>7.4778158575354173E-17</v>
      </c>
      <c r="AX149" s="21">
        <f t="shared" si="114"/>
        <v>0.69465522092408982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-4.0702161641092972E-13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394.14657090341535</v>
      </c>
      <c r="BJ149" s="59">
        <f t="shared" si="146"/>
        <v>424.06445894109982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0.32803212721039132</v>
      </c>
      <c r="BQ149" s="21">
        <f>EXP(-LN(2)/25)*BQ148+(1-EXP(-LN(2)/25))/(LN(2)/25)*Calculateur!BL149*Calculateur!BN149*VLOOKUP('Données projet'!$B$11,Paramètres!$A$1:$I$89,3,0)*0.475*44/12</f>
        <v>0.82298092327208761</v>
      </c>
      <c r="BR149" s="21">
        <f>EXP(-LN(2)/2)*BR148+(1-EXP(-LN(2)/2))/(LN(2)/2)*BL149*BO149*VLOOKUP('Données projet'!$B$11,Paramètres!$A$1:$I$89,3,0)*0.475*44/12</f>
        <v>8.3402154116137294E-17</v>
      </c>
      <c r="BS149" s="22">
        <f t="shared" si="117"/>
        <v>1.1510130504824789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3.1036506698001181E-13</v>
      </c>
      <c r="CA149" s="13">
        <f t="shared" si="147"/>
        <v>4.086682523110923E-12</v>
      </c>
      <c r="CB149" s="20">
        <f t="shared" si="118"/>
        <v>7.6581912194083782E-12</v>
      </c>
      <c r="CC149" s="59">
        <f t="shared" si="119"/>
        <v>286.21154539383832</v>
      </c>
      <c r="CD149" s="59">
        <f ca="1">AVERAGE(OFFSET($CC$3,0,0,'Données projet'!$E$12+1,1))-AVERAGE(OFFSET($H$3,0,0,'Données projet'!$E$12+1,1))</f>
        <v>382.09004346384319</v>
      </c>
      <c r="CE149" s="59">
        <f t="shared" si="148"/>
        <v>410.18893995284986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0.85630584150814582</v>
      </c>
      <c r="CL149" s="21">
        <f>EXP(-LN(2)/25)*CL148+(1-EXP(-LN(2)/25))/(LN(2)/25)*Calculateur!CG149*Calculateur!CI149*VLOOKUP('Données projet'!$B$12,Paramètres!$A$1:$I$89,3,0)*0.475*44/12</f>
        <v>1.3651536458149598</v>
      </c>
      <c r="CM149" s="21">
        <f>EXP(-LN(2)/2)*CM148+(1-EXP(-LN(2)/2))/(LN(2)/2)*CG149*CJ149*VLOOKUP('Données projet'!$B$12,Paramètres!$A$1:$I$89,3,0)*0.475*44/12</f>
        <v>8.7369091527019816E-17</v>
      </c>
      <c r="CN149" s="22">
        <f t="shared" si="120"/>
        <v>2.2214594873231057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363.02374534486341</v>
      </c>
      <c r="CZ149" s="59">
        <f t="shared" si="150"/>
        <v>489.00477393029598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0.73475313021923527</v>
      </c>
      <c r="DG149" s="21">
        <f>EXP(-LN(2)/25)*DG148+(1-EXP(-LN(2)/25))/(LN(2)/25)*Calculateur!DB149*Calculateur!DD149*VLOOKUP('Données projet'!$B$13,Paramètres!$A$1:$I$89,3,0)*0.475*44/12</f>
        <v>0.77657006939859285</v>
      </c>
      <c r="DH149" s="21">
        <f>EXP(-LN(2)/2)*DH148+(1-EXP(-LN(2)/2))/(LN(2)/2)*DB149*DE149*VLOOKUP('Données projet'!$B$13,Paramètres!$A$1:$I$89,3,0)*0.475*44/12</f>
        <v>1.0170662649981095E-16</v>
      </c>
      <c r="DI149" s="22">
        <f t="shared" si="123"/>
        <v>1.511323199617828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-3.7509835237869992E-13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368.03281986807173</v>
      </c>
      <c r="DU149" s="59">
        <f t="shared" si="152"/>
        <v>395.83504504492248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0.2452656045476142</v>
      </c>
      <c r="EB149" s="21">
        <f>EXP(-LN(2)/25)*EB148+(1-EXP(-LN(2)/25))/(LN(2)/25)*Calculateur!DW149*Calculateur!DY149*VLOOKUP('Données projet'!$B$14,Paramètres!$A$1:$I$89,3,0)*0.475*44/12</f>
        <v>0.61533275839174717</v>
      </c>
      <c r="EC149" s="21">
        <f>EXP(-LN(2)/2)*EC148+(1-EXP(-LN(2)/2))/(LN(2)/2)*DW149*DZ149*VLOOKUP('Données projet'!$B$14,Paramètres!$A$1:$I$89,3,0)*0.475*44/12</f>
        <v>7.6860808695264487E-17</v>
      </c>
      <c r="ED149" s="22">
        <f t="shared" si="126"/>
        <v>0.86059836293936154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225.2264820414552</v>
      </c>
      <c r="EP149" s="59">
        <f t="shared" si="154"/>
        <v>249.91838548328681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0.22240489758265866</v>
      </c>
      <c r="EW149" s="21">
        <f>EXP(-LN(2)/25)*EW148+(1-EXP(-LN(2)/25))/(LN(2)/25)*Calculateur!ER149*Calculateur!ET149*VLOOKUP('Données projet'!$B$15,Paramètres!$A$1:$I$89,3,0)*0.475*44/12</f>
        <v>0.3471502294264972</v>
      </c>
      <c r="EX149" s="21">
        <f>EXP(-LN(2)/2)*EX148+(1-EXP(-LN(2)/2))/(LN(2)/2)*ER149*EU149*VLOOKUP('Données projet'!$B$15,Paramètres!$A$1:$I$89,3,0)*0.475*44/12</f>
        <v>1.4035726090672538E-17</v>
      </c>
      <c r="EY149" s="22">
        <f t="shared" si="129"/>
        <v>0.56955512700915589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-1.2505552149377763E-12</v>
      </c>
      <c r="FF149" s="17">
        <f>FE149*VLOOKUP('Données projet'!$B$16,Paramètres!$A$1:$I$89,3,0)*VLOOKUP('Données projet'!$B$16,Paramètres!$A$1:$I$89,5,0)</f>
        <v>-6.9906036515021697E-13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549.85684198202534</v>
      </c>
      <c r="FK149" s="59">
        <f t="shared" si="156"/>
        <v>539.63748606275431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1.1480517659675573</v>
      </c>
      <c r="FR149" s="21">
        <f>EXP(-LN(2)/25)*FR148+(1-EXP(-LN(2)/25))/(LN(2)/25)*Calculateur!FM149*Calculateur!FO149*VLOOKUP('Données projet'!$B$16,Paramètres!$A$1:$I$89,3,0)*0.475*44/12</f>
        <v>1.5545259594726013</v>
      </c>
      <c r="FS149" s="21">
        <f>EXP(-LN(2)/2)*FS148+(1-EXP(-LN(2)/2))/(LN(2)/2)*FM149*FP149*VLOOKUP('Données projet'!$B$16,Paramètres!$A$1:$I$89,3,0)*0.475*44/12</f>
        <v>1.2653729229370642E-16</v>
      </c>
      <c r="FT149" s="22">
        <f t="shared" si="132"/>
        <v>2.7025777254401584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-5.6843418860808015E-13</v>
      </c>
      <c r="GA149" s="17">
        <f>FZ149*VLOOKUP('Données projet'!$B$17,Paramètres!$A$1:$I$89,3,0)*VLOOKUP('Données projet'!$B$17,Paramètres!$A$1:$I$89,5,0)</f>
        <v>-3.39923644787632E-13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495.6641415122013</v>
      </c>
      <c r="GF149" s="59">
        <f t="shared" si="158"/>
        <v>488.90534169400757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0.40193947662627288</v>
      </c>
      <c r="GM149" s="21">
        <f>EXP(-LN(2)/25)*GM148+(1-EXP(-LN(2)/25))/(LN(2)/25)*Calculateur!GH149*Calculateur!GJ149*VLOOKUP('Données projet'!$B$17,Paramètres!$A$1:$I$89,3,0)*0.475*44/12</f>
        <v>1.0429877957054479</v>
      </c>
      <c r="GN149" s="21">
        <f>EXP(-LN(2)/2)*GN148+(1-EXP(-LN(2)/2))/(LN(2)/2)*GH149*GK149*VLOOKUP('Données projet'!$B$17,Paramètres!$A$1:$I$89,3,0)*0.475*44/12</f>
        <v>1.2059566329370734E-16</v>
      </c>
      <c r="GO149" s="21">
        <f t="shared" si="135"/>
        <v>1.444927272331721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-5.6843418860808015E-13</v>
      </c>
      <c r="GV149" s="17">
        <f>GU149*VLOOKUP('Données projet'!$B$18,Paramètres!$A$1:$I$89,3,0)*VLOOKUP('Données projet'!$B$18,Paramètres!$A$1:$I$89,5,0)</f>
        <v>-3.39923644787632E-13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-18.333333333333343</v>
      </c>
      <c r="HA149" s="59">
        <f t="shared" si="160"/>
        <v>-18.333333333333343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0.40193947662627288</v>
      </c>
      <c r="HH149" s="21">
        <f>EXP(-LN(2)/25)*HH148+(1-EXP(-LN(2)/25))/(LN(2)/25)*Calculateur!HC149*Calculateur!HE149*VLOOKUP('Données projet'!$B$18,Paramètres!$A$1:$I$89,3,0)*0.475*44/12</f>
        <v>1.0429877957054479</v>
      </c>
      <c r="HI149" s="21">
        <f>EXP(-LN(2)/2)*HI148+(1-EXP(-LN(2)/2))/(LN(2)/2)*HC149*HF149*VLOOKUP('Données projet'!$B$18,Paramètres!$A$1:$I$89,3,0)*0.475*44/12</f>
        <v>1.2059566329370734E-16</v>
      </c>
      <c r="HJ149" s="22">
        <f t="shared" si="138"/>
        <v>1.444927272331721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376.11581547534814</v>
      </c>
      <c r="T150" s="59">
        <f t="shared" si="142"/>
        <v>300.91675649863294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0.30894367546371149</v>
      </c>
      <c r="AA150" s="21">
        <f>EXP(-LN(2)/25)*AA149+(1-EXP(-LN(2)/25))/(LN(2)/25)*Calculateur!V150*Calculateur!X150*VLOOKUP('Données projet'!$B$9,Paramètres!$A$1:$I$89,3,0)*0.475*44/12</f>
        <v>0.30644425402804415</v>
      </c>
      <c r="AB150" s="21">
        <f>EXP(-LN(2)/2)*AB149+(1-EXP(-LN(2)/2))/(LN(2)/2)*V150*Y150*VLOOKUP('Données projet'!$B$9,Paramètres!$A$1:$I$89,3,0)*0.475*44/12</f>
        <v>2.4120978350251125E-17</v>
      </c>
      <c r="AC150" s="22">
        <f t="shared" si="111"/>
        <v>0.61538792949175569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-5.6843418860808015E-13</v>
      </c>
      <c r="AJ150" s="13">
        <f>AI150*VLOOKUP('Données projet'!$B$10,Paramètres!$A$1:$I$89,3,0)*VLOOKUP('Données projet'!$B$10,Paramètres!$A$1:$I$89,5,0)</f>
        <v>-5.1431925385259092E-13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505.38595282220405</v>
      </c>
      <c r="AO150" s="59">
        <f t="shared" si="144"/>
        <v>351.72130415456365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0.23738644335492043</v>
      </c>
      <c r="AV150" s="21">
        <f>EXP(-LN(2)/25)*AV149+(1-EXP(-LN(2)/25))/(LN(2)/25)*Calculateur!AQ150*Calculateur!AS150*VLOOKUP('Données projet'!$B$10,Paramètres!$A$1:$I$89,3,0)*0.475*44/12</f>
        <v>0.44014646522079864</v>
      </c>
      <c r="AW150" s="21">
        <f>EXP(-LN(2)/2)*AW149+(1-EXP(-LN(2)/2))/(LN(2)/2)*AQ150*AT150*VLOOKUP('Données projet'!$B$10,Paramètres!$A$1:$I$89,3,0)*0.475*44/12</f>
        <v>5.2876143013275917E-17</v>
      </c>
      <c r="AX150" s="21">
        <f t="shared" si="114"/>
        <v>0.67753290857571913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-4.0702161641092972E-13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394.14657090341535</v>
      </c>
      <c r="BJ150" s="59">
        <f t="shared" si="146"/>
        <v>424.06445894109982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0.32159961727563691</v>
      </c>
      <c r="BQ150" s="21">
        <f>EXP(-LN(2)/25)*BQ149+(1-EXP(-LN(2)/25))/(LN(2)/25)*Calculateur!BL150*Calculateur!BN150*VLOOKUP('Données projet'!$B$11,Paramètres!$A$1:$I$89,3,0)*0.475*44/12</f>
        <v>0.80047646664652661</v>
      </c>
      <c r="BR150" s="21">
        <f>EXP(-LN(2)/2)*BR149+(1-EXP(-LN(2)/2))/(LN(2)/2)*BL150*BO150*VLOOKUP('Données projet'!$B$11,Paramètres!$A$1:$I$89,3,0)*0.475*44/12</f>
        <v>5.8974228741086207E-17</v>
      </c>
      <c r="BS150" s="22">
        <f t="shared" si="117"/>
        <v>1.1220760839221635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3.1036506698001181E-13</v>
      </c>
      <c r="CA150" s="13">
        <f t="shared" si="147"/>
        <v>4.086682523110923E-12</v>
      </c>
      <c r="CB150" s="20">
        <f t="shared" si="118"/>
        <v>7.6581912194083782E-12</v>
      </c>
      <c r="CC150" s="59">
        <f t="shared" si="119"/>
        <v>286.33509249265609</v>
      </c>
      <c r="CD150" s="59">
        <f ca="1">AVERAGE(OFFSET($CC$3,0,0,'Données projet'!$E$12+1,1))-AVERAGE(OFFSET($H$3,0,0,'Données projet'!$E$12+1,1))</f>
        <v>382.09004346384319</v>
      </c>
      <c r="CE150" s="59">
        <f t="shared" si="148"/>
        <v>410.18893995284986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0.83951420625116202</v>
      </c>
      <c r="CL150" s="21">
        <f>EXP(-LN(2)/25)*CL149+(1-EXP(-LN(2)/25))/(LN(2)/25)*Calculateur!CG150*Calculateur!CI150*VLOOKUP('Données projet'!$B$12,Paramètres!$A$1:$I$89,3,0)*0.475*44/12</f>
        <v>1.3278234475798396</v>
      </c>
      <c r="CM150" s="21">
        <f>EXP(-LN(2)/2)*CM149+(1-EXP(-LN(2)/2))/(LN(2)/2)*CG150*CJ150*VLOOKUP('Données projet'!$B$12,Paramètres!$A$1:$I$89,3,0)*0.475*44/12</f>
        <v>6.1779277084863844E-17</v>
      </c>
      <c r="CN150" s="22">
        <f t="shared" si="120"/>
        <v>2.1673376538310016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363.02374534486341</v>
      </c>
      <c r="CZ150" s="59">
        <f t="shared" si="150"/>
        <v>489.00477393029598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0.72034506949079391</v>
      </c>
      <c r="DG150" s="21">
        <f>EXP(-LN(2)/25)*DG149+(1-EXP(-LN(2)/25))/(LN(2)/25)*Calculateur!DB150*Calculateur!DD150*VLOOKUP('Données projet'!$B$13,Paramètres!$A$1:$I$89,3,0)*0.475*44/12</f>
        <v>0.7553347200128433</v>
      </c>
      <c r="DH150" s="21">
        <f>EXP(-LN(2)/2)*DH149+(1-EXP(-LN(2)/2))/(LN(2)/2)*DB150*DE150*VLOOKUP('Données projet'!$B$13,Paramètres!$A$1:$I$89,3,0)*0.475*44/12</f>
        <v>7.1917445289623733E-17</v>
      </c>
      <c r="DI150" s="22">
        <f t="shared" si="123"/>
        <v>1.4756797895036371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-3.7509835237869992E-13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368.03281986807173</v>
      </c>
      <c r="DU150" s="59">
        <f t="shared" si="152"/>
        <v>395.83504504492248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0.24045609563968276</v>
      </c>
      <c r="EB150" s="21">
        <f>EXP(-LN(2)/25)*EB149+(1-EXP(-LN(2)/25))/(LN(2)/25)*Calculateur!DW150*Calculateur!DY150*VLOOKUP('Données projet'!$B$14,Paramètres!$A$1:$I$89,3,0)*0.475*44/12</f>
        <v>0.59850645175458139</v>
      </c>
      <c r="EC150" s="21">
        <f>EXP(-LN(2)/2)*EC149+(1-EXP(-LN(2)/2))/(LN(2)/2)*DW150*DZ150*VLOOKUP('Données projet'!$B$14,Paramètres!$A$1:$I$89,3,0)*0.475*44/12</f>
        <v>5.4348799035903479E-17</v>
      </c>
      <c r="ED150" s="22">
        <f t="shared" si="126"/>
        <v>0.83896254739426412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225.2264820414552</v>
      </c>
      <c r="EP150" s="59">
        <f t="shared" si="154"/>
        <v>249.91838548328681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0.21804367319465556</v>
      </c>
      <c r="EW150" s="21">
        <f>EXP(-LN(2)/25)*EW149+(1-EXP(-LN(2)/25))/(LN(2)/25)*Calculateur!ER150*Calculateur!ET150*VLOOKUP('Données projet'!$B$15,Paramètres!$A$1:$I$89,3,0)*0.475*44/12</f>
        <v>0.33765738814699248</v>
      </c>
      <c r="EX150" s="21">
        <f>EXP(-LN(2)/2)*EX149+(1-EXP(-LN(2)/2))/(LN(2)/2)*ER150*EU150*VLOOKUP('Données projet'!$B$15,Paramètres!$A$1:$I$89,3,0)*0.475*44/12</f>
        <v>9.9247570975915025E-18</v>
      </c>
      <c r="EY150" s="22">
        <f t="shared" si="129"/>
        <v>0.55570106134164798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-1.2505552149377763E-12</v>
      </c>
      <c r="FF150" s="17">
        <f>FE150*VLOOKUP('Données projet'!$B$16,Paramètres!$A$1:$I$89,3,0)*VLOOKUP('Données projet'!$B$16,Paramètres!$A$1:$I$89,5,0)</f>
        <v>-6.9906036515021697E-13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549.85684198202534</v>
      </c>
      <c r="FK150" s="59">
        <f t="shared" si="156"/>
        <v>539.63748606275431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1.1255391710793676</v>
      </c>
      <c r="FR150" s="21">
        <f>EXP(-LN(2)/25)*FR149+(1-EXP(-LN(2)/25))/(LN(2)/25)*Calculateur!FM150*Calculateur!FO150*VLOOKUP('Données projet'!$B$16,Paramètres!$A$1:$I$89,3,0)*0.475*44/12</f>
        <v>1.5120173653618558</v>
      </c>
      <c r="FS150" s="21">
        <f>EXP(-LN(2)/2)*FS149+(1-EXP(-LN(2)/2))/(LN(2)/2)*FM150*FP150*VLOOKUP('Données projet'!$B$16,Paramètres!$A$1:$I$89,3,0)*0.475*44/12</f>
        <v>8.947537745386407E-17</v>
      </c>
      <c r="FT150" s="22">
        <f t="shared" si="132"/>
        <v>2.6375565364412235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-5.6843418860808015E-13</v>
      </c>
      <c r="GA150" s="17">
        <f>FZ150*VLOOKUP('Données projet'!$B$17,Paramètres!$A$1:$I$89,3,0)*VLOOKUP('Données projet'!$B$17,Paramètres!$A$1:$I$89,5,0)</f>
        <v>-3.39923644787632E-13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495.6641415122013</v>
      </c>
      <c r="GF150" s="59">
        <f t="shared" si="158"/>
        <v>488.90534169400757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0.39405768864850499</v>
      </c>
      <c r="GM150" s="21">
        <f>EXP(-LN(2)/25)*GM149+(1-EXP(-LN(2)/25))/(LN(2)/25)*Calculateur!GH150*Calculateur!GJ150*VLOOKUP('Données projet'!$B$17,Paramètres!$A$1:$I$89,3,0)*0.475*44/12</f>
        <v>1.0144672395835379</v>
      </c>
      <c r="GN150" s="21">
        <f>EXP(-LN(2)/2)*GN149+(1-EXP(-LN(2)/2))/(LN(2)/2)*GH150*GK150*VLOOKUP('Données projet'!$B$17,Paramètres!$A$1:$I$89,3,0)*0.475*44/12</f>
        <v>8.5274011296670079E-17</v>
      </c>
      <c r="GO150" s="21">
        <f t="shared" si="135"/>
        <v>1.4085249282320429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-5.6843418860808015E-13</v>
      </c>
      <c r="GV150" s="17">
        <f>GU150*VLOOKUP('Données projet'!$B$18,Paramètres!$A$1:$I$89,3,0)*VLOOKUP('Données projet'!$B$18,Paramètres!$A$1:$I$89,5,0)</f>
        <v>-3.39923644787632E-13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-18.333333333333343</v>
      </c>
      <c r="HA150" s="59">
        <f t="shared" si="160"/>
        <v>-18.333333333333343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0.39405768864850499</v>
      </c>
      <c r="HH150" s="21">
        <f>EXP(-LN(2)/25)*HH149+(1-EXP(-LN(2)/25))/(LN(2)/25)*Calculateur!HC150*Calculateur!HE150*VLOOKUP('Données projet'!$B$18,Paramètres!$A$1:$I$89,3,0)*0.475*44/12</f>
        <v>1.0144672395835379</v>
      </c>
      <c r="HI150" s="21">
        <f>EXP(-LN(2)/2)*HI149+(1-EXP(-LN(2)/2))/(LN(2)/2)*HC150*HF150*VLOOKUP('Données projet'!$B$18,Paramètres!$A$1:$I$89,3,0)*0.475*44/12</f>
        <v>8.5274011296670079E-17</v>
      </c>
      <c r="HJ150" s="22">
        <f t="shared" si="138"/>
        <v>1.4085249282320429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376.11581547534814</v>
      </c>
      <c r="T151" s="59">
        <f t="shared" si="142"/>
        <v>300.91675649863294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0.30288547842490354</v>
      </c>
      <c r="AA151" s="21">
        <f>EXP(-LN(2)/25)*AA150+(1-EXP(-LN(2)/25))/(LN(2)/25)*Calculateur!V151*Calculateur!X151*VLOOKUP('Données projet'!$B$9,Paramètres!$A$1:$I$89,3,0)*0.475*44/12</f>
        <v>0.29806451978644433</v>
      </c>
      <c r="AB151" s="21">
        <f>EXP(-LN(2)/2)*AB150+(1-EXP(-LN(2)/2))/(LN(2)/2)*V151*Y151*VLOOKUP('Données projet'!$B$9,Paramètres!$A$1:$I$89,3,0)*0.475*44/12</f>
        <v>1.7056107360316472E-17</v>
      </c>
      <c r="AC151" s="22">
        <f t="shared" si="111"/>
        <v>0.60094999821134787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-5.6843418860808015E-13</v>
      </c>
      <c r="AJ151" s="13">
        <f>AI151*VLOOKUP('Données projet'!$B$10,Paramètres!$A$1:$I$89,3,0)*VLOOKUP('Données projet'!$B$10,Paramètres!$A$1:$I$89,5,0)</f>
        <v>-5.1431925385259092E-13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505.38595282220405</v>
      </c>
      <c r="AO151" s="59">
        <f t="shared" si="144"/>
        <v>351.72130415456365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0.23273143999216392</v>
      </c>
      <c r="AV151" s="21">
        <f>EXP(-LN(2)/25)*AV150+(1-EXP(-LN(2)/25))/(LN(2)/25)*Calculateur!AQ151*Calculateur!AS151*VLOOKUP('Données projet'!$B$10,Paramètres!$A$1:$I$89,3,0)*0.475*44/12</f>
        <v>0.42811063698303925</v>
      </c>
      <c r="AW151" s="21">
        <f>EXP(-LN(2)/2)*AW150+(1-EXP(-LN(2)/2))/(LN(2)/2)*AQ151*AT151*VLOOKUP('Données projet'!$B$10,Paramètres!$A$1:$I$89,3,0)*0.475*44/12</f>
        <v>3.7389079287677087E-17</v>
      </c>
      <c r="AX151" s="21">
        <f t="shared" si="114"/>
        <v>0.66084207697520314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-4.0702161641092972E-13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394.14657090341535</v>
      </c>
      <c r="BJ151" s="59">
        <f t="shared" si="146"/>
        <v>424.06445894109982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0.31529324493725935</v>
      </c>
      <c r="BQ151" s="21">
        <f>EXP(-LN(2)/25)*BQ150+(1-EXP(-LN(2)/25))/(LN(2)/25)*Calculateur!BL151*Calculateur!BN151*VLOOKUP('Données projet'!$B$11,Paramètres!$A$1:$I$89,3,0)*0.475*44/12</f>
        <v>0.77858739557084944</v>
      </c>
      <c r="BR151" s="21">
        <f>EXP(-LN(2)/2)*BR150+(1-EXP(-LN(2)/2))/(LN(2)/2)*BL151*BO151*VLOOKUP('Données projet'!$B$11,Paramètres!$A$1:$I$89,3,0)*0.475*44/12</f>
        <v>4.1701077058068647E-17</v>
      </c>
      <c r="BS151" s="22">
        <f t="shared" si="117"/>
        <v>1.0938806405081087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3.1036506698001181E-13</v>
      </c>
      <c r="CA151" s="13">
        <f t="shared" si="147"/>
        <v>4.086682523110923E-12</v>
      </c>
      <c r="CB151" s="20">
        <f t="shared" si="118"/>
        <v>7.6581912194083782E-12</v>
      </c>
      <c r="CC151" s="59">
        <f t="shared" si="119"/>
        <v>286.45649632551937</v>
      </c>
      <c r="CD151" s="59">
        <f ca="1">AVERAGE(OFFSET($CC$3,0,0,'Données projet'!$E$12+1,1))-AVERAGE(OFFSET($H$3,0,0,'Données projet'!$E$12+1,1))</f>
        <v>382.09004346384319</v>
      </c>
      <c r="CE151" s="59">
        <f t="shared" si="148"/>
        <v>410.18893995284986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0.82305184471968151</v>
      </c>
      <c r="CL151" s="21">
        <f>EXP(-LN(2)/25)*CL150+(1-EXP(-LN(2)/25))/(LN(2)/25)*Calculateur!CG151*Calculateur!CI151*VLOOKUP('Données projet'!$B$12,Paramètres!$A$1:$I$89,3,0)*0.475*44/12</f>
        <v>1.2915140455785685</v>
      </c>
      <c r="CM151" s="21">
        <f>EXP(-LN(2)/2)*CM150+(1-EXP(-LN(2)/2))/(LN(2)/2)*CG151*CJ151*VLOOKUP('Données projet'!$B$12,Paramètres!$A$1:$I$89,3,0)*0.475*44/12</f>
        <v>4.3684545763509908E-17</v>
      </c>
      <c r="CN151" s="22">
        <f t="shared" si="120"/>
        <v>2.11456589029825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363.02374534486341</v>
      </c>
      <c r="CZ151" s="59">
        <f t="shared" si="150"/>
        <v>489.00477393029598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0.70621954204518789</v>
      </c>
      <c r="DG151" s="21">
        <f>EXP(-LN(2)/25)*DG150+(1-EXP(-LN(2)/25))/(LN(2)/25)*Calculateur!DB151*Calculateur!DD151*VLOOKUP('Données projet'!$B$13,Paramètres!$A$1:$I$89,3,0)*0.475*44/12</f>
        <v>0.73468005237276546</v>
      </c>
      <c r="DH151" s="21">
        <f>EXP(-LN(2)/2)*DH150+(1-EXP(-LN(2)/2))/(LN(2)/2)*DB151*DE151*VLOOKUP('Données projet'!$B$13,Paramètres!$A$1:$I$89,3,0)*0.475*44/12</f>
        <v>5.0853313249905473E-17</v>
      </c>
      <c r="DI151" s="22">
        <f t="shared" si="123"/>
        <v>1.4408995944179535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-3.7509835237869992E-13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368.03281986807173</v>
      </c>
      <c r="DU151" s="59">
        <f t="shared" si="152"/>
        <v>395.83504504492248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0.23574089826792508</v>
      </c>
      <c r="EB151" s="21">
        <f>EXP(-LN(2)/25)*EB150+(1-EXP(-LN(2)/25))/(LN(2)/25)*Calculateur!DW151*Calculateur!DY151*VLOOKUP('Données projet'!$B$14,Paramètres!$A$1:$I$89,3,0)*0.475*44/12</f>
        <v>0.58214026135726593</v>
      </c>
      <c r="EC151" s="21">
        <f>EXP(-LN(2)/2)*EC150+(1-EXP(-LN(2)/2))/(LN(2)/2)*DW151*DZ151*VLOOKUP('Données projet'!$B$14,Paramètres!$A$1:$I$89,3,0)*0.475*44/12</f>
        <v>3.843040434763225E-17</v>
      </c>
      <c r="ED151" s="22">
        <f t="shared" si="126"/>
        <v>0.81788115962519103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225.2264820414552</v>
      </c>
      <c r="EP151" s="59">
        <f t="shared" si="154"/>
        <v>249.91838548328681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0.213767969756817</v>
      </c>
      <c r="EW151" s="21">
        <f>EXP(-LN(2)/25)*EW150+(1-EXP(-LN(2)/25))/(LN(2)/25)*Calculateur!ER151*Calculateur!ET151*VLOOKUP('Données projet'!$B$15,Paramètres!$A$1:$I$89,3,0)*0.475*44/12</f>
        <v>0.32842412911148267</v>
      </c>
      <c r="EX151" s="21">
        <f>EXP(-LN(2)/2)*EX150+(1-EXP(-LN(2)/2))/(LN(2)/2)*ER151*EU151*VLOOKUP('Données projet'!$B$15,Paramètres!$A$1:$I$89,3,0)*0.475*44/12</f>
        <v>7.017863045336269E-18</v>
      </c>
      <c r="EY151" s="22">
        <f t="shared" si="129"/>
        <v>0.54219209886829967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-1.2505552149377763E-12</v>
      </c>
      <c r="FF151" s="17">
        <f>FE151*VLOOKUP('Données projet'!$B$16,Paramètres!$A$1:$I$89,3,0)*VLOOKUP('Données projet'!$B$16,Paramètres!$A$1:$I$89,5,0)</f>
        <v>-6.9906036515021697E-13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549.85684198202534</v>
      </c>
      <c r="FK151" s="59">
        <f t="shared" si="156"/>
        <v>539.63748606275431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1.1034680344456083</v>
      </c>
      <c r="FR151" s="21">
        <f>EXP(-LN(2)/25)*FR150+(1-EXP(-LN(2)/25))/(LN(2)/25)*Calculateur!FM151*Calculateur!FO151*VLOOKUP('Données projet'!$B$16,Paramètres!$A$1:$I$89,3,0)*0.475*44/12</f>
        <v>1.4706711709924984</v>
      </c>
      <c r="FS151" s="21">
        <f>EXP(-LN(2)/2)*FS150+(1-EXP(-LN(2)/2))/(LN(2)/2)*FM151*FP151*VLOOKUP('Données projet'!$B$16,Paramètres!$A$1:$I$89,3,0)*0.475*44/12</f>
        <v>6.3268646146853208E-17</v>
      </c>
      <c r="FT151" s="22">
        <f t="shared" si="132"/>
        <v>2.5741392054381067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-5.6843418860808015E-13</v>
      </c>
      <c r="GA151" s="17">
        <f>FZ151*VLOOKUP('Données projet'!$B$17,Paramètres!$A$1:$I$89,3,0)*VLOOKUP('Données projet'!$B$17,Paramètres!$A$1:$I$89,5,0)</f>
        <v>-3.39923644787632E-13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495.6641415122013</v>
      </c>
      <c r="GF151" s="59">
        <f t="shared" si="158"/>
        <v>488.90534169400757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0.38633045772556512</v>
      </c>
      <c r="GM151" s="21">
        <f>EXP(-LN(2)/25)*GM150+(1-EXP(-LN(2)/25))/(LN(2)/25)*Calculateur!GH151*Calculateur!GJ151*VLOOKUP('Données projet'!$B$17,Paramètres!$A$1:$I$89,3,0)*0.475*44/12</f>
        <v>0.98672657956861254</v>
      </c>
      <c r="GN151" s="21">
        <f>EXP(-LN(2)/2)*GN150+(1-EXP(-LN(2)/2))/(LN(2)/2)*GH151*GK151*VLOOKUP('Données projet'!$B$17,Paramètres!$A$1:$I$89,3,0)*0.475*44/12</f>
        <v>6.029783164685367E-17</v>
      </c>
      <c r="GO151" s="21">
        <f t="shared" si="135"/>
        <v>1.3730570372941777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-5.6843418860808015E-13</v>
      </c>
      <c r="GV151" s="17">
        <f>GU151*VLOOKUP('Données projet'!$B$18,Paramètres!$A$1:$I$89,3,0)*VLOOKUP('Données projet'!$B$18,Paramètres!$A$1:$I$89,5,0)</f>
        <v>-3.39923644787632E-13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-18.333333333333343</v>
      </c>
      <c r="HA151" s="59">
        <f t="shared" si="160"/>
        <v>-18.333333333333343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0.38633045772556512</v>
      </c>
      <c r="HH151" s="21">
        <f>EXP(-LN(2)/25)*HH150+(1-EXP(-LN(2)/25))/(LN(2)/25)*Calculateur!HC151*Calculateur!HE151*VLOOKUP('Données projet'!$B$18,Paramètres!$A$1:$I$89,3,0)*0.475*44/12</f>
        <v>0.98672657956861254</v>
      </c>
      <c r="HI151" s="21">
        <f>EXP(-LN(2)/2)*HI150+(1-EXP(-LN(2)/2))/(LN(2)/2)*HC151*HF151*VLOOKUP('Données projet'!$B$18,Paramètres!$A$1:$I$89,3,0)*0.475*44/12</f>
        <v>6.029783164685367E-17</v>
      </c>
      <c r="HJ151" s="22">
        <f t="shared" si="138"/>
        <v>1.3730570372941777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376.11581547534814</v>
      </c>
      <c r="T152" s="59">
        <f t="shared" si="142"/>
        <v>300.91675649863294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0.29694607893489128</v>
      </c>
      <c r="AA152" s="21">
        <f>EXP(-LN(2)/25)*AA151+(1-EXP(-LN(2)/25))/(LN(2)/25)*Calculateur!V152*Calculateur!X152*VLOOKUP('Données projet'!$B$9,Paramètres!$A$1:$I$89,3,0)*0.475*44/12</f>
        <v>0.28991392981835212</v>
      </c>
      <c r="AB152" s="21">
        <f>EXP(-LN(2)/2)*AB151+(1-EXP(-LN(2)/2))/(LN(2)/2)*V152*Y152*VLOOKUP('Données projet'!$B$9,Paramètres!$A$1:$I$89,3,0)*0.475*44/12</f>
        <v>1.2060489175125562E-17</v>
      </c>
      <c r="AC152" s="22">
        <f t="shared" si="111"/>
        <v>0.5868600087532434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-5.6843418860808015E-13</v>
      </c>
      <c r="AJ152" s="13">
        <f>AI152*VLOOKUP('Données projet'!$B$10,Paramètres!$A$1:$I$89,3,0)*VLOOKUP('Données projet'!$B$10,Paramètres!$A$1:$I$89,5,0)</f>
        <v>-5.1431925385259092E-13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505.38595282220405</v>
      </c>
      <c r="AO152" s="59">
        <f t="shared" si="144"/>
        <v>351.72130415456365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0.22816771840607936</v>
      </c>
      <c r="AV152" s="21">
        <f>EXP(-LN(2)/25)*AV151+(1-EXP(-LN(2)/25))/(LN(2)/25)*Calculateur!AQ152*Calculateur!AS152*VLOOKUP('Données projet'!$B$10,Paramètres!$A$1:$I$89,3,0)*0.475*44/12</f>
        <v>0.41640392910137808</v>
      </c>
      <c r="AW152" s="21">
        <f>EXP(-LN(2)/2)*AW151+(1-EXP(-LN(2)/2))/(LN(2)/2)*AQ152*AT152*VLOOKUP('Données projet'!$B$10,Paramètres!$A$1:$I$89,3,0)*0.475*44/12</f>
        <v>2.6438071506637958E-17</v>
      </c>
      <c r="AX152" s="21">
        <f t="shared" si="114"/>
        <v>0.64457164750745743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-4.0702161641092972E-13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394.14657090341535</v>
      </c>
      <c r="BJ152" s="59">
        <f t="shared" si="146"/>
        <v>424.06445894109982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0.30911053671393007</v>
      </c>
      <c r="BQ152" s="21">
        <f>EXP(-LN(2)/25)*BQ151+(1-EXP(-LN(2)/25))/(LN(2)/25)*Calculateur!BL152*Calculateur!BN152*VLOOKUP('Données projet'!$B$11,Paramètres!$A$1:$I$89,3,0)*0.475*44/12</f>
        <v>0.75729688229483294</v>
      </c>
      <c r="BR152" s="21">
        <f>EXP(-LN(2)/2)*BR151+(1-EXP(-LN(2)/2))/(LN(2)/2)*BL152*BO152*VLOOKUP('Données projet'!$B$11,Paramètres!$A$1:$I$89,3,0)*0.475*44/12</f>
        <v>2.9487114370543104E-17</v>
      </c>
      <c r="BS152" s="22">
        <f t="shared" si="117"/>
        <v>1.0664074190087631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3.1036506698001181E-13</v>
      </c>
      <c r="CA152" s="13">
        <f t="shared" si="147"/>
        <v>4.086682523110923E-12</v>
      </c>
      <c r="CB152" s="20">
        <f t="shared" si="118"/>
        <v>7.6581912194083782E-12</v>
      </c>
      <c r="CC152" s="59">
        <f t="shared" si="119"/>
        <v>286.57579407330076</v>
      </c>
      <c r="CD152" s="59">
        <f ca="1">AVERAGE(OFFSET($CC$3,0,0,'Données projet'!$E$12+1,1))-AVERAGE(OFFSET($H$3,0,0,'Données projet'!$E$12+1,1))</f>
        <v>382.09004346384319</v>
      </c>
      <c r="CE152" s="59">
        <f t="shared" si="148"/>
        <v>410.18893995284986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0.80691230005678427</v>
      </c>
      <c r="CL152" s="21">
        <f>EXP(-LN(2)/25)*CL151+(1-EXP(-LN(2)/25))/(LN(2)/25)*Calculateur!CG152*Calculateur!CI152*VLOOKUP('Données projet'!$B$12,Paramètres!$A$1:$I$89,3,0)*0.475*44/12</f>
        <v>1.2561975260844507</v>
      </c>
      <c r="CM152" s="21">
        <f>EXP(-LN(2)/2)*CM151+(1-EXP(-LN(2)/2))/(LN(2)/2)*CG152*CJ152*VLOOKUP('Données projet'!$B$12,Paramètres!$A$1:$I$89,3,0)*0.475*44/12</f>
        <v>3.0889638542431922E-17</v>
      </c>
      <c r="CN152" s="22">
        <f t="shared" si="120"/>
        <v>2.0631098261412348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363.02374534486341</v>
      </c>
      <c r="CZ152" s="59">
        <f t="shared" si="150"/>
        <v>489.00477393029598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0.69237100757706926</v>
      </c>
      <c r="DG152" s="21">
        <f>EXP(-LN(2)/25)*DG151+(1-EXP(-LN(2)/25))/(LN(2)/25)*Calculateur!DB152*Calculateur!DD152*VLOOKUP('Données projet'!$B$13,Paramètres!$A$1:$I$89,3,0)*0.475*44/12</f>
        <v>0.71459018770548732</v>
      </c>
      <c r="DH152" s="21">
        <f>EXP(-LN(2)/2)*DH151+(1-EXP(-LN(2)/2))/(LN(2)/2)*DB152*DE152*VLOOKUP('Données projet'!$B$13,Paramètres!$A$1:$I$89,3,0)*0.475*44/12</f>
        <v>3.5958722644811867E-17</v>
      </c>
      <c r="DI152" s="22">
        <f t="shared" si="123"/>
        <v>1.4069611952825567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-3.7509835237869992E-13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368.03281986807173</v>
      </c>
      <c r="DU152" s="59">
        <f t="shared" si="152"/>
        <v>395.83504504492248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0.23111816304064114</v>
      </c>
      <c r="EB152" s="21">
        <f>EXP(-LN(2)/25)*EB151+(1-EXP(-LN(2)/25))/(LN(2)/25)*Calculateur!DW152*Calculateur!DY152*VLOOKUP('Données projet'!$B$14,Paramètres!$A$1:$I$89,3,0)*0.475*44/12</f>
        <v>0.5662216052970257</v>
      </c>
      <c r="EC152" s="21">
        <f>EXP(-LN(2)/2)*EC151+(1-EXP(-LN(2)/2))/(LN(2)/2)*DW152*DZ152*VLOOKUP('Données projet'!$B$14,Paramètres!$A$1:$I$89,3,0)*0.475*44/12</f>
        <v>2.7174399517951743E-17</v>
      </c>
      <c r="ED152" s="22">
        <f t="shared" si="126"/>
        <v>0.79733976833766684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225.2264820414552</v>
      </c>
      <c r="EP152" s="59">
        <f t="shared" si="154"/>
        <v>249.91838548328681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0.20957611025547287</v>
      </c>
      <c r="EW152" s="21">
        <f>EXP(-LN(2)/25)*EW151+(1-EXP(-LN(2)/25))/(LN(2)/25)*Calculateur!ER152*Calculateur!ET152*VLOOKUP('Données projet'!$B$15,Paramètres!$A$1:$I$89,3,0)*0.475*44/12</f>
        <v>0.31944335402985485</v>
      </c>
      <c r="EX152" s="21">
        <f>EXP(-LN(2)/2)*EX151+(1-EXP(-LN(2)/2))/(LN(2)/2)*ER152*EU152*VLOOKUP('Données projet'!$B$15,Paramètres!$A$1:$I$89,3,0)*0.475*44/12</f>
        <v>4.9623785487957512E-18</v>
      </c>
      <c r="EY152" s="22">
        <f t="shared" si="129"/>
        <v>0.52901946428532776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-1.2505552149377763E-12</v>
      </c>
      <c r="FF152" s="17">
        <f>FE152*VLOOKUP('Données projet'!$B$16,Paramètres!$A$1:$I$89,3,0)*VLOOKUP('Données projet'!$B$16,Paramètres!$A$1:$I$89,5,0)</f>
        <v>-6.9906036515021697E-13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549.85684198202534</v>
      </c>
      <c r="FK152" s="59">
        <f t="shared" si="156"/>
        <v>539.63748606275431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1.0818296993391727</v>
      </c>
      <c r="FR152" s="21">
        <f>EXP(-LN(2)/25)*FR151+(1-EXP(-LN(2)/25))/(LN(2)/25)*Calculateur!FM152*Calculateur!FO152*VLOOKUP('Données projet'!$B$16,Paramètres!$A$1:$I$89,3,0)*0.475*44/12</f>
        <v>1.4304555904824729</v>
      </c>
      <c r="FS152" s="21">
        <f>EXP(-LN(2)/2)*FS151+(1-EXP(-LN(2)/2))/(LN(2)/2)*FM152*FP152*VLOOKUP('Données projet'!$B$16,Paramètres!$A$1:$I$89,3,0)*0.475*44/12</f>
        <v>4.4737688726932035E-17</v>
      </c>
      <c r="FT152" s="22">
        <f t="shared" si="132"/>
        <v>2.5122852898216457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-5.6843418860808015E-13</v>
      </c>
      <c r="GA152" s="17">
        <f>FZ152*VLOOKUP('Données projet'!$B$17,Paramètres!$A$1:$I$89,3,0)*VLOOKUP('Données projet'!$B$17,Paramètres!$A$1:$I$89,5,0)</f>
        <v>-3.39923644787632E-13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495.6641415122013</v>
      </c>
      <c r="GF152" s="59">
        <f t="shared" si="158"/>
        <v>488.90534169400757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0.37875475308787865</v>
      </c>
      <c r="GM152" s="21">
        <f>EXP(-LN(2)/25)*GM151+(1-EXP(-LN(2)/25))/(LN(2)/25)*Calculateur!GH152*Calculateur!GJ152*VLOOKUP('Données projet'!$B$17,Paramètres!$A$1:$I$89,3,0)*0.475*44/12</f>
        <v>0.95974448936061318</v>
      </c>
      <c r="GN152" s="21">
        <f>EXP(-LN(2)/2)*GN151+(1-EXP(-LN(2)/2))/(LN(2)/2)*GH152*GK152*VLOOKUP('Données projet'!$B$17,Paramètres!$A$1:$I$89,3,0)*0.475*44/12</f>
        <v>4.263700564833504E-17</v>
      </c>
      <c r="GO152" s="21">
        <f t="shared" si="135"/>
        <v>1.3384992424484918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-5.6843418860808015E-13</v>
      </c>
      <c r="GV152" s="17">
        <f>GU152*VLOOKUP('Données projet'!$B$18,Paramètres!$A$1:$I$89,3,0)*VLOOKUP('Données projet'!$B$18,Paramètres!$A$1:$I$89,5,0)</f>
        <v>-3.39923644787632E-13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-18.333333333333343</v>
      </c>
      <c r="HA152" s="59">
        <f t="shared" si="160"/>
        <v>-18.333333333333343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0.37875475308787865</v>
      </c>
      <c r="HH152" s="21">
        <f>EXP(-LN(2)/25)*HH151+(1-EXP(-LN(2)/25))/(LN(2)/25)*Calculateur!HC152*Calculateur!HE152*VLOOKUP('Données projet'!$B$18,Paramètres!$A$1:$I$89,3,0)*0.475*44/12</f>
        <v>0.95974448936061318</v>
      </c>
      <c r="HI152" s="21">
        <f>EXP(-LN(2)/2)*HI151+(1-EXP(-LN(2)/2))/(LN(2)/2)*HC152*HF152*VLOOKUP('Données projet'!$B$18,Paramètres!$A$1:$I$89,3,0)*0.475*44/12</f>
        <v>4.263700564833504E-17</v>
      </c>
      <c r="HJ152" s="22">
        <f t="shared" si="138"/>
        <v>1.3384992424484918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376.11581547534814</v>
      </c>
      <c r="T153" s="59">
        <f t="shared" si="142"/>
        <v>300.91675649863294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0.29112314744620216</v>
      </c>
      <c r="AA153" s="21">
        <f>EXP(-LN(2)/25)*AA152+(1-EXP(-LN(2)/25))/(LN(2)/25)*Calculateur!V153*Calculateur!X153*VLOOKUP('Données projet'!$B$9,Paramètres!$A$1:$I$89,3,0)*0.475*44/12</f>
        <v>0.28198621816155833</v>
      </c>
      <c r="AB153" s="21">
        <f>EXP(-LN(2)/2)*AB152+(1-EXP(-LN(2)/2))/(LN(2)/2)*V153*Y153*VLOOKUP('Données projet'!$B$9,Paramètres!$A$1:$I$89,3,0)*0.475*44/12</f>
        <v>8.5280536801582359E-18</v>
      </c>
      <c r="AC153" s="22">
        <f t="shared" si="111"/>
        <v>0.57310936560776049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-5.6843418860808015E-13</v>
      </c>
      <c r="AJ153" s="13">
        <f>AI153*VLOOKUP('Données projet'!$B$10,Paramètres!$A$1:$I$89,3,0)*VLOOKUP('Données projet'!$B$10,Paramètres!$A$1:$I$89,5,0)</f>
        <v>-5.1431925385259092E-13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505.38595282220405</v>
      </c>
      <c r="AO153" s="59">
        <f t="shared" si="144"/>
        <v>351.72130415456365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0.2236934886167026</v>
      </c>
      <c r="AV153" s="21">
        <f>EXP(-LN(2)/25)*AV152+(1-EXP(-LN(2)/25))/(LN(2)/25)*Calculateur!AQ153*Calculateur!AS153*VLOOKUP('Données projet'!$B$10,Paramètres!$A$1:$I$89,3,0)*0.475*44/12</f>
        <v>0.40501734176236998</v>
      </c>
      <c r="AW153" s="21">
        <f>EXP(-LN(2)/2)*AW152+(1-EXP(-LN(2)/2))/(LN(2)/2)*AQ153*AT153*VLOOKUP('Données projet'!$B$10,Paramètres!$A$1:$I$89,3,0)*0.475*44/12</f>
        <v>1.8694539643838543E-17</v>
      </c>
      <c r="AX153" s="21">
        <f t="shared" si="114"/>
        <v>0.6287108303790726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-4.0702161641092972E-13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394.14657090341535</v>
      </c>
      <c r="BJ153" s="59">
        <f t="shared" si="146"/>
        <v>424.06445894109982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0.30304906762778067</v>
      </c>
      <c r="BQ153" s="21">
        <f>EXP(-LN(2)/25)*BQ152+(1-EXP(-LN(2)/25))/(LN(2)/25)*Calculateur!BL153*Calculateur!BN153*VLOOKUP('Données projet'!$B$11,Paramètres!$A$1:$I$89,3,0)*0.475*44/12</f>
        <v>0.73658855922396849</v>
      </c>
      <c r="BR153" s="21">
        <f>EXP(-LN(2)/2)*BR152+(1-EXP(-LN(2)/2))/(LN(2)/2)*BL153*BO153*VLOOKUP('Données projet'!$B$11,Paramètres!$A$1:$I$89,3,0)*0.475*44/12</f>
        <v>2.0850538529034324E-17</v>
      </c>
      <c r="BS153" s="22">
        <f t="shared" si="117"/>
        <v>1.0396376268517491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3.1036506698001181E-13</v>
      </c>
      <c r="CA153" s="13">
        <f t="shared" si="147"/>
        <v>4.086682523110923E-12</v>
      </c>
      <c r="CB153" s="20">
        <f t="shared" si="118"/>
        <v>7.6581912194083782E-12</v>
      </c>
      <c r="CC153" s="59">
        <f t="shared" si="119"/>
        <v>286.69302227186802</v>
      </c>
      <c r="CD153" s="59">
        <f ca="1">AVERAGE(OFFSET($CC$3,0,0,'Données projet'!$E$12+1,1))-AVERAGE(OFFSET($H$3,0,0,'Données projet'!$E$12+1,1))</f>
        <v>382.09004346384319</v>
      </c>
      <c r="CE153" s="59">
        <f t="shared" si="148"/>
        <v>410.18893995284986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0.79108924202057618</v>
      </c>
      <c r="CL153" s="21">
        <f>EXP(-LN(2)/25)*CL152+(1-EXP(-LN(2)/25))/(LN(2)/25)*Calculateur!CG153*Calculateur!CI153*VLOOKUP('Données projet'!$B$12,Paramètres!$A$1:$I$89,3,0)*0.475*44/12</f>
        <v>1.2218467386731147</v>
      </c>
      <c r="CM153" s="21">
        <f>EXP(-LN(2)/2)*CM152+(1-EXP(-LN(2)/2))/(LN(2)/2)*CG153*CJ153*VLOOKUP('Données projet'!$B$12,Paramètres!$A$1:$I$89,3,0)*0.475*44/12</f>
        <v>2.1842272881754954E-17</v>
      </c>
      <c r="CN153" s="22">
        <f t="shared" si="120"/>
        <v>2.0129359806936908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363.02374534486341</v>
      </c>
      <c r="CZ153" s="59">
        <f t="shared" si="150"/>
        <v>489.00477393029598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0.67879403442309849</v>
      </c>
      <c r="DG153" s="21">
        <f>EXP(-LN(2)/25)*DG152+(1-EXP(-LN(2)/25))/(LN(2)/25)*Calculateur!DB153*Calculateur!DD153*VLOOKUP('Données projet'!$B$13,Paramètres!$A$1:$I$89,3,0)*0.475*44/12</f>
        <v>0.69504968144401602</v>
      </c>
      <c r="DH153" s="21">
        <f>EXP(-LN(2)/2)*DH152+(1-EXP(-LN(2)/2))/(LN(2)/2)*DB153*DE153*VLOOKUP('Données projet'!$B$13,Paramètres!$A$1:$I$89,3,0)*0.475*44/12</f>
        <v>2.5426656624952736E-17</v>
      </c>
      <c r="DI153" s="22">
        <f t="shared" si="123"/>
        <v>1.3738437158671144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-3.7509835237869992E-13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368.03281986807173</v>
      </c>
      <c r="DU153" s="59">
        <f t="shared" si="152"/>
        <v>395.83504504492248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0.22658607683157417</v>
      </c>
      <c r="EB153" s="21">
        <f>EXP(-LN(2)/25)*EB152+(1-EXP(-LN(2)/25))/(LN(2)/25)*Calculateur!DW153*Calculateur!DY153*VLOOKUP('Données projet'!$B$14,Paramètres!$A$1:$I$89,3,0)*0.475*44/12</f>
        <v>0.55073824572387842</v>
      </c>
      <c r="EC153" s="21">
        <f>EXP(-LN(2)/2)*EC152+(1-EXP(-LN(2)/2))/(LN(2)/2)*DW153*DZ153*VLOOKUP('Données projet'!$B$14,Paramètres!$A$1:$I$89,3,0)*0.475*44/12</f>
        <v>1.9215202173816128E-17</v>
      </c>
      <c r="ED153" s="22">
        <f t="shared" si="126"/>
        <v>0.77732432255545258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225.2264820414552</v>
      </c>
      <c r="EP153" s="59">
        <f t="shared" si="154"/>
        <v>249.91838548328681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0.20546645056216825</v>
      </c>
      <c r="EW153" s="21">
        <f>EXP(-LN(2)/25)*EW152+(1-EXP(-LN(2)/25))/(LN(2)/25)*Calculateur!ER153*Calculateur!ET153*VLOOKUP('Données projet'!$B$15,Paramètres!$A$1:$I$89,3,0)*0.475*44/12</f>
        <v>0.31070815871511259</v>
      </c>
      <c r="EX153" s="21">
        <f>EXP(-LN(2)/2)*EX152+(1-EXP(-LN(2)/2))/(LN(2)/2)*ER153*EU153*VLOOKUP('Données projet'!$B$15,Paramètres!$A$1:$I$89,3,0)*0.475*44/12</f>
        <v>3.5089315226681345E-18</v>
      </c>
      <c r="EY153" s="22">
        <f t="shared" si="129"/>
        <v>0.51617460927728087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-1.2505552149377763E-12</v>
      </c>
      <c r="FF153" s="17">
        <f>FE153*VLOOKUP('Données projet'!$B$16,Paramètres!$A$1:$I$89,3,0)*VLOOKUP('Données projet'!$B$16,Paramètres!$A$1:$I$89,5,0)</f>
        <v>-6.9906036515021697E-13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549.85684198202534</v>
      </c>
      <c r="FK153" s="59">
        <f t="shared" si="156"/>
        <v>539.63748606275431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1.0606156787860932</v>
      </c>
      <c r="FR153" s="21">
        <f>EXP(-LN(2)/25)*FR152+(1-EXP(-LN(2)/25))/(LN(2)/25)*Calculateur!FM153*Calculateur!FO153*VLOOKUP('Données projet'!$B$16,Paramètres!$A$1:$I$89,3,0)*0.475*44/12</f>
        <v>1.3913397071363396</v>
      </c>
      <c r="FS153" s="21">
        <f>EXP(-LN(2)/2)*FS152+(1-EXP(-LN(2)/2))/(LN(2)/2)*FM153*FP153*VLOOKUP('Données projet'!$B$16,Paramètres!$A$1:$I$89,3,0)*0.475*44/12</f>
        <v>3.1634323073426604E-17</v>
      </c>
      <c r="FT153" s="22">
        <f t="shared" si="132"/>
        <v>2.4519553859224326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-5.6843418860808015E-13</v>
      </c>
      <c r="GA153" s="17">
        <f>FZ153*VLOOKUP('Données projet'!$B$17,Paramètres!$A$1:$I$89,3,0)*VLOOKUP('Données projet'!$B$17,Paramètres!$A$1:$I$89,5,0)</f>
        <v>-3.39923644787632E-13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495.6641415122013</v>
      </c>
      <c r="GF153" s="59">
        <f t="shared" si="158"/>
        <v>488.90534169400757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0.37132760339741366</v>
      </c>
      <c r="GM153" s="21">
        <f>EXP(-LN(2)/25)*GM152+(1-EXP(-LN(2)/25))/(LN(2)/25)*Calculateur!GH153*Calculateur!GJ153*VLOOKUP('Données projet'!$B$17,Paramètres!$A$1:$I$89,3,0)*0.475*44/12</f>
        <v>0.93350022582827807</v>
      </c>
      <c r="GN153" s="21">
        <f>EXP(-LN(2)/2)*GN152+(1-EXP(-LN(2)/2))/(LN(2)/2)*GH153*GK153*VLOOKUP('Données projet'!$B$17,Paramètres!$A$1:$I$89,3,0)*0.475*44/12</f>
        <v>3.0148915823426835E-17</v>
      </c>
      <c r="GO153" s="21">
        <f t="shared" si="135"/>
        <v>1.3048278292256916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-5.6843418860808015E-13</v>
      </c>
      <c r="GV153" s="17">
        <f>GU153*VLOOKUP('Données projet'!$B$18,Paramètres!$A$1:$I$89,3,0)*VLOOKUP('Données projet'!$B$18,Paramètres!$A$1:$I$89,5,0)</f>
        <v>-3.39923644787632E-13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-18.333333333333343</v>
      </c>
      <c r="HA153" s="59">
        <f t="shared" si="160"/>
        <v>-18.333333333333343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0.37132760339741366</v>
      </c>
      <c r="HH153" s="21">
        <f>EXP(-LN(2)/25)*HH152+(1-EXP(-LN(2)/25))/(LN(2)/25)*Calculateur!HC153*Calculateur!HE153*VLOOKUP('Données projet'!$B$18,Paramètres!$A$1:$I$89,3,0)*0.475*44/12</f>
        <v>0.93350022582827807</v>
      </c>
      <c r="HI153" s="21">
        <f>EXP(-LN(2)/2)*HI152+(1-EXP(-LN(2)/2))/(LN(2)/2)*HC153*HF153*VLOOKUP('Données projet'!$B$18,Paramètres!$A$1:$I$89,3,0)*0.475*44/12</f>
        <v>3.0148915823426835E-17</v>
      </c>
      <c r="HJ153" s="22">
        <f t="shared" si="138"/>
        <v>1.3048278292256916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376.11581547534814</v>
      </c>
      <c r="T154" s="59">
        <f t="shared" si="142"/>
        <v>300.91675649863294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0.28541440009236874</v>
      </c>
      <c r="AA154" s="21">
        <f>EXP(-LN(2)/25)*AA153+(1-EXP(-LN(2)/25))/(LN(2)/25)*Calculateur!V154*Calculateur!X154*VLOOKUP('Données projet'!$B$9,Paramètres!$A$1:$I$89,3,0)*0.475*44/12</f>
        <v>0.27427529019691982</v>
      </c>
      <c r="AB154" s="21">
        <f>EXP(-LN(2)/2)*AB153+(1-EXP(-LN(2)/2))/(LN(2)/2)*V154*Y154*VLOOKUP('Données projet'!$B$9,Paramètres!$A$1:$I$89,3,0)*0.475*44/12</f>
        <v>6.0302445875627812E-18</v>
      </c>
      <c r="AC154" s="22">
        <f t="shared" ref="AC154:AC203" si="163">SUM(Z154:AB154)</f>
        <v>0.5596896902892885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-5.6843418860808015E-13</v>
      </c>
      <c r="AJ154" s="13">
        <f>AI154*VLOOKUP('Données projet'!$B$10,Paramètres!$A$1:$I$89,3,0)*VLOOKUP('Données projet'!$B$10,Paramètres!$A$1:$I$89,5,0)</f>
        <v>-5.1431925385259092E-13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505.38595282220405</v>
      </c>
      <c r="AO154" s="59">
        <f t="shared" si="144"/>
        <v>351.72130415456365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0.21930699574448484</v>
      </c>
      <c r="AV154" s="21">
        <f>EXP(-LN(2)/25)*AV153+(1-EXP(-LN(2)/25))/(LN(2)/25)*Calculateur!AQ154*Calculateur!AS154*VLOOKUP('Données projet'!$B$10,Paramètres!$A$1:$I$89,3,0)*0.475*44/12</f>
        <v>0.39394212125294165</v>
      </c>
      <c r="AW154" s="21">
        <f>EXP(-LN(2)/2)*AW153+(1-EXP(-LN(2)/2))/(LN(2)/2)*AQ154*AT154*VLOOKUP('Données projet'!$B$10,Paramètres!$A$1:$I$89,3,0)*0.475*44/12</f>
        <v>1.3219035753318979E-17</v>
      </c>
      <c r="AX154" s="21">
        <f t="shared" ref="AX154:AX203" si="166">SUM(AU154:AW154)</f>
        <v>0.61324911699742646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-4.0702161641092972E-13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394.14657090341535</v>
      </c>
      <c r="BJ154" s="59">
        <f t="shared" si="146"/>
        <v>424.06445894109982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0.29710646025327953</v>
      </c>
      <c r="BQ154" s="21">
        <f>EXP(-LN(2)/25)*BQ153+(1-EXP(-LN(2)/25))/(LN(2)/25)*Calculateur!BL154*Calculateur!BN154*VLOOKUP('Données projet'!$B$11,Paramètres!$A$1:$I$89,3,0)*0.475*44/12</f>
        <v>0.71644650633648022</v>
      </c>
      <c r="BR154" s="21">
        <f>EXP(-LN(2)/2)*BR153+(1-EXP(-LN(2)/2))/(LN(2)/2)*BL154*BO154*VLOOKUP('Données projet'!$B$11,Paramètres!$A$1:$I$89,3,0)*0.475*44/12</f>
        <v>1.4743557185271552E-17</v>
      </c>
      <c r="BS154" s="22">
        <f t="shared" ref="BS154:BS203" si="169">SUM(BP154:BR154)</f>
        <v>1.0135529665897598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3.1036506698001181E-13</v>
      </c>
      <c r="CA154" s="13">
        <f t="shared" ref="CA154:CA203" si="170">EXP(-1.0587+0.8836*LN(BZ154)+0.284)</f>
        <v>4.086682523110923E-12</v>
      </c>
      <c r="CB154" s="20">
        <f t="shared" ref="CB154:CB203" si="171">(BZ154+CA154)*0.475*44/12</f>
        <v>7.6581912194083782E-12</v>
      </c>
      <c r="CC154" s="59">
        <f t="shared" si="119"/>
        <v>286.80821682327303</v>
      </c>
      <c r="CD154" s="59">
        <f ca="1">AVERAGE(OFFSET($CC$3,0,0,'Données projet'!$E$12+1,1))-AVERAGE(OFFSET($H$3,0,0,'Données projet'!$E$12+1,1))</f>
        <v>382.09004346384319</v>
      </c>
      <c r="CE154" s="59">
        <f t="shared" si="148"/>
        <v>410.18893995284986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0.77557646450134576</v>
      </c>
      <c r="CL154" s="21">
        <f>EXP(-LN(2)/25)*CL153+(1-EXP(-LN(2)/25))/(LN(2)/25)*Calculateur!CG154*Calculateur!CI154*VLOOKUP('Données projet'!$B$12,Paramètres!$A$1:$I$89,3,0)*0.475*44/12</f>
        <v>1.188435275349971</v>
      </c>
      <c r="CM154" s="21">
        <f>EXP(-LN(2)/2)*CM153+(1-EXP(-LN(2)/2))/(LN(2)/2)*CG154*CJ154*VLOOKUP('Données projet'!$B$12,Paramètres!$A$1:$I$89,3,0)*0.475*44/12</f>
        <v>1.5444819271215961E-17</v>
      </c>
      <c r="CN154" s="22">
        <f t="shared" ref="CN154:CN203" si="172">SUM(CK154:CM154)</f>
        <v>1.9640117398513168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363.02374534486341</v>
      </c>
      <c r="CZ154" s="59">
        <f t="shared" si="150"/>
        <v>489.00477393029598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0.66548329743154111</v>
      </c>
      <c r="DG154" s="21">
        <f>EXP(-LN(2)/25)*DG153+(1-EXP(-LN(2)/25))/(LN(2)/25)*Calculateur!DB154*Calculateur!DD154*VLOOKUP('Données projet'!$B$13,Paramètres!$A$1:$I$89,3,0)*0.475*44/12</f>
        <v>0.67604351135385521</v>
      </c>
      <c r="DH154" s="21">
        <f>EXP(-LN(2)/2)*DH153+(1-EXP(-LN(2)/2))/(LN(2)/2)*DB154*DE154*VLOOKUP('Données projet'!$B$13,Paramètres!$A$1:$I$89,3,0)*0.475*44/12</f>
        <v>1.7979361322405933E-17</v>
      </c>
      <c r="DI154" s="22">
        <f t="shared" ref="DI154:DI203" si="175">SUM(DF154:DH154)</f>
        <v>1.3415268087853964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-3.7509835237869992E-13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368.03281986807173</v>
      </c>
      <c r="DU154" s="59">
        <f t="shared" si="152"/>
        <v>395.83504504492248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0.22214286206876738</v>
      </c>
      <c r="EB154" s="21">
        <f>EXP(-LN(2)/25)*EB153+(1-EXP(-LN(2)/25))/(LN(2)/25)*Calculateur!DW154*Calculateur!DY154*VLOOKUP('Données projet'!$B$14,Paramètres!$A$1:$I$89,3,0)*0.475*44/12</f>
        <v>0.53567827943249335</v>
      </c>
      <c r="EC154" s="21">
        <f>EXP(-LN(2)/2)*EC153+(1-EXP(-LN(2)/2))/(LN(2)/2)*DW154*DZ154*VLOOKUP('Données projet'!$B$14,Paramètres!$A$1:$I$89,3,0)*0.475*44/12</f>
        <v>1.3587199758975874E-17</v>
      </c>
      <c r="ED154" s="22">
        <f t="shared" ref="ED154:ED203" si="178">SUM(EA154:EC154)</f>
        <v>0.75782114150126079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225.2264820414552</v>
      </c>
      <c r="EP154" s="59">
        <f t="shared" si="154"/>
        <v>249.91838548328681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0.20143737878880444</v>
      </c>
      <c r="EW154" s="21">
        <f>EXP(-LN(2)/25)*EW153+(1-EXP(-LN(2)/25))/(LN(2)/25)*Calculateur!ER154*Calculateur!ET154*VLOOKUP('Données projet'!$B$15,Paramètres!$A$1:$I$89,3,0)*0.475*44/12</f>
        <v>0.30221182777561589</v>
      </c>
      <c r="EX154" s="21">
        <f>EXP(-LN(2)/2)*EX153+(1-EXP(-LN(2)/2))/(LN(2)/2)*ER154*EU154*VLOOKUP('Données projet'!$B$15,Paramètres!$A$1:$I$89,3,0)*0.475*44/12</f>
        <v>2.4811892743978756E-18</v>
      </c>
      <c r="EY154" s="22">
        <f t="shared" ref="EY154:EY203" si="181">SUM(EV154:EX154)</f>
        <v>0.50364920656442036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-1.2505552149377763E-12</v>
      </c>
      <c r="FF154" s="17">
        <f>FE154*VLOOKUP('Données projet'!$B$16,Paramètres!$A$1:$I$89,3,0)*VLOOKUP('Données projet'!$B$16,Paramètres!$A$1:$I$89,5,0)</f>
        <v>-6.9906036515021697E-13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549.85684198202534</v>
      </c>
      <c r="FK154" s="59">
        <f t="shared" si="156"/>
        <v>539.63748606275431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1.0398176522367848</v>
      </c>
      <c r="FR154" s="21">
        <f>EXP(-LN(2)/25)*FR153+(1-EXP(-LN(2)/25))/(LN(2)/25)*Calculateur!FM154*Calculateur!FO154*VLOOKUP('Données projet'!$B$16,Paramètres!$A$1:$I$89,3,0)*0.475*44/12</f>
        <v>1.3532934496773212</v>
      </c>
      <c r="FS154" s="21">
        <f>EXP(-LN(2)/2)*FS153+(1-EXP(-LN(2)/2))/(LN(2)/2)*FM154*FP154*VLOOKUP('Données projet'!$B$16,Paramètres!$A$1:$I$89,3,0)*0.475*44/12</f>
        <v>2.2368844363466017E-17</v>
      </c>
      <c r="FT154" s="22">
        <f t="shared" ref="FT154:FT203" si="184">SUM(FQ154:FS154)</f>
        <v>2.3931111019141058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-5.6843418860808015E-13</v>
      </c>
      <c r="GA154" s="17">
        <f>FZ154*VLOOKUP('Données projet'!$B$17,Paramètres!$A$1:$I$89,3,0)*VLOOKUP('Données projet'!$B$17,Paramètres!$A$1:$I$89,5,0)</f>
        <v>-3.39923644787632E-13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495.6641415122013</v>
      </c>
      <c r="GF154" s="59">
        <f t="shared" si="158"/>
        <v>488.90534169400757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0.36404609558226469</v>
      </c>
      <c r="GM154" s="21">
        <f>EXP(-LN(2)/25)*GM153+(1-EXP(-LN(2)/25))/(LN(2)/25)*Calculateur!GH154*Calculateur!GJ154*VLOOKUP('Données projet'!$B$17,Paramètres!$A$1:$I$89,3,0)*0.475*44/12</f>
        <v>0.90797361306236046</v>
      </c>
      <c r="GN154" s="21">
        <f>EXP(-LN(2)/2)*GN153+(1-EXP(-LN(2)/2))/(LN(2)/2)*GH154*GK154*VLOOKUP('Données projet'!$B$17,Paramètres!$A$1:$I$89,3,0)*0.475*44/12</f>
        <v>2.131850282416752E-17</v>
      </c>
      <c r="GO154" s="21">
        <f t="shared" ref="GO154:GO203" si="187">SUM(GL154:GN154)</f>
        <v>1.2720197086446252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-5.6843418860808015E-13</v>
      </c>
      <c r="GV154" s="17">
        <f>GU154*VLOOKUP('Données projet'!$B$18,Paramètres!$A$1:$I$89,3,0)*VLOOKUP('Données projet'!$B$18,Paramètres!$A$1:$I$89,5,0)</f>
        <v>-3.39923644787632E-13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-18.333333333333343</v>
      </c>
      <c r="HA154" s="59">
        <f t="shared" si="160"/>
        <v>-18.333333333333343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0.36404609558226469</v>
      </c>
      <c r="HH154" s="21">
        <f>EXP(-LN(2)/25)*HH153+(1-EXP(-LN(2)/25))/(LN(2)/25)*Calculateur!HC154*Calculateur!HE154*VLOOKUP('Données projet'!$B$18,Paramètres!$A$1:$I$89,3,0)*0.475*44/12</f>
        <v>0.90797361306236046</v>
      </c>
      <c r="HI154" s="21">
        <f>EXP(-LN(2)/2)*HI153+(1-EXP(-LN(2)/2))/(LN(2)/2)*HC154*HF154*VLOOKUP('Données projet'!$B$18,Paramètres!$A$1:$I$89,3,0)*0.475*44/12</f>
        <v>2.131850282416752E-17</v>
      </c>
      <c r="HJ154" s="22">
        <f t="shared" ref="HJ154:HJ203" si="190">SUM(HG154:HI154)</f>
        <v>1.2720197086446252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376.11581547534814</v>
      </c>
      <c r="T155" s="59">
        <f t="shared" si="142"/>
        <v>300.91675649863294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0.27981759779215193</v>
      </c>
      <c r="AA155" s="21">
        <f>EXP(-LN(2)/25)*AA154+(1-EXP(-LN(2)/25))/(LN(2)/25)*Calculateur!V155*Calculateur!X155*VLOOKUP('Données projet'!$B$9,Paramètres!$A$1:$I$89,3,0)*0.475*44/12</f>
        <v>0.26677521796297438</v>
      </c>
      <c r="AB155" s="21">
        <f>EXP(-LN(2)/2)*AB154+(1-EXP(-LN(2)/2))/(LN(2)/2)*V155*Y155*VLOOKUP('Données projet'!$B$9,Paramètres!$A$1:$I$89,3,0)*0.475*44/12</f>
        <v>4.264026840079118E-18</v>
      </c>
      <c r="AC155" s="22">
        <f t="shared" si="163"/>
        <v>0.5465928157551263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-5.6843418860808015E-13</v>
      </c>
      <c r="AJ155" s="13">
        <f>AI155*VLOOKUP('Données projet'!$B$10,Paramètres!$A$1:$I$89,3,0)*VLOOKUP('Données projet'!$B$10,Paramètres!$A$1:$I$89,5,0)</f>
        <v>-5.1431925385259092E-13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505.38595282220405</v>
      </c>
      <c r="AO155" s="59">
        <f t="shared" si="144"/>
        <v>351.72130415456365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0.2150065193219948</v>
      </c>
      <c r="AV155" s="21">
        <f>EXP(-LN(2)/25)*AV154+(1-EXP(-LN(2)/25))/(LN(2)/25)*Calculateur!AQ155*Calculateur!AS155*VLOOKUP('Données projet'!$B$10,Paramètres!$A$1:$I$89,3,0)*0.475*44/12</f>
        <v>0.38316975323076419</v>
      </c>
      <c r="AW155" s="21">
        <f>EXP(-LN(2)/2)*AW154+(1-EXP(-LN(2)/2))/(LN(2)/2)*AQ155*AT155*VLOOKUP('Données projet'!$B$10,Paramètres!$A$1:$I$89,3,0)*0.475*44/12</f>
        <v>9.3472698219192717E-18</v>
      </c>
      <c r="AX155" s="21">
        <f t="shared" si="166"/>
        <v>0.59817627255275896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-4.0702161641092972E-13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394.14657090341535</v>
      </c>
      <c r="BJ155" s="59">
        <f t="shared" si="146"/>
        <v>424.06445894109982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0.29128038378475979</v>
      </c>
      <c r="BQ155" s="21">
        <f>EXP(-LN(2)/25)*BQ154+(1-EXP(-LN(2)/25))/(LN(2)/25)*Calculateur!BL155*Calculateur!BN155*VLOOKUP('Données projet'!$B$11,Paramètres!$A$1:$I$89,3,0)*0.475*44/12</f>
        <v>0.6968552389444248</v>
      </c>
      <c r="BR155" s="21">
        <f>EXP(-LN(2)/2)*BR154+(1-EXP(-LN(2)/2))/(LN(2)/2)*BL155*BO155*VLOOKUP('Données projet'!$B$11,Paramètres!$A$1:$I$89,3,0)*0.475*44/12</f>
        <v>1.0425269264517162E-17</v>
      </c>
      <c r="BS155" s="22">
        <f t="shared" si="169"/>
        <v>0.98813562272918465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3.1036506698001181E-13</v>
      </c>
      <c r="CA155" s="13">
        <f t="shared" si="170"/>
        <v>4.086682523110923E-12</v>
      </c>
      <c r="CB155" s="20">
        <f t="shared" si="171"/>
        <v>7.6581912194083782E-12</v>
      </c>
      <c r="CC155" s="59">
        <f t="shared" si="119"/>
        <v>286.92141300674757</v>
      </c>
      <c r="CD155" s="59">
        <f ca="1">AVERAGE(OFFSET($CC$3,0,0,'Données projet'!$E$12+1,1))-AVERAGE(OFFSET($H$3,0,0,'Données projet'!$E$12+1,1))</f>
        <v>382.09004346384319</v>
      </c>
      <c r="CE155" s="59">
        <f t="shared" si="148"/>
        <v>410.18893995284986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0.76036788308740744</v>
      </c>
      <c r="CL155" s="21">
        <f>EXP(-LN(2)/25)*CL154+(1-EXP(-LN(2)/25))/(LN(2)/25)*Calculateur!CG155*Calculateur!CI155*VLOOKUP('Données projet'!$B$12,Paramètres!$A$1:$I$89,3,0)*0.475*44/12</f>
        <v>1.155937450248431</v>
      </c>
      <c r="CM155" s="21">
        <f>EXP(-LN(2)/2)*CM154+(1-EXP(-LN(2)/2))/(LN(2)/2)*CG155*CJ155*VLOOKUP('Données projet'!$B$12,Paramètres!$A$1:$I$89,3,0)*0.475*44/12</f>
        <v>1.0921136440877477E-17</v>
      </c>
      <c r="CN155" s="22">
        <f t="shared" si="172"/>
        <v>1.9163053333358384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363.02374534486341</v>
      </c>
      <c r="CZ155" s="59">
        <f t="shared" si="150"/>
        <v>489.00477393029598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0.65243357587364026</v>
      </c>
      <c r="DG155" s="21">
        <f>EXP(-LN(2)/25)*DG154+(1-EXP(-LN(2)/25))/(LN(2)/25)*Calculateur!DB155*Calculateur!DD155*VLOOKUP('Données projet'!$B$13,Paramètres!$A$1:$I$89,3,0)*0.475*44/12</f>
        <v>0.65755706598430086</v>
      </c>
      <c r="DH155" s="21">
        <f>EXP(-LN(2)/2)*DH154+(1-EXP(-LN(2)/2))/(LN(2)/2)*DB155*DE155*VLOOKUP('Données projet'!$B$13,Paramètres!$A$1:$I$89,3,0)*0.475*44/12</f>
        <v>1.2713328312476368E-17</v>
      </c>
      <c r="DI155" s="22">
        <f t="shared" si="175"/>
        <v>1.309990641857941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-3.7509835237869992E-13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368.03281986807173</v>
      </c>
      <c r="DU155" s="59">
        <f t="shared" si="152"/>
        <v>395.83504504492248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0.21778677603736582</v>
      </c>
      <c r="EB155" s="21">
        <f>EXP(-LN(2)/25)*EB154+(1-EXP(-LN(2)/25))/(LN(2)/25)*Calculateur!DW155*Calculateur!DY155*VLOOKUP('Données projet'!$B$14,Paramètres!$A$1:$I$89,3,0)*0.475*44/12</f>
        <v>0.52103012871131538</v>
      </c>
      <c r="EC155" s="21">
        <f>EXP(-LN(2)/2)*EC154+(1-EXP(-LN(2)/2))/(LN(2)/2)*DW155*DZ155*VLOOKUP('Données projet'!$B$14,Paramètres!$A$1:$I$89,3,0)*0.475*44/12</f>
        <v>9.6076010869080655E-18</v>
      </c>
      <c r="ED155" s="22">
        <f t="shared" si="178"/>
        <v>0.73881690474868122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225.2264820414552</v>
      </c>
      <c r="EP155" s="59">
        <f t="shared" si="154"/>
        <v>249.91838548328681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0.19748731465542516</v>
      </c>
      <c r="EW155" s="21">
        <f>EXP(-LN(2)/25)*EW154+(1-EXP(-LN(2)/25))/(LN(2)/25)*Calculateur!ER155*Calculateur!ET155*VLOOKUP('Données projet'!$B$15,Paramètres!$A$1:$I$89,3,0)*0.475*44/12</f>
        <v>0.29394782945246239</v>
      </c>
      <c r="EX155" s="21">
        <f>EXP(-LN(2)/2)*EX154+(1-EXP(-LN(2)/2))/(LN(2)/2)*ER155*EU155*VLOOKUP('Données projet'!$B$15,Paramètres!$A$1:$I$89,3,0)*0.475*44/12</f>
        <v>1.7544657613340672E-18</v>
      </c>
      <c r="EY155" s="22">
        <f t="shared" si="181"/>
        <v>0.49143514410788758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-1.2505552149377763E-12</v>
      </c>
      <c r="FF155" s="17">
        <f>FE155*VLOOKUP('Données projet'!$B$16,Paramètres!$A$1:$I$89,3,0)*VLOOKUP('Données projet'!$B$16,Paramètres!$A$1:$I$89,5,0)</f>
        <v>-6.9906036515021697E-13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549.85684198202534</v>
      </c>
      <c r="FK155" s="59">
        <f t="shared" si="156"/>
        <v>539.63748606275431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1.0194274623025648</v>
      </c>
      <c r="FR155" s="21">
        <f>EXP(-LN(2)/25)*FR154+(1-EXP(-LN(2)/25))/(LN(2)/25)*Calculateur!FM155*Calculateur!FO155*VLOOKUP('Données projet'!$B$16,Paramètres!$A$1:$I$89,3,0)*0.475*44/12</f>
        <v>1.3162875691292855</v>
      </c>
      <c r="FS155" s="21">
        <f>EXP(-LN(2)/2)*FS154+(1-EXP(-LN(2)/2))/(LN(2)/2)*FM155*FP155*VLOOKUP('Données projet'!$B$16,Paramètres!$A$1:$I$89,3,0)*0.475*44/12</f>
        <v>1.5817161536713302E-17</v>
      </c>
      <c r="FT155" s="22">
        <f t="shared" si="184"/>
        <v>2.3357150314318504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-5.6843418860808015E-13</v>
      </c>
      <c r="GA155" s="17">
        <f>FZ155*VLOOKUP('Données projet'!$B$17,Paramètres!$A$1:$I$89,3,0)*VLOOKUP('Données projet'!$B$17,Paramètres!$A$1:$I$89,5,0)</f>
        <v>-3.39923644787632E-13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495.6641415122013</v>
      </c>
      <c r="GF155" s="59">
        <f t="shared" si="158"/>
        <v>488.90534169400757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0.35690737369408954</v>
      </c>
      <c r="GM155" s="21">
        <f>EXP(-LN(2)/25)*GM154+(1-EXP(-LN(2)/25))/(LN(2)/25)*Calculateur!GH155*Calculateur!GJ155*VLOOKUP('Données projet'!$B$17,Paramètres!$A$1:$I$89,3,0)*0.475*44/12</f>
        <v>0.88314502686491314</v>
      </c>
      <c r="GN155" s="21">
        <f>EXP(-LN(2)/2)*GN154+(1-EXP(-LN(2)/2))/(LN(2)/2)*GH155*GK155*VLOOKUP('Données projet'!$B$17,Paramètres!$A$1:$I$89,3,0)*0.475*44/12</f>
        <v>1.5074457911713418E-17</v>
      </c>
      <c r="GO155" s="21">
        <f t="shared" si="187"/>
        <v>1.2400524005590028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-5.6843418860808015E-13</v>
      </c>
      <c r="GV155" s="17">
        <f>GU155*VLOOKUP('Données projet'!$B$18,Paramètres!$A$1:$I$89,3,0)*VLOOKUP('Données projet'!$B$18,Paramètres!$A$1:$I$89,5,0)</f>
        <v>-3.39923644787632E-13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-18.333333333333343</v>
      </c>
      <c r="HA155" s="59">
        <f t="shared" si="160"/>
        <v>-18.333333333333343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0.35690737369408954</v>
      </c>
      <c r="HH155" s="21">
        <f>EXP(-LN(2)/25)*HH154+(1-EXP(-LN(2)/25))/(LN(2)/25)*Calculateur!HC155*Calculateur!HE155*VLOOKUP('Données projet'!$B$18,Paramètres!$A$1:$I$89,3,0)*0.475*44/12</f>
        <v>0.88314502686491314</v>
      </c>
      <c r="HI155" s="21">
        <f>EXP(-LN(2)/2)*HI154+(1-EXP(-LN(2)/2))/(LN(2)/2)*HC155*HF155*VLOOKUP('Données projet'!$B$18,Paramètres!$A$1:$I$89,3,0)*0.475*44/12</f>
        <v>1.5074457911713418E-17</v>
      </c>
      <c r="HJ155" s="22">
        <f t="shared" si="190"/>
        <v>1.2400524005590028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376.11581547534814</v>
      </c>
      <c r="T156" s="59">
        <f t="shared" si="142"/>
        <v>300.91675649863294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0.27433054537133006</v>
      </c>
      <c r="AA156" s="21">
        <f>EXP(-LN(2)/25)*AA155+(1-EXP(-LN(2)/25))/(LN(2)/25)*Calculateur!V156*Calculateur!X156*VLOOKUP('Données projet'!$B$9,Paramètres!$A$1:$I$89,3,0)*0.475*44/12</f>
        <v>0.25948023559867783</v>
      </c>
      <c r="AB156" s="21">
        <f>EXP(-LN(2)/2)*AB155+(1-EXP(-LN(2)/2))/(LN(2)/2)*V156*Y156*VLOOKUP('Données projet'!$B$9,Paramètres!$A$1:$I$89,3,0)*0.475*44/12</f>
        <v>3.0151222937813906E-18</v>
      </c>
      <c r="AC156" s="22">
        <f t="shared" si="163"/>
        <v>0.53381078097000789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-5.6843418860808015E-13</v>
      </c>
      <c r="AJ156" s="13">
        <f>AI156*VLOOKUP('Données projet'!$B$10,Paramètres!$A$1:$I$89,3,0)*VLOOKUP('Données projet'!$B$10,Paramètres!$A$1:$I$89,5,0)</f>
        <v>-5.1431925385259092E-13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505.38595282220405</v>
      </c>
      <c r="AO156" s="59">
        <f t="shared" si="144"/>
        <v>351.72130415456365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0.21079037261911818</v>
      </c>
      <c r="AV156" s="21">
        <f>EXP(-LN(2)/25)*AV155+(1-EXP(-LN(2)/25))/(LN(2)/25)*Calculateur!AQ156*Calculateur!AS156*VLOOKUP('Données projet'!$B$10,Paramètres!$A$1:$I$89,3,0)*0.475*44/12</f>
        <v>0.37269195617864737</v>
      </c>
      <c r="AW156" s="21">
        <f>EXP(-LN(2)/2)*AW155+(1-EXP(-LN(2)/2))/(LN(2)/2)*AQ156*AT156*VLOOKUP('Données projet'!$B$10,Paramètres!$A$1:$I$89,3,0)*0.475*44/12</f>
        <v>6.6095178766594896E-18</v>
      </c>
      <c r="AX156" s="21">
        <f t="shared" si="166"/>
        <v>0.58348232879776551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-4.0702161641092972E-13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394.14657090341535</v>
      </c>
      <c r="BJ156" s="59">
        <f t="shared" si="146"/>
        <v>424.06445894109982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0.28556855312223195</v>
      </c>
      <c r="BQ156" s="21">
        <f>EXP(-LN(2)/25)*BQ155+(1-EXP(-LN(2)/25))/(LN(2)/25)*Calculateur!BL156*Calculateur!BN156*VLOOKUP('Données projet'!$B$11,Paramètres!$A$1:$I$89,3,0)*0.475*44/12</f>
        <v>0.6777996957894652</v>
      </c>
      <c r="BR156" s="21">
        <f>EXP(-LN(2)/2)*BR155+(1-EXP(-LN(2)/2))/(LN(2)/2)*BL156*BO156*VLOOKUP('Données projet'!$B$11,Paramètres!$A$1:$I$89,3,0)*0.475*44/12</f>
        <v>7.3717785926357759E-18</v>
      </c>
      <c r="BS156" s="22">
        <f t="shared" si="169"/>
        <v>0.96336824891169714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3.1036506698001181E-13</v>
      </c>
      <c r="CA156" s="13">
        <f t="shared" si="170"/>
        <v>4.086682523110923E-12</v>
      </c>
      <c r="CB156" s="20">
        <f t="shared" si="171"/>
        <v>7.6581912194083782E-12</v>
      </c>
      <c r="CC156" s="59">
        <f t="shared" si="119"/>
        <v>287.03264548950767</v>
      </c>
      <c r="CD156" s="59">
        <f ca="1">AVERAGE(OFFSET($CC$3,0,0,'Données projet'!$E$12+1,1))-AVERAGE(OFFSET($H$3,0,0,'Données projet'!$E$12+1,1))</f>
        <v>382.09004346384319</v>
      </c>
      <c r="CE156" s="59">
        <f t="shared" si="148"/>
        <v>410.18893995284986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0.74545753267867776</v>
      </c>
      <c r="CL156" s="21">
        <f>EXP(-LN(2)/25)*CL155+(1-EXP(-LN(2)/25))/(LN(2)/25)*Calculateur!CG156*Calculateur!CI156*VLOOKUP('Données projet'!$B$12,Paramètres!$A$1:$I$89,3,0)*0.475*44/12</f>
        <v>1.124328279883279</v>
      </c>
      <c r="CM156" s="21">
        <f>EXP(-LN(2)/2)*CM155+(1-EXP(-LN(2)/2))/(LN(2)/2)*CG156*CJ156*VLOOKUP('Données projet'!$B$12,Paramètres!$A$1:$I$89,3,0)*0.475*44/12</f>
        <v>7.7224096356079805E-18</v>
      </c>
      <c r="CN156" s="22">
        <f t="shared" si="172"/>
        <v>1.8697858125619566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363.02374534486341</v>
      </c>
      <c r="CZ156" s="59">
        <f t="shared" si="150"/>
        <v>489.00477393029598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0.63963975139594564</v>
      </c>
      <c r="DG156" s="21">
        <f>EXP(-LN(2)/25)*DG155+(1-EXP(-LN(2)/25))/(LN(2)/25)*Calculateur!DB156*Calculateur!DD156*VLOOKUP('Données projet'!$B$13,Paramètres!$A$1:$I$89,3,0)*0.475*44/12</f>
        <v>0.63957613343553688</v>
      </c>
      <c r="DH156" s="21">
        <f>EXP(-LN(2)/2)*DH155+(1-EXP(-LN(2)/2))/(LN(2)/2)*DB156*DE156*VLOOKUP('Données projet'!$B$13,Paramètres!$A$1:$I$89,3,0)*0.475*44/12</f>
        <v>8.9896806612029667E-18</v>
      </c>
      <c r="DI156" s="22">
        <f t="shared" si="175"/>
        <v>1.2792158848314825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-3.7509835237869992E-13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368.03281986807173</v>
      </c>
      <c r="DU156" s="59">
        <f t="shared" si="152"/>
        <v>395.83504504492248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0.2135161101960899</v>
      </c>
      <c r="EB156" s="21">
        <f>EXP(-LN(2)/25)*EB155+(1-EXP(-LN(2)/25))/(LN(2)/25)*Calculateur!DW156*Calculateur!DY156*VLOOKUP('Données projet'!$B$14,Paramètres!$A$1:$I$89,3,0)*0.475*44/12</f>
        <v>0.50678253244192084</v>
      </c>
      <c r="EC156" s="21">
        <f>EXP(-LN(2)/2)*EC155+(1-EXP(-LN(2)/2))/(LN(2)/2)*DW156*DZ156*VLOOKUP('Données projet'!$B$14,Paramètres!$A$1:$I$89,3,0)*0.475*44/12</f>
        <v>6.793599879487938E-18</v>
      </c>
      <c r="ED156" s="22">
        <f t="shared" si="178"/>
        <v>0.72029864263801069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225.2264820414552</v>
      </c>
      <c r="EP156" s="59">
        <f t="shared" si="154"/>
        <v>249.91838548328681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0.19361470887040022</v>
      </c>
      <c r="EW156" s="21">
        <f>EXP(-LN(2)/25)*EW155+(1-EXP(-LN(2)/25))/(LN(2)/25)*Calculateur!ER156*Calculateur!ET156*VLOOKUP('Données projet'!$B$15,Paramètres!$A$1:$I$89,3,0)*0.475*44/12</f>
        <v>0.28590981059804027</v>
      </c>
      <c r="EX156" s="21">
        <f>EXP(-LN(2)/2)*EX155+(1-EXP(-LN(2)/2))/(LN(2)/2)*ER156*EU156*VLOOKUP('Données projet'!$B$15,Paramètres!$A$1:$I$89,3,0)*0.475*44/12</f>
        <v>1.2405946371989378E-18</v>
      </c>
      <c r="EY156" s="22">
        <f t="shared" si="181"/>
        <v>0.47952451946844049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-1.2505552149377763E-12</v>
      </c>
      <c r="FF156" s="17">
        <f>FE156*VLOOKUP('Données projet'!$B$16,Paramètres!$A$1:$I$89,3,0)*VLOOKUP('Données projet'!$B$16,Paramètres!$A$1:$I$89,5,0)</f>
        <v>-6.9906036515021697E-13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549.85684198202534</v>
      </c>
      <c r="FK156" s="59">
        <f t="shared" si="156"/>
        <v>539.63748606275431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0.99943711155616688</v>
      </c>
      <c r="FR156" s="21">
        <f>EXP(-LN(2)/25)*FR155+(1-EXP(-LN(2)/25))/(LN(2)/25)*Calculateur!FM156*Calculateur!FO156*VLOOKUP('Données projet'!$B$16,Paramètres!$A$1:$I$89,3,0)*0.475*44/12</f>
        <v>1.2802936163308902</v>
      </c>
      <c r="FS156" s="21">
        <f>EXP(-LN(2)/2)*FS155+(1-EXP(-LN(2)/2))/(LN(2)/2)*FM156*FP156*VLOOKUP('Données projet'!$B$16,Paramètres!$A$1:$I$89,3,0)*0.475*44/12</f>
        <v>1.1184422181733009E-17</v>
      </c>
      <c r="FT156" s="22">
        <f t="shared" si="184"/>
        <v>2.2797307278870571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-5.6843418860808015E-13</v>
      </c>
      <c r="GA156" s="17">
        <f>FZ156*VLOOKUP('Données projet'!$B$17,Paramètres!$A$1:$I$89,3,0)*VLOOKUP('Données projet'!$B$17,Paramètres!$A$1:$I$89,5,0)</f>
        <v>-3.39923644787632E-13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495.6641415122013</v>
      </c>
      <c r="GF156" s="59">
        <f t="shared" si="158"/>
        <v>488.90534169400757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0.34990863778795112</v>
      </c>
      <c r="GM156" s="21">
        <f>EXP(-LN(2)/25)*GM155+(1-EXP(-LN(2)/25))/(LN(2)/25)*Calculateur!GH156*Calculateur!GJ156*VLOOKUP('Données projet'!$B$17,Paramètres!$A$1:$I$89,3,0)*0.475*44/12</f>
        <v>0.85899537966271355</v>
      </c>
      <c r="GN156" s="21">
        <f>EXP(-LN(2)/2)*GN155+(1-EXP(-LN(2)/2))/(LN(2)/2)*GH156*GK156*VLOOKUP('Données projet'!$B$17,Paramètres!$A$1:$I$89,3,0)*0.475*44/12</f>
        <v>1.065925141208376E-17</v>
      </c>
      <c r="GO156" s="21">
        <f t="shared" si="187"/>
        <v>1.2089040174506647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-5.6843418860808015E-13</v>
      </c>
      <c r="GV156" s="17">
        <f>GU156*VLOOKUP('Données projet'!$B$18,Paramètres!$A$1:$I$89,3,0)*VLOOKUP('Données projet'!$B$18,Paramètres!$A$1:$I$89,5,0)</f>
        <v>-3.39923644787632E-13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-18.333333333333343</v>
      </c>
      <c r="HA156" s="59">
        <f t="shared" si="160"/>
        <v>-18.333333333333343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0.34990863778795112</v>
      </c>
      <c r="HH156" s="21">
        <f>EXP(-LN(2)/25)*HH155+(1-EXP(-LN(2)/25))/(LN(2)/25)*Calculateur!HC156*Calculateur!HE156*VLOOKUP('Données projet'!$B$18,Paramètres!$A$1:$I$89,3,0)*0.475*44/12</f>
        <v>0.85899537966271355</v>
      </c>
      <c r="HI156" s="21">
        <f>EXP(-LN(2)/2)*HI155+(1-EXP(-LN(2)/2))/(LN(2)/2)*HC156*HF156*VLOOKUP('Données projet'!$B$18,Paramètres!$A$1:$I$89,3,0)*0.475*44/12</f>
        <v>1.065925141208376E-17</v>
      </c>
      <c r="HJ156" s="22">
        <f t="shared" si="190"/>
        <v>1.2089040174506647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376.11581547534814</v>
      </c>
      <c r="T157" s="59">
        <f t="shared" si="142"/>
        <v>300.91675649863294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0.26895109070170897</v>
      </c>
      <c r="AA157" s="21">
        <f>EXP(-LN(2)/25)*AA156+(1-EXP(-LN(2)/25))/(LN(2)/25)*Calculateur!V157*Calculateur!X157*VLOOKUP('Données projet'!$B$9,Paramètres!$A$1:$I$89,3,0)*0.475*44/12</f>
        <v>0.25238473491075947</v>
      </c>
      <c r="AB157" s="21">
        <f>EXP(-LN(2)/2)*AB156+(1-EXP(-LN(2)/2))/(LN(2)/2)*V157*Y157*VLOOKUP('Données projet'!$B$9,Paramètres!$A$1:$I$89,3,0)*0.475*44/12</f>
        <v>2.132013420039559E-18</v>
      </c>
      <c r="AC157" s="22">
        <f t="shared" si="163"/>
        <v>0.5213358256124685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-5.6843418860808015E-13</v>
      </c>
      <c r="AJ157" s="13">
        <f>AI157*VLOOKUP('Données projet'!$B$10,Paramètres!$A$1:$I$89,3,0)*VLOOKUP('Données projet'!$B$10,Paramètres!$A$1:$I$89,5,0)</f>
        <v>-5.1431925385259092E-13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505.38595282220405</v>
      </c>
      <c r="AO157" s="59">
        <f t="shared" si="144"/>
        <v>351.72130415456365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0.20665690198148939</v>
      </c>
      <c r="AV157" s="21">
        <f>EXP(-LN(2)/25)*AV156+(1-EXP(-LN(2)/25))/(LN(2)/25)*Calculateur!AQ157*Calculateur!AS157*VLOOKUP('Données projet'!$B$10,Paramètres!$A$1:$I$89,3,0)*0.475*44/12</f>
        <v>0.3625006750379241</v>
      </c>
      <c r="AW157" s="21">
        <f>EXP(-LN(2)/2)*AW156+(1-EXP(-LN(2)/2))/(LN(2)/2)*AQ157*AT157*VLOOKUP('Données projet'!$B$10,Paramètres!$A$1:$I$89,3,0)*0.475*44/12</f>
        <v>4.6736349109596358E-18</v>
      </c>
      <c r="AX157" s="21">
        <f t="shared" si="166"/>
        <v>0.5691575770194135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-4.0702161641092972E-13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394.14657090341535</v>
      </c>
      <c r="BJ157" s="59">
        <f t="shared" si="146"/>
        <v>424.06445894109982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0.27996872797512357</v>
      </c>
      <c r="BQ157" s="21">
        <f>EXP(-LN(2)/25)*BQ156+(1-EXP(-LN(2)/25))/(LN(2)/25)*Calculateur!BL157*Calculateur!BN157*VLOOKUP('Données projet'!$B$11,Paramètres!$A$1:$I$89,3,0)*0.475*44/12</f>
        <v>0.65926522746416538</v>
      </c>
      <c r="BR157" s="21">
        <f>EXP(-LN(2)/2)*BR156+(1-EXP(-LN(2)/2))/(LN(2)/2)*BL157*BO157*VLOOKUP('Données projet'!$B$11,Paramètres!$A$1:$I$89,3,0)*0.475*44/12</f>
        <v>5.2126346322585809E-18</v>
      </c>
      <c r="BS157" s="22">
        <f t="shared" si="169"/>
        <v>0.939233955439289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3.1036506698001181E-13</v>
      </c>
      <c r="CA157" s="13">
        <f t="shared" si="170"/>
        <v>4.086682523110923E-12</v>
      </c>
      <c r="CB157" s="20">
        <f t="shared" si="171"/>
        <v>7.6581912194083782E-12</v>
      </c>
      <c r="CC157" s="59">
        <f t="shared" si="119"/>
        <v>287.14194833737042</v>
      </c>
      <c r="CD157" s="59">
        <f ca="1">AVERAGE(OFFSET($CC$3,0,0,'Données projet'!$E$12+1,1))-AVERAGE(OFFSET($H$3,0,0,'Données projet'!$E$12+1,1))</f>
        <v>382.09004346384319</v>
      </c>
      <c r="CE157" s="59">
        <f t="shared" si="148"/>
        <v>410.18893995284986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0.73083956514704751</v>
      </c>
      <c r="CL157" s="21">
        <f>EXP(-LN(2)/25)*CL156+(1-EXP(-LN(2)/25))/(LN(2)/25)*Calculateur!CG157*Calculateur!CI157*VLOOKUP('Données projet'!$B$12,Paramètres!$A$1:$I$89,3,0)*0.475*44/12</f>
        <v>1.0935834639440161</v>
      </c>
      <c r="CM157" s="21">
        <f>EXP(-LN(2)/2)*CM156+(1-EXP(-LN(2)/2))/(LN(2)/2)*CG157*CJ157*VLOOKUP('Données projet'!$B$12,Paramètres!$A$1:$I$89,3,0)*0.475*44/12</f>
        <v>5.4605682204387385E-18</v>
      </c>
      <c r="CN157" s="22">
        <f t="shared" si="172"/>
        <v>1.8244230290910637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363.02374534486341</v>
      </c>
      <c r="CZ157" s="59">
        <f t="shared" si="150"/>
        <v>489.00477393029598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0.62709680601279616</v>
      </c>
      <c r="DG157" s="21">
        <f>EXP(-LN(2)/25)*DG156+(1-EXP(-LN(2)/25))/(LN(2)/25)*Calculateur!DB157*Calculateur!DD157*VLOOKUP('Données projet'!$B$13,Paramètres!$A$1:$I$89,3,0)*0.475*44/12</f>
        <v>0.622086890432895</v>
      </c>
      <c r="DH157" s="21">
        <f>EXP(-LN(2)/2)*DH156+(1-EXP(-LN(2)/2))/(LN(2)/2)*DB157*DE157*VLOOKUP('Données projet'!$B$13,Paramètres!$A$1:$I$89,3,0)*0.475*44/12</f>
        <v>6.3566641562381841E-18</v>
      </c>
      <c r="DI157" s="22">
        <f t="shared" si="175"/>
        <v>1.2491836964456913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-3.7509835237869992E-13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368.03281986807173</v>
      </c>
      <c r="DU157" s="59">
        <f t="shared" si="152"/>
        <v>395.83504504492248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0.20932918950711246</v>
      </c>
      <c r="EB157" s="21">
        <f>EXP(-LN(2)/25)*EB156+(1-EXP(-LN(2)/25))/(LN(2)/25)*Calculateur!DW157*Calculateur!DY157*VLOOKUP('Données projet'!$B$14,Paramètres!$A$1:$I$89,3,0)*0.475*44/12</f>
        <v>0.4929245374417614</v>
      </c>
      <c r="EC157" s="21">
        <f>EXP(-LN(2)/2)*EC156+(1-EXP(-LN(2)/2))/(LN(2)/2)*DW157*DZ157*VLOOKUP('Données projet'!$B$14,Paramètres!$A$1:$I$89,3,0)*0.475*44/12</f>
        <v>4.8038005434540335E-18</v>
      </c>
      <c r="ED157" s="22">
        <f t="shared" si="178"/>
        <v>0.70225372694887389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225.2264820414552</v>
      </c>
      <c r="EP157" s="59">
        <f t="shared" si="154"/>
        <v>249.91838548328681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0.18981804252276333</v>
      </c>
      <c r="EW157" s="21">
        <f>EXP(-LN(2)/25)*EW156+(1-EXP(-LN(2)/25))/(LN(2)/25)*Calculateur!ER157*Calculateur!ET157*VLOOKUP('Données projet'!$B$15,Paramètres!$A$1:$I$89,3,0)*0.475*44/12</f>
        <v>0.27809159179189336</v>
      </c>
      <c r="EX157" s="21">
        <f>EXP(-LN(2)/2)*EX156+(1-EXP(-LN(2)/2))/(LN(2)/2)*ER157*EU157*VLOOKUP('Données projet'!$B$15,Paramètres!$A$1:$I$89,3,0)*0.475*44/12</f>
        <v>8.7723288066703362E-19</v>
      </c>
      <c r="EY157" s="22">
        <f t="shared" si="181"/>
        <v>0.46790963431465671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-1.2505552149377763E-12</v>
      </c>
      <c r="FF157" s="17">
        <f>FE157*VLOOKUP('Données projet'!$B$16,Paramètres!$A$1:$I$89,3,0)*VLOOKUP('Données projet'!$B$16,Paramètres!$A$1:$I$89,5,0)</f>
        <v>-6.9906036515021697E-13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549.85684198202534</v>
      </c>
      <c r="FK157" s="59">
        <f t="shared" si="156"/>
        <v>539.63748606275431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0.97983875939499587</v>
      </c>
      <c r="FR157" s="21">
        <f>EXP(-LN(2)/25)*FR156+(1-EXP(-LN(2)/25))/(LN(2)/25)*Calculateur!FM157*Calculateur!FO157*VLOOKUP('Données projet'!$B$16,Paramètres!$A$1:$I$89,3,0)*0.475*44/12</f>
        <v>1.2452839200646069</v>
      </c>
      <c r="FS157" s="21">
        <f>EXP(-LN(2)/2)*FS156+(1-EXP(-LN(2)/2))/(LN(2)/2)*FM157*FP157*VLOOKUP('Données projet'!$B$16,Paramètres!$A$1:$I$89,3,0)*0.475*44/12</f>
        <v>7.9085807683566509E-18</v>
      </c>
      <c r="FT157" s="22">
        <f t="shared" si="184"/>
        <v>2.2251226794596026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-5.6843418860808015E-13</v>
      </c>
      <c r="GA157" s="17">
        <f>FZ157*VLOOKUP('Données projet'!$B$17,Paramètres!$A$1:$I$89,3,0)*VLOOKUP('Données projet'!$B$17,Paramètres!$A$1:$I$89,5,0)</f>
        <v>-3.39923644787632E-13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495.6641415122013</v>
      </c>
      <c r="GF157" s="59">
        <f t="shared" si="158"/>
        <v>488.90534169400757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0.34304714282412463</v>
      </c>
      <c r="GM157" s="21">
        <f>EXP(-LN(2)/25)*GM156+(1-EXP(-LN(2)/25))/(LN(2)/25)*Calculateur!GH157*Calculateur!GJ157*VLOOKUP('Données projet'!$B$17,Paramètres!$A$1:$I$89,3,0)*0.475*44/12</f>
        <v>0.83550610583323293</v>
      </c>
      <c r="GN157" s="21">
        <f>EXP(-LN(2)/2)*GN156+(1-EXP(-LN(2)/2))/(LN(2)/2)*GH157*GK157*VLOOKUP('Données projet'!$B$17,Paramètres!$A$1:$I$89,3,0)*0.475*44/12</f>
        <v>7.5372289558567088E-18</v>
      </c>
      <c r="GO157" s="21">
        <f t="shared" si="187"/>
        <v>1.1785532486573576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-5.6843418860808015E-13</v>
      </c>
      <c r="GV157" s="17">
        <f>GU157*VLOOKUP('Données projet'!$B$18,Paramètres!$A$1:$I$89,3,0)*VLOOKUP('Données projet'!$B$18,Paramètres!$A$1:$I$89,5,0)</f>
        <v>-3.39923644787632E-13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-18.333333333333343</v>
      </c>
      <c r="HA157" s="59">
        <f t="shared" si="160"/>
        <v>-18.333333333333343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0.34304714282412463</v>
      </c>
      <c r="HH157" s="21">
        <f>EXP(-LN(2)/25)*HH156+(1-EXP(-LN(2)/25))/(LN(2)/25)*Calculateur!HC157*Calculateur!HE157*VLOOKUP('Données projet'!$B$18,Paramètres!$A$1:$I$89,3,0)*0.475*44/12</f>
        <v>0.83550610583323293</v>
      </c>
      <c r="HI157" s="21">
        <f>EXP(-LN(2)/2)*HI156+(1-EXP(-LN(2)/2))/(LN(2)/2)*HC157*HF157*VLOOKUP('Données projet'!$B$18,Paramètres!$A$1:$I$89,3,0)*0.475*44/12</f>
        <v>7.5372289558567088E-18</v>
      </c>
      <c r="HJ157" s="22">
        <f t="shared" si="190"/>
        <v>1.1785532486573576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376.11581547534814</v>
      </c>
      <c r="T158" s="59">
        <f t="shared" si="142"/>
        <v>300.91675649863294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0.2636771238570158</v>
      </c>
      <c r="AA158" s="21">
        <f>EXP(-LN(2)/25)*AA157+(1-EXP(-LN(2)/25))/(LN(2)/25)*Calculateur!V158*Calculateur!X158*VLOOKUP('Données projet'!$B$9,Paramètres!$A$1:$I$89,3,0)*0.475*44/12</f>
        <v>0.24548326106228838</v>
      </c>
      <c r="AB158" s="21">
        <f>EXP(-LN(2)/2)*AB157+(1-EXP(-LN(2)/2))/(LN(2)/2)*V158*Y158*VLOOKUP('Données projet'!$B$9,Paramètres!$A$1:$I$89,3,0)*0.475*44/12</f>
        <v>1.5075611468906953E-18</v>
      </c>
      <c r="AC158" s="22">
        <f t="shared" si="163"/>
        <v>0.50916038491930415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-5.6843418860808015E-13</v>
      </c>
      <c r="AJ158" s="13">
        <f>AI158*VLOOKUP('Données projet'!$B$10,Paramètres!$A$1:$I$89,3,0)*VLOOKUP('Données projet'!$B$10,Paramètres!$A$1:$I$89,5,0)</f>
        <v>-5.1431925385259092E-13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505.38595282220405</v>
      </c>
      <c r="AO158" s="59">
        <f t="shared" si="144"/>
        <v>351.72130415456365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0.20260448618189636</v>
      </c>
      <c r="AV158" s="21">
        <f>EXP(-LN(2)/25)*AV157+(1-EXP(-LN(2)/25))/(LN(2)/25)*Calculateur!AQ158*Calculateur!AS158*VLOOKUP('Données projet'!$B$10,Paramètres!$A$1:$I$89,3,0)*0.475*44/12</f>
        <v>0.35258807501593009</v>
      </c>
      <c r="AW158" s="21">
        <f>EXP(-LN(2)/2)*AW157+(1-EXP(-LN(2)/2))/(LN(2)/2)*AQ158*AT158*VLOOKUP('Données projet'!$B$10,Paramètres!$A$1:$I$89,3,0)*0.475*44/12</f>
        <v>3.3047589383297448E-18</v>
      </c>
      <c r="AX158" s="21">
        <f t="shared" si="166"/>
        <v>0.55519256119782645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-4.0702161641092972E-13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394.14657090341535</v>
      </c>
      <c r="BJ158" s="59">
        <f t="shared" si="146"/>
        <v>424.06445894109982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0.27447871198359391</v>
      </c>
      <c r="BQ158" s="21">
        <f>EXP(-LN(2)/25)*BQ157+(1-EXP(-LN(2)/25))/(LN(2)/25)*Calculateur!BL158*Calculateur!BN158*VLOOKUP('Données projet'!$B$11,Paramètres!$A$1:$I$89,3,0)*0.475*44/12</f>
        <v>0.64123758514990625</v>
      </c>
      <c r="BR158" s="21">
        <f>EXP(-LN(2)/2)*BR157+(1-EXP(-LN(2)/2))/(LN(2)/2)*BL158*BO158*VLOOKUP('Données projet'!$B$11,Paramètres!$A$1:$I$89,3,0)*0.475*44/12</f>
        <v>3.6858892963178879E-18</v>
      </c>
      <c r="BS158" s="22">
        <f t="shared" si="169"/>
        <v>0.91571629713350022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3.1036506698001181E-13</v>
      </c>
      <c r="CA158" s="13">
        <f t="shared" si="170"/>
        <v>4.086682523110923E-12</v>
      </c>
      <c r="CB158" s="20">
        <f t="shared" si="171"/>
        <v>7.6581912194083782E-12</v>
      </c>
      <c r="CC158" s="59">
        <f t="shared" si="119"/>
        <v>287.24935502518736</v>
      </c>
      <c r="CD158" s="59">
        <f ca="1">AVERAGE(OFFSET($CC$3,0,0,'Données projet'!$E$12+1,1))-AVERAGE(OFFSET($H$3,0,0,'Données projet'!$E$12+1,1))</f>
        <v>382.09004346384319</v>
      </c>
      <c r="CE158" s="59">
        <f t="shared" si="148"/>
        <v>410.18893995284986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0.71650824704263272</v>
      </c>
      <c r="CL158" s="21">
        <f>EXP(-LN(2)/25)*CL157+(1-EXP(-LN(2)/25))/(LN(2)/25)*Calculateur!CG158*Calculateur!CI158*VLOOKUP('Données projet'!$B$12,Paramètres!$A$1:$I$89,3,0)*0.475*44/12</f>
        <v>1.0636793666134119</v>
      </c>
      <c r="CM158" s="21">
        <f>EXP(-LN(2)/2)*CM157+(1-EXP(-LN(2)/2))/(LN(2)/2)*CG158*CJ158*VLOOKUP('Données projet'!$B$12,Paramètres!$A$1:$I$89,3,0)*0.475*44/12</f>
        <v>3.8612048178039902E-18</v>
      </c>
      <c r="CN158" s="22">
        <f t="shared" si="172"/>
        <v>1.7801876136560446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363.02374534486341</v>
      </c>
      <c r="CZ158" s="59">
        <f t="shared" si="150"/>
        <v>489.00477393029598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0.61479982013816903</v>
      </c>
      <c r="DG158" s="21">
        <f>EXP(-LN(2)/25)*DG157+(1-EXP(-LN(2)/25))/(LN(2)/25)*Calculateur!DB158*Calculateur!DD158*VLOOKUP('Données projet'!$B$13,Paramètres!$A$1:$I$89,3,0)*0.475*44/12</f>
        <v>0.60507589169987974</v>
      </c>
      <c r="DH158" s="21">
        <f>EXP(-LN(2)/2)*DH157+(1-EXP(-LN(2)/2))/(LN(2)/2)*DB158*DE158*VLOOKUP('Données projet'!$B$13,Paramètres!$A$1:$I$89,3,0)*0.475*44/12</f>
        <v>4.4948403306014833E-18</v>
      </c>
      <c r="DI158" s="22">
        <f t="shared" si="175"/>
        <v>1.2198757118380488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-3.7509835237869992E-13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368.03281986807173</v>
      </c>
      <c r="DU158" s="59">
        <f t="shared" si="152"/>
        <v>395.83504504492248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0.2052243717790764</v>
      </c>
      <c r="EB158" s="21">
        <f>EXP(-LN(2)/25)*EB157+(1-EXP(-LN(2)/25))/(LN(2)/25)*Calculateur!DW158*Calculateur!DY158*VLOOKUP('Données projet'!$B$14,Paramètres!$A$1:$I$89,3,0)*0.475*44/12</f>
        <v>0.47944549004364162</v>
      </c>
      <c r="EC158" s="21">
        <f>EXP(-LN(2)/2)*EC157+(1-EXP(-LN(2)/2))/(LN(2)/2)*DW158*DZ158*VLOOKUP('Données projet'!$B$14,Paramètres!$A$1:$I$89,3,0)*0.475*44/12</f>
        <v>3.3967999397439698E-18</v>
      </c>
      <c r="ED158" s="22">
        <f t="shared" si="178"/>
        <v>0.68466986182271805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225.2264820414552</v>
      </c>
      <c r="EP158" s="59">
        <f t="shared" si="154"/>
        <v>249.91838548328681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0.18609582648646578</v>
      </c>
      <c r="EW158" s="21">
        <f>EXP(-LN(2)/25)*EW157+(1-EXP(-LN(2)/25))/(LN(2)/25)*Calculateur!ER158*Calculateur!ET158*VLOOKUP('Données projet'!$B$15,Paramètres!$A$1:$I$89,3,0)*0.475*44/12</f>
        <v>0.27048716259014283</v>
      </c>
      <c r="EX158" s="21">
        <f>EXP(-LN(2)/2)*EX157+(1-EXP(-LN(2)/2))/(LN(2)/2)*ER158*EU158*VLOOKUP('Données projet'!$B$15,Paramètres!$A$1:$I$89,3,0)*0.475*44/12</f>
        <v>6.2029731859946891E-19</v>
      </c>
      <c r="EY158" s="22">
        <f t="shared" si="181"/>
        <v>0.4565829890766086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-1.2505552149377763E-12</v>
      </c>
      <c r="FF158" s="17">
        <f>FE158*VLOOKUP('Données projet'!$B$16,Paramètres!$A$1:$I$89,3,0)*VLOOKUP('Données projet'!$B$16,Paramètres!$A$1:$I$89,5,0)</f>
        <v>-6.9906036515021697E-13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549.85684198202534</v>
      </c>
      <c r="FK158" s="59">
        <f t="shared" si="156"/>
        <v>539.63748606275431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0.96062471896589097</v>
      </c>
      <c r="FR158" s="21">
        <f>EXP(-LN(2)/25)*FR157+(1-EXP(-LN(2)/25))/(LN(2)/25)*Calculateur!FM158*Calculateur!FO158*VLOOKUP('Données projet'!$B$16,Paramètres!$A$1:$I$89,3,0)*0.475*44/12</f>
        <v>1.2112315657838049</v>
      </c>
      <c r="FS158" s="21">
        <f>EXP(-LN(2)/2)*FS157+(1-EXP(-LN(2)/2))/(LN(2)/2)*FM158*FP158*VLOOKUP('Données projet'!$B$16,Paramètres!$A$1:$I$89,3,0)*0.475*44/12</f>
        <v>5.5922110908665043E-18</v>
      </c>
      <c r="FT158" s="22">
        <f t="shared" si="184"/>
        <v>2.1718562847496958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-5.6843418860808015E-13</v>
      </c>
      <c r="GA158" s="17">
        <f>FZ158*VLOOKUP('Données projet'!$B$17,Paramètres!$A$1:$I$89,3,0)*VLOOKUP('Données projet'!$B$17,Paramètres!$A$1:$I$89,5,0)</f>
        <v>-3.39923644787632E-13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495.6641415122013</v>
      </c>
      <c r="GF158" s="59">
        <f t="shared" si="158"/>
        <v>488.90534169400757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0.33632019759144011</v>
      </c>
      <c r="GM158" s="21">
        <f>EXP(-LN(2)/25)*GM157+(1-EXP(-LN(2)/25))/(LN(2)/25)*Calculateur!GH158*Calculateur!GJ158*VLOOKUP('Données projet'!$B$17,Paramètres!$A$1:$I$89,3,0)*0.475*44/12</f>
        <v>0.81265914743186662</v>
      </c>
      <c r="GN158" s="21">
        <f>EXP(-LN(2)/2)*GN157+(1-EXP(-LN(2)/2))/(LN(2)/2)*GH158*GK158*VLOOKUP('Données projet'!$B$17,Paramètres!$A$1:$I$89,3,0)*0.475*44/12</f>
        <v>5.32962570604188E-18</v>
      </c>
      <c r="GO158" s="21">
        <f t="shared" si="187"/>
        <v>1.1489793450233068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-5.6843418860808015E-13</v>
      </c>
      <c r="GV158" s="17">
        <f>GU158*VLOOKUP('Données projet'!$B$18,Paramètres!$A$1:$I$89,3,0)*VLOOKUP('Données projet'!$B$18,Paramètres!$A$1:$I$89,5,0)</f>
        <v>-3.39923644787632E-13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-18.333333333333343</v>
      </c>
      <c r="HA158" s="59">
        <f t="shared" si="160"/>
        <v>-18.333333333333343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0.33632019759144011</v>
      </c>
      <c r="HH158" s="21">
        <f>EXP(-LN(2)/25)*HH157+(1-EXP(-LN(2)/25))/(LN(2)/25)*Calculateur!HC158*Calculateur!HE158*VLOOKUP('Données projet'!$B$18,Paramètres!$A$1:$I$89,3,0)*0.475*44/12</f>
        <v>0.81265914743186662</v>
      </c>
      <c r="HI158" s="21">
        <f>EXP(-LN(2)/2)*HI157+(1-EXP(-LN(2)/2))/(LN(2)/2)*HC158*HF158*VLOOKUP('Données projet'!$B$18,Paramètres!$A$1:$I$89,3,0)*0.475*44/12</f>
        <v>5.32962570604188E-18</v>
      </c>
      <c r="HJ158" s="22">
        <f t="shared" si="190"/>
        <v>1.1489793450233068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376.11581547534814</v>
      </c>
      <c r="T159" s="59">
        <f t="shared" si="142"/>
        <v>300.91675649863294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0.2585065762853449</v>
      </c>
      <c r="AA159" s="21">
        <f>EXP(-LN(2)/25)*AA158+(1-EXP(-LN(2)/25))/(LN(2)/25)*Calculateur!V159*Calculateur!X159*VLOOKUP('Données projet'!$B$9,Paramètres!$A$1:$I$89,3,0)*0.475*44/12</f>
        <v>0.23877050837913646</v>
      </c>
      <c r="AB159" s="21">
        <f>EXP(-LN(2)/2)*AB158+(1-EXP(-LN(2)/2))/(LN(2)/2)*V159*Y159*VLOOKUP('Données projet'!$B$9,Paramètres!$A$1:$I$89,3,0)*0.475*44/12</f>
        <v>1.0660067100197795E-18</v>
      </c>
      <c r="AC159" s="22">
        <f t="shared" si="163"/>
        <v>0.49727708466448139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-5.6843418860808015E-13</v>
      </c>
      <c r="AJ159" s="13">
        <f>AI159*VLOOKUP('Données projet'!$B$10,Paramètres!$A$1:$I$89,3,0)*VLOOKUP('Données projet'!$B$10,Paramètres!$A$1:$I$89,5,0)</f>
        <v>-5.1431925385259092E-13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505.38595282220405</v>
      </c>
      <c r="AO159" s="59">
        <f t="shared" si="144"/>
        <v>351.72130415456365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0.19863153578440376</v>
      </c>
      <c r="AV159" s="21">
        <f>EXP(-LN(2)/25)*AV158+(1-EXP(-LN(2)/25))/(LN(2)/25)*Calculateur!AQ159*Calculateur!AS159*VLOOKUP('Données projet'!$B$10,Paramètres!$A$1:$I$89,3,0)*0.475*44/12</f>
        <v>0.34294653556281846</v>
      </c>
      <c r="AW159" s="21">
        <f>EXP(-LN(2)/2)*AW158+(1-EXP(-LN(2)/2))/(LN(2)/2)*AQ159*AT159*VLOOKUP('Données projet'!$B$10,Paramètres!$A$1:$I$89,3,0)*0.475*44/12</f>
        <v>2.3368174554798179E-18</v>
      </c>
      <c r="AX159" s="21">
        <f t="shared" si="166"/>
        <v>0.54157807134722225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-4.0702161641092972E-13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394.14657090341535</v>
      </c>
      <c r="BJ159" s="59">
        <f t="shared" si="146"/>
        <v>424.06445894109982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0.26909635185707903</v>
      </c>
      <c r="BQ159" s="21">
        <f>EXP(-LN(2)/25)*BQ158+(1-EXP(-LN(2)/25))/(LN(2)/25)*Calculateur!BL159*Calculateur!BN159*VLOOKUP('Données projet'!$B$11,Paramètres!$A$1:$I$89,3,0)*0.475*44/12</f>
        <v>0.62370290966276298</v>
      </c>
      <c r="BR159" s="21">
        <f>EXP(-LN(2)/2)*BR158+(1-EXP(-LN(2)/2))/(LN(2)/2)*BL159*BO159*VLOOKUP('Données projet'!$B$11,Paramètres!$A$1:$I$89,3,0)*0.475*44/12</f>
        <v>2.6063173161292904E-18</v>
      </c>
      <c r="BS159" s="22">
        <f t="shared" si="169"/>
        <v>0.89279926151984201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3.1036506698001181E-13</v>
      </c>
      <c r="CA159" s="13">
        <f t="shared" si="170"/>
        <v>4.086682523110923E-12</v>
      </c>
      <c r="CB159" s="20">
        <f t="shared" si="171"/>
        <v>7.6581912194083782E-12</v>
      </c>
      <c r="CC159" s="59">
        <f t="shared" si="119"/>
        <v>287.35489844709599</v>
      </c>
      <c r="CD159" s="59">
        <f ca="1">AVERAGE(OFFSET($CC$3,0,0,'Données projet'!$E$12+1,1))-AVERAGE(OFFSET($H$3,0,0,'Données projet'!$E$12+1,1))</f>
        <v>382.09004346384319</v>
      </c>
      <c r="CE159" s="59">
        <f t="shared" si="148"/>
        <v>410.18893995284986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0.7024579573450046</v>
      </c>
      <c r="CL159" s="21">
        <f>EXP(-LN(2)/25)*CL158+(1-EXP(-LN(2)/25))/(LN(2)/25)*Calculateur!CG159*Calculateur!CI159*VLOOKUP('Données projet'!$B$12,Paramètres!$A$1:$I$89,3,0)*0.475*44/12</f>
        <v>1.0345929983969013</v>
      </c>
      <c r="CM159" s="21">
        <f>EXP(-LN(2)/2)*CM158+(1-EXP(-LN(2)/2))/(LN(2)/2)*CG159*CJ159*VLOOKUP('Données projet'!$B$12,Paramètres!$A$1:$I$89,3,0)*0.475*44/12</f>
        <v>2.7302841102193692E-18</v>
      </c>
      <c r="CN159" s="22">
        <f t="shared" si="172"/>
        <v>1.737050955741906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363.02374534486341</v>
      </c>
      <c r="CZ159" s="59">
        <f t="shared" si="150"/>
        <v>489.00477393029598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0.60274397065612251</v>
      </c>
      <c r="DG159" s="21">
        <f>EXP(-LN(2)/25)*DG158+(1-EXP(-LN(2)/25))/(LN(2)/25)*Calculateur!DB159*Calculateur!DD159*VLOOKUP('Données projet'!$B$13,Paramètres!$A$1:$I$89,3,0)*0.475*44/12</f>
        <v>0.58853005962178828</v>
      </c>
      <c r="DH159" s="21">
        <f>EXP(-LN(2)/2)*DH158+(1-EXP(-LN(2)/2))/(LN(2)/2)*DB159*DE159*VLOOKUP('Données projet'!$B$13,Paramètres!$A$1:$I$89,3,0)*0.475*44/12</f>
        <v>3.178332078119092E-18</v>
      </c>
      <c r="DI159" s="22">
        <f t="shared" si="175"/>
        <v>1.1912740302779108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-3.7509835237869992E-13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368.03281986807173</v>
      </c>
      <c r="DU159" s="59">
        <f t="shared" si="152"/>
        <v>395.83504504492248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0.20120004702299554</v>
      </c>
      <c r="EB159" s="21">
        <f>EXP(-LN(2)/25)*EB158+(1-EXP(-LN(2)/25))/(LN(2)/25)*Calculateur!DW159*Calculateur!DY159*VLOOKUP('Données projet'!$B$14,Paramètres!$A$1:$I$89,3,0)*0.475*44/12</f>
        <v>0.46633502790545572</v>
      </c>
      <c r="EC159" s="21">
        <f>EXP(-LN(2)/2)*EC158+(1-EXP(-LN(2)/2))/(LN(2)/2)*DW159*DZ159*VLOOKUP('Données projet'!$B$14,Paramètres!$A$1:$I$89,3,0)*0.475*44/12</f>
        <v>2.4019002717270171E-18</v>
      </c>
      <c r="ED159" s="22">
        <f t="shared" si="178"/>
        <v>0.66753507492845121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225.2264820414552</v>
      </c>
      <c r="EP159" s="59">
        <f t="shared" si="154"/>
        <v>249.91838548328681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0.18244660083631242</v>
      </c>
      <c r="EW159" s="21">
        <f>EXP(-LN(2)/25)*EW158+(1-EXP(-LN(2)/25))/(LN(2)/25)*Calculateur!ER159*Calculateur!ET159*VLOOKUP('Données projet'!$B$15,Paramètres!$A$1:$I$89,3,0)*0.475*44/12</f>
        <v>0.26309067690481369</v>
      </c>
      <c r="EX159" s="21">
        <f>EXP(-LN(2)/2)*EX158+(1-EXP(-LN(2)/2))/(LN(2)/2)*ER159*EU159*VLOOKUP('Données projet'!$B$15,Paramètres!$A$1:$I$89,3,0)*0.475*44/12</f>
        <v>4.3861644033351681E-19</v>
      </c>
      <c r="EY159" s="22">
        <f t="shared" si="181"/>
        <v>0.44553727774112611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-1.2505552149377763E-12</v>
      </c>
      <c r="FF159" s="17">
        <f>FE159*VLOOKUP('Données projet'!$B$16,Paramètres!$A$1:$I$89,3,0)*VLOOKUP('Données projet'!$B$16,Paramètres!$A$1:$I$89,5,0)</f>
        <v>-6.9906036515021697E-13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549.85684198202534</v>
      </c>
      <c r="FK159" s="59">
        <f t="shared" si="156"/>
        <v>539.63748606275431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0.94178745415019327</v>
      </c>
      <c r="FR159" s="21">
        <f>EXP(-LN(2)/25)*FR158+(1-EXP(-LN(2)/25))/(LN(2)/25)*Calculateur!FM159*Calculateur!FO159*VLOOKUP('Données projet'!$B$16,Paramètres!$A$1:$I$89,3,0)*0.475*44/12</f>
        <v>1.1781103749215469</v>
      </c>
      <c r="FS159" s="21">
        <f>EXP(-LN(2)/2)*FS158+(1-EXP(-LN(2)/2))/(LN(2)/2)*FM159*FP159*VLOOKUP('Données projet'!$B$16,Paramètres!$A$1:$I$89,3,0)*0.475*44/12</f>
        <v>3.9542903841783255E-18</v>
      </c>
      <c r="FT159" s="22">
        <f t="shared" si="184"/>
        <v>2.1198978290717401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-5.6843418860808015E-13</v>
      </c>
      <c r="GA159" s="17">
        <f>FZ159*VLOOKUP('Données projet'!$B$17,Paramètres!$A$1:$I$89,3,0)*VLOOKUP('Données projet'!$B$17,Paramètres!$A$1:$I$89,5,0)</f>
        <v>-3.39923644787632E-13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495.6641415122013</v>
      </c>
      <c r="GF159" s="59">
        <f t="shared" si="158"/>
        <v>488.90534169400757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0.3297251636517371</v>
      </c>
      <c r="GM159" s="21">
        <f>EXP(-LN(2)/25)*GM158+(1-EXP(-LN(2)/25))/(LN(2)/25)*Calculateur!GH159*Calculateur!GJ159*VLOOKUP('Données projet'!$B$17,Paramètres!$A$1:$I$89,3,0)*0.475*44/12</f>
        <v>0.79043694030945499</v>
      </c>
      <c r="GN159" s="21">
        <f>EXP(-LN(2)/2)*GN158+(1-EXP(-LN(2)/2))/(LN(2)/2)*GH159*GK159*VLOOKUP('Données projet'!$B$17,Paramètres!$A$1:$I$89,3,0)*0.475*44/12</f>
        <v>3.7686144779283544E-18</v>
      </c>
      <c r="GO159" s="21">
        <f t="shared" si="187"/>
        <v>1.1201621039611922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-5.6843418860808015E-13</v>
      </c>
      <c r="GV159" s="17">
        <f>GU159*VLOOKUP('Données projet'!$B$18,Paramètres!$A$1:$I$89,3,0)*VLOOKUP('Données projet'!$B$18,Paramètres!$A$1:$I$89,5,0)</f>
        <v>-3.39923644787632E-13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-18.333333333333343</v>
      </c>
      <c r="HA159" s="59">
        <f t="shared" si="160"/>
        <v>-18.333333333333343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0.3297251636517371</v>
      </c>
      <c r="HH159" s="21">
        <f>EXP(-LN(2)/25)*HH158+(1-EXP(-LN(2)/25))/(LN(2)/25)*Calculateur!HC159*Calculateur!HE159*VLOOKUP('Données projet'!$B$18,Paramètres!$A$1:$I$89,3,0)*0.475*44/12</f>
        <v>0.79043694030945499</v>
      </c>
      <c r="HI159" s="21">
        <f>EXP(-LN(2)/2)*HI158+(1-EXP(-LN(2)/2))/(LN(2)/2)*HC159*HF159*VLOOKUP('Données projet'!$B$18,Paramètres!$A$1:$I$89,3,0)*0.475*44/12</f>
        <v>3.7686144779283544E-18</v>
      </c>
      <c r="HJ159" s="22">
        <f t="shared" si="190"/>
        <v>1.1201621039611922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376.11581547534814</v>
      </c>
      <c r="T160" s="59">
        <f t="shared" si="142"/>
        <v>300.91675649863294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0.25343741999783187</v>
      </c>
      <c r="AA160" s="21">
        <f>EXP(-LN(2)/25)*AA159+(1-EXP(-LN(2)/25))/(LN(2)/25)*Calculateur!V160*Calculateur!X160*VLOOKUP('Données projet'!$B$9,Paramètres!$A$1:$I$89,3,0)*0.475*44/12</f>
        <v>0.23224131627111366</v>
      </c>
      <c r="AB160" s="21">
        <f>EXP(-LN(2)/2)*AB159+(1-EXP(-LN(2)/2))/(LN(2)/2)*V160*Y160*VLOOKUP('Données projet'!$B$9,Paramètres!$A$1:$I$89,3,0)*0.475*44/12</f>
        <v>7.5378057344534765E-19</v>
      </c>
      <c r="AC160" s="22">
        <f t="shared" si="163"/>
        <v>0.48567873626894553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-5.6843418860808015E-13</v>
      </c>
      <c r="AJ160" s="13">
        <f>AI160*VLOOKUP('Données projet'!$B$10,Paramètres!$A$1:$I$89,3,0)*VLOOKUP('Données projet'!$B$10,Paramètres!$A$1:$I$89,5,0)</f>
        <v>-5.1431925385259092E-13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505.38595282220405</v>
      </c>
      <c r="AO160" s="59">
        <f t="shared" si="144"/>
        <v>351.72130415456365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0.19473649252094555</v>
      </c>
      <c r="AV160" s="21">
        <f>EXP(-LN(2)/25)*AV159+(1-EXP(-LN(2)/25))/(LN(2)/25)*Calculateur!AQ160*Calculateur!AS160*VLOOKUP('Données projet'!$B$10,Paramètres!$A$1:$I$89,3,0)*0.475*44/12</f>
        <v>0.33356864451307872</v>
      </c>
      <c r="AW160" s="21">
        <f>EXP(-LN(2)/2)*AW159+(1-EXP(-LN(2)/2))/(LN(2)/2)*AQ160*AT160*VLOOKUP('Données projet'!$B$10,Paramètres!$A$1:$I$89,3,0)*0.475*44/12</f>
        <v>1.6523794691648724E-18</v>
      </c>
      <c r="AX160" s="21">
        <f t="shared" si="166"/>
        <v>0.52830513703402426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-4.0702161641092972E-13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394.14657090341535</v>
      </c>
      <c r="BJ160" s="59">
        <f t="shared" si="146"/>
        <v>424.06445894109982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0.26381953652972961</v>
      </c>
      <c r="BQ160" s="21">
        <f>EXP(-LN(2)/25)*BQ159+(1-EXP(-LN(2)/25))/(LN(2)/25)*Calculateur!BL160*Calculateur!BN160*VLOOKUP('Données projet'!$B$11,Paramètres!$A$1:$I$89,3,0)*0.475*44/12</f>
        <v>0.60664772079892415</v>
      </c>
      <c r="BR160" s="21">
        <f>EXP(-LN(2)/2)*BR159+(1-EXP(-LN(2)/2))/(LN(2)/2)*BL160*BO160*VLOOKUP('Données projet'!$B$11,Paramètres!$A$1:$I$89,3,0)*0.475*44/12</f>
        <v>1.842944648158944E-18</v>
      </c>
      <c r="BS160" s="22">
        <f t="shared" si="169"/>
        <v>0.87046725732865382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3.1036506698001181E-13</v>
      </c>
      <c r="CA160" s="13">
        <f t="shared" si="170"/>
        <v>4.086682523110923E-12</v>
      </c>
      <c r="CB160" s="20">
        <f t="shared" si="171"/>
        <v>7.6581912194083782E-12</v>
      </c>
      <c r="CC160" s="59">
        <f t="shared" si="119"/>
        <v>287.45861092659425</v>
      </c>
      <c r="CD160" s="59">
        <f ca="1">AVERAGE(OFFSET($CC$3,0,0,'Données projet'!$E$12+1,1))-AVERAGE(OFFSET($H$3,0,0,'Données projet'!$E$12+1,1))</f>
        <v>382.09004346384319</v>
      </c>
      <c r="CE160" s="59">
        <f t="shared" si="148"/>
        <v>410.18893995284986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0.68868318525851646</v>
      </c>
      <c r="CL160" s="21">
        <f>EXP(-LN(2)/25)*CL159+(1-EXP(-LN(2)/25))/(LN(2)/25)*Calculateur!CG160*Calculateur!CI160*VLOOKUP('Données projet'!$B$12,Paramètres!$A$1:$I$89,3,0)*0.475*44/12</f>
        <v>1.0063019984488568</v>
      </c>
      <c r="CM160" s="21">
        <f>EXP(-LN(2)/2)*CM159+(1-EXP(-LN(2)/2))/(LN(2)/2)*CG160*CJ160*VLOOKUP('Données projet'!$B$12,Paramètres!$A$1:$I$89,3,0)*0.475*44/12</f>
        <v>1.9306024089019951E-18</v>
      </c>
      <c r="CN160" s="22">
        <f t="shared" si="172"/>
        <v>1.6949851837073733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363.02374534486341</v>
      </c>
      <c r="CZ160" s="59">
        <f t="shared" si="150"/>
        <v>489.00477393029598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0.59092452902907688</v>
      </c>
      <c r="DG160" s="21">
        <f>EXP(-LN(2)/25)*DG159+(1-EXP(-LN(2)/25))/(LN(2)/25)*Calculateur!DB160*Calculateur!DD160*VLOOKUP('Données projet'!$B$13,Paramètres!$A$1:$I$89,3,0)*0.475*44/12</f>
        <v>0.57243667419197974</v>
      </c>
      <c r="DH160" s="21">
        <f>EXP(-LN(2)/2)*DH159+(1-EXP(-LN(2)/2))/(LN(2)/2)*DB160*DE160*VLOOKUP('Données projet'!$B$13,Paramètres!$A$1:$I$89,3,0)*0.475*44/12</f>
        <v>2.2474201653007417E-18</v>
      </c>
      <c r="DI160" s="22">
        <f t="shared" si="175"/>
        <v>1.1633612032210565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-3.7509835237869992E-13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368.03281986807173</v>
      </c>
      <c r="DU160" s="59">
        <f t="shared" si="152"/>
        <v>395.83504504492248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0.1972546368207857</v>
      </c>
      <c r="EB160" s="21">
        <f>EXP(-LN(2)/25)*EB159+(1-EXP(-LN(2)/25))/(LN(2)/25)*Calculateur!DW160*Calculateur!DY160*VLOOKUP('Données projet'!$B$14,Paramètres!$A$1:$I$89,3,0)*0.475*44/12</f>
        <v>0.45358307204388776</v>
      </c>
      <c r="EC160" s="21">
        <f>EXP(-LN(2)/2)*EC159+(1-EXP(-LN(2)/2))/(LN(2)/2)*DW160*DZ160*VLOOKUP('Données projet'!$B$14,Paramètres!$A$1:$I$89,3,0)*0.475*44/12</f>
        <v>1.6983999698719851E-18</v>
      </c>
      <c r="ED160" s="22">
        <f t="shared" si="178"/>
        <v>0.65083770886467351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225.2264820414552</v>
      </c>
      <c r="EP160" s="59">
        <f t="shared" si="154"/>
        <v>249.91838548328681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0.17886893427535072</v>
      </c>
      <c r="EW160" s="21">
        <f>EXP(-LN(2)/25)*EW159+(1-EXP(-LN(2)/25))/(LN(2)/25)*Calculateur!ER160*Calculateur!ET160*VLOOKUP('Données projet'!$B$15,Paramètres!$A$1:$I$89,3,0)*0.475*44/12</f>
        <v>0.25589644850951415</v>
      </c>
      <c r="EX160" s="21">
        <f>EXP(-LN(2)/2)*EX159+(1-EXP(-LN(2)/2))/(LN(2)/2)*ER160*EU160*VLOOKUP('Données projet'!$B$15,Paramètres!$A$1:$I$89,3,0)*0.475*44/12</f>
        <v>3.1014865929973445E-19</v>
      </c>
      <c r="EY160" s="22">
        <f t="shared" si="181"/>
        <v>0.43476538278486487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-1.2505552149377763E-12</v>
      </c>
      <c r="FF160" s="17">
        <f>FE160*VLOOKUP('Données projet'!$B$16,Paramètres!$A$1:$I$89,3,0)*VLOOKUP('Données projet'!$B$16,Paramètres!$A$1:$I$89,5,0)</f>
        <v>-6.9906036515021697E-13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549.85684198202534</v>
      </c>
      <c r="FK160" s="59">
        <f t="shared" si="156"/>
        <v>539.63748606275431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0.9233195766079344</v>
      </c>
      <c r="FR160" s="21">
        <f>EXP(-LN(2)/25)*FR159+(1-EXP(-LN(2)/25))/(LN(2)/25)*Calculateur!FM160*Calculateur!FO160*VLOOKUP('Données projet'!$B$16,Paramètres!$A$1:$I$89,3,0)*0.475*44/12</f>
        <v>1.1458948847651853</v>
      </c>
      <c r="FS160" s="21">
        <f>EXP(-LN(2)/2)*FS159+(1-EXP(-LN(2)/2))/(LN(2)/2)*FM160*FP160*VLOOKUP('Données projet'!$B$16,Paramètres!$A$1:$I$89,3,0)*0.475*44/12</f>
        <v>2.7961055454332522E-18</v>
      </c>
      <c r="FT160" s="22">
        <f t="shared" si="184"/>
        <v>2.0692144613731198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-5.6843418860808015E-13</v>
      </c>
      <c r="GA160" s="17">
        <f>FZ160*VLOOKUP('Données projet'!$B$17,Paramètres!$A$1:$I$89,3,0)*VLOOKUP('Données projet'!$B$17,Paramètres!$A$1:$I$89,5,0)</f>
        <v>-3.39923644787632E-13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495.6641415122013</v>
      </c>
      <c r="GF160" s="59">
        <f t="shared" si="158"/>
        <v>488.90534169400757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0.32325945430501812</v>
      </c>
      <c r="GM160" s="21">
        <f>EXP(-LN(2)/25)*GM159+(1-EXP(-LN(2)/25))/(LN(2)/25)*Calculateur!GH160*Calculateur!GJ160*VLOOKUP('Données projet'!$B$17,Paramètres!$A$1:$I$89,3,0)*0.475*44/12</f>
        <v>0.76882240060942086</v>
      </c>
      <c r="GN160" s="21">
        <f>EXP(-LN(2)/2)*GN159+(1-EXP(-LN(2)/2))/(LN(2)/2)*GH160*GK160*VLOOKUP('Données projet'!$B$17,Paramètres!$A$1:$I$89,3,0)*0.475*44/12</f>
        <v>2.66481285302094E-18</v>
      </c>
      <c r="GO160" s="21">
        <f t="shared" si="187"/>
        <v>1.0920818549144391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-5.6843418860808015E-13</v>
      </c>
      <c r="GV160" s="17">
        <f>GU160*VLOOKUP('Données projet'!$B$18,Paramètres!$A$1:$I$89,3,0)*VLOOKUP('Données projet'!$B$18,Paramètres!$A$1:$I$89,5,0)</f>
        <v>-3.39923644787632E-13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-18.333333333333343</v>
      </c>
      <c r="HA160" s="59">
        <f t="shared" si="160"/>
        <v>-18.333333333333343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0.32325945430501812</v>
      </c>
      <c r="HH160" s="21">
        <f>EXP(-LN(2)/25)*HH159+(1-EXP(-LN(2)/25))/(LN(2)/25)*Calculateur!HC160*Calculateur!HE160*VLOOKUP('Données projet'!$B$18,Paramètres!$A$1:$I$89,3,0)*0.475*44/12</f>
        <v>0.76882240060942086</v>
      </c>
      <c r="HI160" s="21">
        <f>EXP(-LN(2)/2)*HI159+(1-EXP(-LN(2)/2))/(LN(2)/2)*HC160*HF160*VLOOKUP('Données projet'!$B$18,Paramètres!$A$1:$I$89,3,0)*0.475*44/12</f>
        <v>2.66481285302094E-18</v>
      </c>
      <c r="HJ160" s="22">
        <f t="shared" si="190"/>
        <v>1.0920818549144391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376.11581547534814</v>
      </c>
      <c r="T161" s="59">
        <f t="shared" si="142"/>
        <v>300.91675649863294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0.24846766677323692</v>
      </c>
      <c r="AA161" s="21">
        <f>EXP(-LN(2)/25)*AA160+(1-EXP(-LN(2)/25))/(LN(2)/25)*Calculateur!V161*Calculateur!X161*VLOOKUP('Données projet'!$B$9,Paramètres!$A$1:$I$89,3,0)*0.475*44/12</f>
        <v>0.22589066526464002</v>
      </c>
      <c r="AB161" s="21">
        <f>EXP(-LN(2)/2)*AB160+(1-EXP(-LN(2)/2))/(LN(2)/2)*V161*Y161*VLOOKUP('Données projet'!$B$9,Paramètres!$A$1:$I$89,3,0)*0.475*44/12</f>
        <v>5.3300335500988974E-19</v>
      </c>
      <c r="AC161" s="22">
        <f t="shared" si="163"/>
        <v>0.47435833203787692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-5.6843418860808015E-13</v>
      </c>
      <c r="AJ161" s="13">
        <f>AI161*VLOOKUP('Données projet'!$B$10,Paramètres!$A$1:$I$89,3,0)*VLOOKUP('Données projet'!$B$10,Paramètres!$A$1:$I$89,5,0)</f>
        <v>-5.1431925385259092E-13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505.38595282220405</v>
      </c>
      <c r="AO161" s="59">
        <f t="shared" si="144"/>
        <v>351.72130415456365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0.19091782868014193</v>
      </c>
      <c r="AV161" s="21">
        <f>EXP(-LN(2)/25)*AV160+(1-EXP(-LN(2)/25))/(LN(2)/25)*Calculateur!AQ161*Calculateur!AS161*VLOOKUP('Données projet'!$B$10,Paramètres!$A$1:$I$89,3,0)*0.475*44/12</f>
        <v>0.32444719238725594</v>
      </c>
      <c r="AW161" s="21">
        <f>EXP(-LN(2)/2)*AW160+(1-EXP(-LN(2)/2))/(LN(2)/2)*AQ161*AT161*VLOOKUP('Données projet'!$B$10,Paramètres!$A$1:$I$89,3,0)*0.475*44/12</f>
        <v>1.168408727739909E-18</v>
      </c>
      <c r="AX161" s="21">
        <f t="shared" si="166"/>
        <v>0.5153650210673979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-4.0702161641092972E-13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394.14657090341535</v>
      </c>
      <c r="BJ161" s="59">
        <f t="shared" si="146"/>
        <v>424.06445894109982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0.25864619633240998</v>
      </c>
      <c r="BQ161" s="21">
        <f>EXP(-LN(2)/25)*BQ160+(1-EXP(-LN(2)/25))/(LN(2)/25)*Calculateur!BL161*Calculateur!BN161*VLOOKUP('Données projet'!$B$11,Paramètres!$A$1:$I$89,3,0)*0.475*44/12</f>
        <v>0.59005890697146046</v>
      </c>
      <c r="BR161" s="21">
        <f>EXP(-LN(2)/2)*BR160+(1-EXP(-LN(2)/2))/(LN(2)/2)*BL161*BO161*VLOOKUP('Données projet'!$B$11,Paramètres!$A$1:$I$89,3,0)*0.475*44/12</f>
        <v>1.3031586580646452E-18</v>
      </c>
      <c r="BS161" s="22">
        <f t="shared" si="169"/>
        <v>0.84870510330387039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3.1036506698001181E-13</v>
      </c>
      <c r="CA161" s="13">
        <f t="shared" si="170"/>
        <v>4.086682523110923E-12</v>
      </c>
      <c r="CB161" s="20">
        <f t="shared" si="171"/>
        <v>7.6581912194083782E-12</v>
      </c>
      <c r="CC161" s="59">
        <f t="shared" si="119"/>
        <v>287.56052422643967</v>
      </c>
      <c r="CD161" s="59">
        <f ca="1">AVERAGE(OFFSET($CC$3,0,0,'Données projet'!$E$12+1,1))-AVERAGE(OFFSET($H$3,0,0,'Données projet'!$E$12+1,1))</f>
        <v>382.09004346384319</v>
      </c>
      <c r="CE161" s="59">
        <f t="shared" si="148"/>
        <v>410.18893995284986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0.67517852805086298</v>
      </c>
      <c r="CL161" s="21">
        <f>EXP(-LN(2)/25)*CL160+(1-EXP(-LN(2)/25))/(LN(2)/25)*Calculateur!CG161*Calculateur!CI161*VLOOKUP('Données projet'!$B$12,Paramètres!$A$1:$I$89,3,0)*0.475*44/12</f>
        <v>0.97878461738215061</v>
      </c>
      <c r="CM161" s="21">
        <f>EXP(-LN(2)/2)*CM160+(1-EXP(-LN(2)/2))/(LN(2)/2)*CG161*CJ161*VLOOKUP('Données projet'!$B$12,Paramètres!$A$1:$I$89,3,0)*0.475*44/12</f>
        <v>1.3651420551096846E-18</v>
      </c>
      <c r="CN161" s="22">
        <f t="shared" si="172"/>
        <v>1.6539631454330137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363.02374534486341</v>
      </c>
      <c r="CZ161" s="59">
        <f t="shared" si="150"/>
        <v>489.00477393029598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0.57933685944319002</v>
      </c>
      <c r="DG161" s="21">
        <f>EXP(-LN(2)/25)*DG160+(1-EXP(-LN(2)/25))/(LN(2)/25)*Calculateur!DB161*Calculateur!DD161*VLOOKUP('Données projet'!$B$13,Paramètres!$A$1:$I$89,3,0)*0.475*44/12</f>
        <v>0.55678336323306366</v>
      </c>
      <c r="DH161" s="21">
        <f>EXP(-LN(2)/2)*DH160+(1-EXP(-LN(2)/2))/(LN(2)/2)*DB161*DE161*VLOOKUP('Données projet'!$B$13,Paramètres!$A$1:$I$89,3,0)*0.475*44/12</f>
        <v>1.589166039059546E-18</v>
      </c>
      <c r="DI161" s="22">
        <f t="shared" si="175"/>
        <v>1.1361202226762537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-3.7509835237869992E-13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368.03281986807173</v>
      </c>
      <c r="DU161" s="59">
        <f t="shared" si="152"/>
        <v>395.83504504492248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0.19338659370617858</v>
      </c>
      <c r="EB161" s="21">
        <f>EXP(-LN(2)/25)*EB160+(1-EXP(-LN(2)/25))/(LN(2)/25)*Calculateur!DW161*Calculateur!DY161*VLOOKUP('Données projet'!$B$14,Paramètres!$A$1:$I$89,3,0)*0.475*44/12</f>
        <v>0.44117981908595055</v>
      </c>
      <c r="EC161" s="21">
        <f>EXP(-LN(2)/2)*EC160+(1-EXP(-LN(2)/2))/(LN(2)/2)*DW161*DZ161*VLOOKUP('Données projet'!$B$14,Paramètres!$A$1:$I$89,3,0)*0.475*44/12</f>
        <v>1.2009501358635088E-18</v>
      </c>
      <c r="ED161" s="22">
        <f t="shared" si="178"/>
        <v>0.63456641279212911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225.2264820414552</v>
      </c>
      <c r="EP161" s="59">
        <f t="shared" si="154"/>
        <v>249.91838548328681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0.17536142357348836</v>
      </c>
      <c r="EW161" s="21">
        <f>EXP(-LN(2)/25)*EW160+(1-EXP(-LN(2)/25))/(LN(2)/25)*Calculateur!ER161*Calculateur!ET161*VLOOKUP('Données projet'!$B$15,Paramètres!$A$1:$I$89,3,0)*0.475*44/12</f>
        <v>0.24889894666801213</v>
      </c>
      <c r="EX161" s="21">
        <f>EXP(-LN(2)/2)*EX160+(1-EXP(-LN(2)/2))/(LN(2)/2)*ER161*EU161*VLOOKUP('Données projet'!$B$15,Paramètres!$A$1:$I$89,3,0)*0.475*44/12</f>
        <v>2.1930822016675841E-19</v>
      </c>
      <c r="EY161" s="22">
        <f t="shared" si="181"/>
        <v>0.42426037024150048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-1.2505552149377763E-12</v>
      </c>
      <c r="FF161" s="17">
        <f>FE161*VLOOKUP('Données projet'!$B$16,Paramètres!$A$1:$I$89,3,0)*VLOOKUP('Données projet'!$B$16,Paramètres!$A$1:$I$89,5,0)</f>
        <v>-6.9906036515021697E-13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549.85684198202534</v>
      </c>
      <c r="FK161" s="59">
        <f t="shared" si="156"/>
        <v>539.63748606275431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0.90521384287998619</v>
      </c>
      <c r="FR161" s="21">
        <f>EXP(-LN(2)/25)*FR160+(1-EXP(-LN(2)/25))/(LN(2)/25)*Calculateur!FM161*Calculateur!FO161*VLOOKUP('Données projet'!$B$16,Paramètres!$A$1:$I$89,3,0)*0.475*44/12</f>
        <v>1.1145603288812882</v>
      </c>
      <c r="FS161" s="21">
        <f>EXP(-LN(2)/2)*FS160+(1-EXP(-LN(2)/2))/(LN(2)/2)*FM161*FP161*VLOOKUP('Données projet'!$B$16,Paramètres!$A$1:$I$89,3,0)*0.475*44/12</f>
        <v>1.9771451920891627E-18</v>
      </c>
      <c r="FT161" s="22">
        <f t="shared" si="184"/>
        <v>2.0197741717612745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-5.6843418860808015E-13</v>
      </c>
      <c r="GA161" s="17">
        <f>FZ161*VLOOKUP('Données projet'!$B$17,Paramètres!$A$1:$I$89,3,0)*VLOOKUP('Données projet'!$B$17,Paramètres!$A$1:$I$89,5,0)</f>
        <v>-3.39923644787632E-13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495.6641415122013</v>
      </c>
      <c r="GF161" s="59">
        <f t="shared" si="158"/>
        <v>488.90534169400757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0.31692053357489502</v>
      </c>
      <c r="GM161" s="21">
        <f>EXP(-LN(2)/25)*GM160+(1-EXP(-LN(2)/25))/(LN(2)/25)*Calculateur!GH161*Calculateur!GJ161*VLOOKUP('Données projet'!$B$17,Paramètres!$A$1:$I$89,3,0)*0.475*44/12</f>
        <v>0.74779891163414336</v>
      </c>
      <c r="GN161" s="21">
        <f>EXP(-LN(2)/2)*GN160+(1-EXP(-LN(2)/2))/(LN(2)/2)*GH161*GK161*VLOOKUP('Données projet'!$B$17,Paramètres!$A$1:$I$89,3,0)*0.475*44/12</f>
        <v>1.8843072389641772E-18</v>
      </c>
      <c r="GO161" s="21">
        <f t="shared" si="187"/>
        <v>1.0647194452090383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-5.6843418860808015E-13</v>
      </c>
      <c r="GV161" s="17">
        <f>GU161*VLOOKUP('Données projet'!$B$18,Paramètres!$A$1:$I$89,3,0)*VLOOKUP('Données projet'!$B$18,Paramètres!$A$1:$I$89,5,0)</f>
        <v>-3.39923644787632E-13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-18.333333333333343</v>
      </c>
      <c r="HA161" s="59">
        <f t="shared" si="160"/>
        <v>-18.333333333333343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0.31692053357489502</v>
      </c>
      <c r="HH161" s="21">
        <f>EXP(-LN(2)/25)*HH160+(1-EXP(-LN(2)/25))/(LN(2)/25)*Calculateur!HC161*Calculateur!HE161*VLOOKUP('Données projet'!$B$18,Paramètres!$A$1:$I$89,3,0)*0.475*44/12</f>
        <v>0.74779891163414336</v>
      </c>
      <c r="HI161" s="21">
        <f>EXP(-LN(2)/2)*HI160+(1-EXP(-LN(2)/2))/(LN(2)/2)*HC161*HF161*VLOOKUP('Données projet'!$B$18,Paramètres!$A$1:$I$89,3,0)*0.475*44/12</f>
        <v>1.8843072389641772E-18</v>
      </c>
      <c r="HJ161" s="22">
        <f t="shared" si="190"/>
        <v>1.0647194452090383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376.11581547534814</v>
      </c>
      <c r="T162" s="59">
        <f t="shared" si="142"/>
        <v>300.91675649863294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0.24359536737812612</v>
      </c>
      <c r="AA162" s="21">
        <f>EXP(-LN(2)/25)*AA161+(1-EXP(-LN(2)/25))/(LN(2)/25)*Calculateur!V162*Calculateur!X162*VLOOKUP('Données projet'!$B$9,Paramètres!$A$1:$I$89,3,0)*0.475*44/12</f>
        <v>0.21971367314390464</v>
      </c>
      <c r="AB162" s="21">
        <f>EXP(-LN(2)/2)*AB161+(1-EXP(-LN(2)/2))/(LN(2)/2)*V162*Y162*VLOOKUP('Données projet'!$B$9,Paramètres!$A$1:$I$89,3,0)*0.475*44/12</f>
        <v>3.7689028672267382E-19</v>
      </c>
      <c r="AC162" s="22">
        <f t="shared" si="163"/>
        <v>0.46330904052203076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-5.6843418860808015E-13</v>
      </c>
      <c r="AJ162" s="13">
        <f>AI162*VLOOKUP('Données projet'!$B$10,Paramètres!$A$1:$I$89,3,0)*VLOOKUP('Données projet'!$B$10,Paramètres!$A$1:$I$89,5,0)</f>
        <v>-5.1431925385259092E-13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505.38595282220405</v>
      </c>
      <c r="AO162" s="59">
        <f t="shared" si="144"/>
        <v>351.72130415456365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0.18717404650810152</v>
      </c>
      <c r="AV162" s="21">
        <f>EXP(-LN(2)/25)*AV161+(1-EXP(-LN(2)/25))/(LN(2)/25)*Calculateur!AQ162*Calculateur!AS162*VLOOKUP('Données projet'!$B$10,Paramètres!$A$1:$I$89,3,0)*0.475*44/12</f>
        <v>0.31557516684949011</v>
      </c>
      <c r="AW162" s="21">
        <f>EXP(-LN(2)/2)*AW161+(1-EXP(-LN(2)/2))/(LN(2)/2)*AQ162*AT162*VLOOKUP('Données projet'!$B$10,Paramètres!$A$1:$I$89,3,0)*0.475*44/12</f>
        <v>8.261897345824362E-19</v>
      </c>
      <c r="AX162" s="21">
        <f t="shared" si="166"/>
        <v>0.5027492133575916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-4.0702161641092972E-13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394.14657090341535</v>
      </c>
      <c r="BJ162" s="59">
        <f t="shared" si="146"/>
        <v>424.06445894109982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0.2535743021809338</v>
      </c>
      <c r="BQ162" s="21">
        <f>EXP(-LN(2)/25)*BQ161+(1-EXP(-LN(2)/25))/(LN(2)/25)*Calculateur!BL162*Calculateur!BN162*VLOOKUP('Données projet'!$B$11,Paramètres!$A$1:$I$89,3,0)*0.475*44/12</f>
        <v>0.57392371513047657</v>
      </c>
      <c r="BR162" s="21">
        <f>EXP(-LN(2)/2)*BR161+(1-EXP(-LN(2)/2))/(LN(2)/2)*BL162*BO162*VLOOKUP('Données projet'!$B$11,Paramètres!$A$1:$I$89,3,0)*0.475*44/12</f>
        <v>9.2147232407947199E-19</v>
      </c>
      <c r="BS162" s="22">
        <f t="shared" si="169"/>
        <v>0.82749801731141037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3.1036506698001181E-13</v>
      </c>
      <c r="CA162" s="13">
        <f t="shared" si="170"/>
        <v>4.086682523110923E-12</v>
      </c>
      <c r="CB162" s="20">
        <f t="shared" si="171"/>
        <v>7.6581912194083782E-12</v>
      </c>
      <c r="CC162" s="59">
        <f t="shared" si="119"/>
        <v>287.66066955837664</v>
      </c>
      <c r="CD162" s="59">
        <f ca="1">AVERAGE(OFFSET($CC$3,0,0,'Données projet'!$E$12+1,1))-AVERAGE(OFFSET($H$3,0,0,'Données projet'!$E$12+1,1))</f>
        <v>382.09004346384319</v>
      </c>
      <c r="CE162" s="59">
        <f t="shared" si="148"/>
        <v>410.18893995284986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0.66193868893402397</v>
      </c>
      <c r="CL162" s="21">
        <f>EXP(-LN(2)/25)*CL161+(1-EXP(-LN(2)/25))/(LN(2)/25)*Calculateur!CG162*Calculateur!CI162*VLOOKUP('Données projet'!$B$12,Paramètres!$A$1:$I$89,3,0)*0.475*44/12</f>
        <v>0.95201970054778973</v>
      </c>
      <c r="CM162" s="21">
        <f>EXP(-LN(2)/2)*CM161+(1-EXP(-LN(2)/2))/(LN(2)/2)*CG162*CJ162*VLOOKUP('Données projet'!$B$12,Paramètres!$A$1:$I$89,3,0)*0.475*44/12</f>
        <v>9.6530120445099756E-19</v>
      </c>
      <c r="CN162" s="22">
        <f t="shared" si="172"/>
        <v>1.6139583894818137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363.02374534486341</v>
      </c>
      <c r="CZ162" s="59">
        <f t="shared" si="150"/>
        <v>489.00477393029598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0.56797641699010182</v>
      </c>
      <c r="DG162" s="21">
        <f>EXP(-LN(2)/25)*DG161+(1-EXP(-LN(2)/25))/(LN(2)/25)*Calculateur!DB162*Calculateur!DD162*VLOOKUP('Données projet'!$B$13,Paramètres!$A$1:$I$89,3,0)*0.475*44/12</f>
        <v>0.54155809288549095</v>
      </c>
      <c r="DH162" s="21">
        <f>EXP(-LN(2)/2)*DH161+(1-EXP(-LN(2)/2))/(LN(2)/2)*DB162*DE162*VLOOKUP('Données projet'!$B$13,Paramètres!$A$1:$I$89,3,0)*0.475*44/12</f>
        <v>1.1237100826503708E-18</v>
      </c>
      <c r="DI162" s="22">
        <f t="shared" si="175"/>
        <v>1.1095345098755929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-3.7509835237869992E-13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368.03281986807173</v>
      </c>
      <c r="DU162" s="59">
        <f t="shared" si="152"/>
        <v>395.83504504492248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0.18959440055777557</v>
      </c>
      <c r="EB162" s="21">
        <f>EXP(-LN(2)/25)*EB161+(1-EXP(-LN(2)/25))/(LN(2)/25)*Calculateur!DW162*Calculateur!DY162*VLOOKUP('Données projet'!$B$14,Paramètres!$A$1:$I$89,3,0)*0.475*44/12</f>
        <v>0.42911573373240686</v>
      </c>
      <c r="EC162" s="21">
        <f>EXP(-LN(2)/2)*EC161+(1-EXP(-LN(2)/2))/(LN(2)/2)*DW162*DZ162*VLOOKUP('Données projet'!$B$14,Paramètres!$A$1:$I$89,3,0)*0.475*44/12</f>
        <v>8.4919998493599263E-19</v>
      </c>
      <c r="ED162" s="22">
        <f t="shared" si="178"/>
        <v>0.6187101342901824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225.2264820414552</v>
      </c>
      <c r="EP162" s="59">
        <f t="shared" si="154"/>
        <v>249.91838548328681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0.17192269301711921</v>
      </c>
      <c r="EW162" s="21">
        <f>EXP(-LN(2)/25)*EW161+(1-EXP(-LN(2)/25))/(LN(2)/25)*Calculateur!ER162*Calculateur!ET162*VLOOKUP('Données projet'!$B$15,Paramètres!$A$1:$I$89,3,0)*0.475*44/12</f>
        <v>0.24209279188234858</v>
      </c>
      <c r="EX162" s="21">
        <f>EXP(-LN(2)/2)*EX161+(1-EXP(-LN(2)/2))/(LN(2)/2)*ER162*EU162*VLOOKUP('Données projet'!$B$15,Paramètres!$A$1:$I$89,3,0)*0.475*44/12</f>
        <v>1.5507432964986723E-19</v>
      </c>
      <c r="EY162" s="22">
        <f t="shared" si="181"/>
        <v>0.41401548489946782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-1.2505552149377763E-12</v>
      </c>
      <c r="FF162" s="17">
        <f>FE162*VLOOKUP('Données projet'!$B$16,Paramètres!$A$1:$I$89,3,0)*VLOOKUP('Données projet'!$B$16,Paramètres!$A$1:$I$89,5,0)</f>
        <v>-6.9906036515021697E-13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549.85684198202534</v>
      </c>
      <c r="FK162" s="59">
        <f t="shared" si="156"/>
        <v>539.63748606275431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0.88746315154703592</v>
      </c>
      <c r="FR162" s="21">
        <f>EXP(-LN(2)/25)*FR161+(1-EXP(-LN(2)/25))/(LN(2)/25)*Calculateur!FM162*Calculateur!FO162*VLOOKUP('Données projet'!$B$16,Paramètres!$A$1:$I$89,3,0)*0.475*44/12</f>
        <v>1.0840826180758489</v>
      </c>
      <c r="FS162" s="21">
        <f>EXP(-LN(2)/2)*FS161+(1-EXP(-LN(2)/2))/(LN(2)/2)*FM162*FP162*VLOOKUP('Données projet'!$B$16,Paramètres!$A$1:$I$89,3,0)*0.475*44/12</f>
        <v>1.3980527727166261E-18</v>
      </c>
      <c r="FT162" s="22">
        <f t="shared" si="184"/>
        <v>1.9715457696228849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-5.6843418860808015E-13</v>
      </c>
      <c r="GA162" s="17">
        <f>FZ162*VLOOKUP('Données projet'!$B$17,Paramètres!$A$1:$I$89,3,0)*VLOOKUP('Données projet'!$B$17,Paramètres!$A$1:$I$89,5,0)</f>
        <v>-3.39923644787632E-13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495.6641415122013</v>
      </c>
      <c r="GF162" s="59">
        <f t="shared" si="158"/>
        <v>488.90534169400757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0.31070591521392976</v>
      </c>
      <c r="GM162" s="21">
        <f>EXP(-LN(2)/25)*GM161+(1-EXP(-LN(2)/25))/(LN(2)/25)*Calculateur!GH162*Calculateur!GJ162*VLOOKUP('Données projet'!$B$17,Paramètres!$A$1:$I$89,3,0)*0.475*44/12</f>
        <v>0.7273503110704721</v>
      </c>
      <c r="GN162" s="21">
        <f>EXP(-LN(2)/2)*GN161+(1-EXP(-LN(2)/2))/(LN(2)/2)*GH162*GK162*VLOOKUP('Données projet'!$B$17,Paramètres!$A$1:$I$89,3,0)*0.475*44/12</f>
        <v>1.33240642651047E-18</v>
      </c>
      <c r="GO162" s="21">
        <f t="shared" si="187"/>
        <v>1.038056226284402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-5.6843418860808015E-13</v>
      </c>
      <c r="GV162" s="17">
        <f>GU162*VLOOKUP('Données projet'!$B$18,Paramètres!$A$1:$I$89,3,0)*VLOOKUP('Données projet'!$B$18,Paramètres!$A$1:$I$89,5,0)</f>
        <v>-3.39923644787632E-13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-18.333333333333343</v>
      </c>
      <c r="HA162" s="59">
        <f t="shared" si="160"/>
        <v>-18.333333333333343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0.31070591521392976</v>
      </c>
      <c r="HH162" s="21">
        <f>EXP(-LN(2)/25)*HH161+(1-EXP(-LN(2)/25))/(LN(2)/25)*Calculateur!HC162*Calculateur!HE162*VLOOKUP('Données projet'!$B$18,Paramètres!$A$1:$I$89,3,0)*0.475*44/12</f>
        <v>0.7273503110704721</v>
      </c>
      <c r="HI162" s="21">
        <f>EXP(-LN(2)/2)*HI161+(1-EXP(-LN(2)/2))/(LN(2)/2)*HC162*HF162*VLOOKUP('Données projet'!$B$18,Paramètres!$A$1:$I$89,3,0)*0.475*44/12</f>
        <v>1.33240642651047E-18</v>
      </c>
      <c r="HJ162" s="22">
        <f t="shared" si="190"/>
        <v>1.038056226284402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376.11581547534814</v>
      </c>
      <c r="T163" s="59">
        <f t="shared" si="142"/>
        <v>300.91675649863294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0.23881861080234426</v>
      </c>
      <c r="AA163" s="21">
        <f>EXP(-LN(2)/25)*AA162+(1-EXP(-LN(2)/25))/(LN(2)/25)*Calculateur!V163*Calculateur!X163*VLOOKUP('Données projet'!$B$9,Paramètres!$A$1:$I$89,3,0)*0.475*44/12</f>
        <v>0.21370559119754465</v>
      </c>
      <c r="AB163" s="21">
        <f>EXP(-LN(2)/2)*AB162+(1-EXP(-LN(2)/2))/(LN(2)/2)*V163*Y163*VLOOKUP('Données projet'!$B$9,Paramètres!$A$1:$I$89,3,0)*0.475*44/12</f>
        <v>2.6650167750494487E-19</v>
      </c>
      <c r="AC163" s="22">
        <f t="shared" si="163"/>
        <v>0.45252420199988891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-5.6843418860808015E-13</v>
      </c>
      <c r="AJ163" s="13">
        <f>AI163*VLOOKUP('Données projet'!$B$10,Paramètres!$A$1:$I$89,3,0)*VLOOKUP('Données projet'!$B$10,Paramètres!$A$1:$I$89,5,0)</f>
        <v>-5.1431925385259092E-13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505.38595282220405</v>
      </c>
      <c r="AO163" s="59">
        <f t="shared" si="144"/>
        <v>351.72130415456365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0.18350367762097317</v>
      </c>
      <c r="AV163" s="21">
        <f>EXP(-LN(2)/25)*AV162+(1-EXP(-LN(2)/25))/(LN(2)/25)*Calculateur!AQ163*Calculateur!AS163*VLOOKUP('Données projet'!$B$10,Paramètres!$A$1:$I$89,3,0)*0.475*44/12</f>
        <v>0.30694574731661406</v>
      </c>
      <c r="AW163" s="21">
        <f>EXP(-LN(2)/2)*AW162+(1-EXP(-LN(2)/2))/(LN(2)/2)*AQ163*AT163*VLOOKUP('Données projet'!$B$10,Paramètres!$A$1:$I$89,3,0)*0.475*44/12</f>
        <v>5.8420436386995448E-19</v>
      </c>
      <c r="AX163" s="21">
        <f t="shared" si="166"/>
        <v>0.49044942493758725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-4.0702161641092972E-13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394.14657090341535</v>
      </c>
      <c r="BJ163" s="59">
        <f t="shared" si="146"/>
        <v>424.06445894109982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0.24860186478021812</v>
      </c>
      <c r="BQ163" s="21">
        <f>EXP(-LN(2)/25)*BQ162+(1-EXP(-LN(2)/25))/(LN(2)/25)*Calculateur!BL163*Calculateur!BN163*VLOOKUP('Données projet'!$B$11,Paramètres!$A$1:$I$89,3,0)*0.475*44/12</f>
        <v>0.55822974095889721</v>
      </c>
      <c r="BR163" s="21">
        <f>EXP(-LN(2)/2)*BR162+(1-EXP(-LN(2)/2))/(LN(2)/2)*BL163*BO163*VLOOKUP('Données projet'!$B$11,Paramètres!$A$1:$I$89,3,0)*0.475*44/12</f>
        <v>6.5157932903232261E-19</v>
      </c>
      <c r="BS163" s="22">
        <f t="shared" si="169"/>
        <v>0.80683160573911539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3.1036506698001181E-13</v>
      </c>
      <c r="CA163" s="13">
        <f t="shared" si="170"/>
        <v>4.086682523110923E-12</v>
      </c>
      <c r="CB163" s="20">
        <f t="shared" si="171"/>
        <v>7.6581912194083782E-12</v>
      </c>
      <c r="CC163" s="59">
        <f t="shared" si="119"/>
        <v>287.75907759269603</v>
      </c>
      <c r="CD163" s="59">
        <f ca="1">AVERAGE(OFFSET($CC$3,0,0,'Données projet'!$E$12+1,1))-AVERAGE(OFFSET($H$3,0,0,'Données projet'!$E$12+1,1))</f>
        <v>382.09004346384319</v>
      </c>
      <c r="CE163" s="59">
        <f t="shared" si="148"/>
        <v>410.18893995284986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0.64895847498676174</v>
      </c>
      <c r="CL163" s="21">
        <f>EXP(-LN(2)/25)*CL162+(1-EXP(-LN(2)/25))/(LN(2)/25)*Calculateur!CG163*Calculateur!CI163*VLOOKUP('Données projet'!$B$12,Paramètres!$A$1:$I$89,3,0)*0.475*44/12</f>
        <v>0.92598667177177019</v>
      </c>
      <c r="CM163" s="21">
        <f>EXP(-LN(2)/2)*CM162+(1-EXP(-LN(2)/2))/(LN(2)/2)*CG163*CJ163*VLOOKUP('Données projet'!$B$12,Paramètres!$A$1:$I$89,3,0)*0.475*44/12</f>
        <v>6.8257102755484231E-19</v>
      </c>
      <c r="CN163" s="22">
        <f t="shared" si="172"/>
        <v>1.574945146758532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363.02374534486341</v>
      </c>
      <c r="CZ163" s="59">
        <f t="shared" si="150"/>
        <v>489.00477393029598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0.55683874588433302</v>
      </c>
      <c r="DG163" s="21">
        <f>EXP(-LN(2)/25)*DG162+(1-EXP(-LN(2)/25))/(LN(2)/25)*Calculateur!DB163*Calculateur!DD163*VLOOKUP('Données projet'!$B$13,Paramètres!$A$1:$I$89,3,0)*0.475*44/12</f>
        <v>0.52674915835623481</v>
      </c>
      <c r="DH163" s="21">
        <f>EXP(-LN(2)/2)*DH162+(1-EXP(-LN(2)/2))/(LN(2)/2)*DB163*DE163*VLOOKUP('Données projet'!$B$13,Paramètres!$A$1:$I$89,3,0)*0.475*44/12</f>
        <v>7.9458301952977301E-19</v>
      </c>
      <c r="DI163" s="22">
        <f t="shared" si="175"/>
        <v>1.0835879042405678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-3.7509835237869992E-13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368.03281986807173</v>
      </c>
      <c r="DU163" s="59">
        <f t="shared" si="152"/>
        <v>395.83504504492248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0.18587657000400332</v>
      </c>
      <c r="EB163" s="21">
        <f>EXP(-LN(2)/25)*EB162+(1-EXP(-LN(2)/25))/(LN(2)/25)*Calculateur!DW163*Calculateur!DY163*VLOOKUP('Données projet'!$B$14,Paramètres!$A$1:$I$89,3,0)*0.475*44/12</f>
        <v>0.41738154142727851</v>
      </c>
      <c r="EC163" s="21">
        <f>EXP(-LN(2)/2)*EC162+(1-EXP(-LN(2)/2))/(LN(2)/2)*DW163*DZ163*VLOOKUP('Données projet'!$B$14,Paramètres!$A$1:$I$89,3,0)*0.475*44/12</f>
        <v>6.0047506793175448E-19</v>
      </c>
      <c r="ED163" s="22">
        <f t="shared" si="178"/>
        <v>0.60325811143128183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225.2264820414552</v>
      </c>
      <c r="EP163" s="59">
        <f t="shared" si="154"/>
        <v>249.91838548328681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0.16855139386954193</v>
      </c>
      <c r="EW163" s="21">
        <f>EXP(-LN(2)/25)*EW162+(1-EXP(-LN(2)/25))/(LN(2)/25)*Calculateur!ER163*Calculateur!ET163*VLOOKUP('Données projet'!$B$15,Paramètres!$A$1:$I$89,3,0)*0.475*44/12</f>
        <v>0.23547275175721916</v>
      </c>
      <c r="EX163" s="21">
        <f>EXP(-LN(2)/2)*EX162+(1-EXP(-LN(2)/2))/(LN(2)/2)*ER163*EU163*VLOOKUP('Données projet'!$B$15,Paramètres!$A$1:$I$89,3,0)*0.475*44/12</f>
        <v>1.096541100833792E-19</v>
      </c>
      <c r="EY163" s="22">
        <f t="shared" si="181"/>
        <v>0.40402414562676109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-1.2505552149377763E-12</v>
      </c>
      <c r="FF163" s="17">
        <f>FE163*VLOOKUP('Données projet'!$B$16,Paramètres!$A$1:$I$89,3,0)*VLOOKUP('Données projet'!$B$16,Paramètres!$A$1:$I$89,5,0)</f>
        <v>-6.9906036515021697E-13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549.85684198202534</v>
      </c>
      <c r="FK163" s="59">
        <f t="shared" si="156"/>
        <v>539.63748606275431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0.87006054044427217</v>
      </c>
      <c r="FR163" s="21">
        <f>EXP(-LN(2)/25)*FR162+(1-EXP(-LN(2)/25))/(LN(2)/25)*Calculateur!FM163*Calculateur!FO163*VLOOKUP('Données projet'!$B$16,Paramètres!$A$1:$I$89,3,0)*0.475*44/12</f>
        <v>1.0544383218751376</v>
      </c>
      <c r="FS163" s="21">
        <f>EXP(-LN(2)/2)*FS162+(1-EXP(-LN(2)/2))/(LN(2)/2)*FM163*FP163*VLOOKUP('Données projet'!$B$16,Paramètres!$A$1:$I$89,3,0)*0.475*44/12</f>
        <v>9.8857259604458137E-19</v>
      </c>
      <c r="FT163" s="22">
        <f t="shared" si="184"/>
        <v>1.9244988623194099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-5.6843418860808015E-13</v>
      </c>
      <c r="GA163" s="17">
        <f>FZ163*VLOOKUP('Données projet'!$B$17,Paramètres!$A$1:$I$89,3,0)*VLOOKUP('Données projet'!$B$17,Paramètres!$A$1:$I$89,5,0)</f>
        <v>-3.39923644787632E-13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495.6641415122013</v>
      </c>
      <c r="GF163" s="59">
        <f t="shared" si="158"/>
        <v>488.90534169400757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0.30461316172848013</v>
      </c>
      <c r="GM163" s="21">
        <f>EXP(-LN(2)/25)*GM162+(1-EXP(-LN(2)/25))/(LN(2)/25)*Calculateur!GH163*Calculateur!GJ163*VLOOKUP('Données projet'!$B$17,Paramètres!$A$1:$I$89,3,0)*0.475*44/12</f>
        <v>0.70746087856455953</v>
      </c>
      <c r="GN163" s="21">
        <f>EXP(-LN(2)/2)*GN162+(1-EXP(-LN(2)/2))/(LN(2)/2)*GH163*GK163*VLOOKUP('Données projet'!$B$17,Paramètres!$A$1:$I$89,3,0)*0.475*44/12</f>
        <v>9.421536194820886E-19</v>
      </c>
      <c r="GO163" s="21">
        <f t="shared" si="187"/>
        <v>1.0120740402930397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-5.6843418860808015E-13</v>
      </c>
      <c r="GV163" s="17">
        <f>GU163*VLOOKUP('Données projet'!$B$18,Paramètres!$A$1:$I$89,3,0)*VLOOKUP('Données projet'!$B$18,Paramètres!$A$1:$I$89,5,0)</f>
        <v>-3.39923644787632E-13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-18.333333333333343</v>
      </c>
      <c r="HA163" s="59">
        <f t="shared" si="160"/>
        <v>-18.333333333333343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0.30461316172848013</v>
      </c>
      <c r="HH163" s="21">
        <f>EXP(-LN(2)/25)*HH162+(1-EXP(-LN(2)/25))/(LN(2)/25)*Calculateur!HC163*Calculateur!HE163*VLOOKUP('Données projet'!$B$18,Paramètres!$A$1:$I$89,3,0)*0.475*44/12</f>
        <v>0.70746087856455953</v>
      </c>
      <c r="HI163" s="21">
        <f>EXP(-LN(2)/2)*HI162+(1-EXP(-LN(2)/2))/(LN(2)/2)*HC163*HF163*VLOOKUP('Données projet'!$B$18,Paramètres!$A$1:$I$89,3,0)*0.475*44/12</f>
        <v>9.421536194820886E-19</v>
      </c>
      <c r="HJ163" s="22">
        <f t="shared" si="190"/>
        <v>1.0120740402930397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376.11581547534814</v>
      </c>
      <c r="T164" s="59">
        <f t="shared" si="142"/>
        <v>300.91675649863294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0.23413552350947966</v>
      </c>
      <c r="AA164" s="21">
        <f>EXP(-LN(2)/25)*AA163+(1-EXP(-LN(2)/25))/(LN(2)/25)*Calculateur!V164*Calculateur!X164*VLOOKUP('Données projet'!$B$9,Paramètres!$A$1:$I$89,3,0)*0.475*44/12</f>
        <v>0.20786180056795917</v>
      </c>
      <c r="AB164" s="21">
        <f>EXP(-LN(2)/2)*AB163+(1-EXP(-LN(2)/2))/(LN(2)/2)*V164*Y164*VLOOKUP('Données projet'!$B$9,Paramètres!$A$1:$I$89,3,0)*0.475*44/12</f>
        <v>1.8844514336133691E-19</v>
      </c>
      <c r="AC164" s="22">
        <f t="shared" si="163"/>
        <v>0.44199732407743886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-5.6843418860808015E-13</v>
      </c>
      <c r="AJ164" s="13">
        <f>AI164*VLOOKUP('Données projet'!$B$10,Paramètres!$A$1:$I$89,3,0)*VLOOKUP('Données projet'!$B$10,Paramètres!$A$1:$I$89,5,0)</f>
        <v>-5.1431925385259092E-13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505.38595282220405</v>
      </c>
      <c r="AO164" s="59">
        <f t="shared" si="144"/>
        <v>351.72130415456365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0.17990528242901743</v>
      </c>
      <c r="AV164" s="21">
        <f>EXP(-LN(2)/25)*AV163+(1-EXP(-LN(2)/25))/(LN(2)/25)*Calculateur!AQ164*Calculateur!AS164*VLOOKUP('Données projet'!$B$10,Paramètres!$A$1:$I$89,3,0)*0.475*44/12</f>
        <v>0.2985522997146659</v>
      </c>
      <c r="AW164" s="21">
        <f>EXP(-LN(2)/2)*AW163+(1-EXP(-LN(2)/2))/(LN(2)/2)*AQ164*AT164*VLOOKUP('Données projet'!$B$10,Paramètres!$A$1:$I$89,3,0)*0.475*44/12</f>
        <v>4.130948672912181E-19</v>
      </c>
      <c r="AX164" s="21">
        <f t="shared" si="166"/>
        <v>0.47845758214368334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-4.0702161641092972E-13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394.14657090341535</v>
      </c>
      <c r="BJ164" s="59">
        <f t="shared" si="146"/>
        <v>424.06445894109982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0.24372693384404312</v>
      </c>
      <c r="BQ164" s="21">
        <f>EXP(-LN(2)/25)*BQ163+(1-EXP(-LN(2)/25))/(LN(2)/25)*Calculateur!BL164*Calculateur!BN164*VLOOKUP('Données projet'!$B$11,Paramètres!$A$1:$I$89,3,0)*0.475*44/12</f>
        <v>0.54296491933634994</v>
      </c>
      <c r="BR164" s="21">
        <f>EXP(-LN(2)/2)*BR163+(1-EXP(-LN(2)/2))/(LN(2)/2)*BL164*BO164*VLOOKUP('Données projet'!$B$11,Paramètres!$A$1:$I$89,3,0)*0.475*44/12</f>
        <v>4.6073616203973599E-19</v>
      </c>
      <c r="BS164" s="22">
        <f t="shared" si="169"/>
        <v>0.78669185318039303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3.1036506698001181E-13</v>
      </c>
      <c r="CA164" s="13">
        <f t="shared" si="170"/>
        <v>4.086682523110923E-12</v>
      </c>
      <c r="CB164" s="20">
        <f t="shared" si="171"/>
        <v>7.6581912194083782E-12</v>
      </c>
      <c r="CC164" s="59">
        <f t="shared" si="119"/>
        <v>287.85577846762737</v>
      </c>
      <c r="CD164" s="59">
        <f ca="1">AVERAGE(OFFSET($CC$3,0,0,'Données projet'!$E$12+1,1))-AVERAGE(OFFSET($H$3,0,0,'Données projet'!$E$12+1,1))</f>
        <v>382.09004346384319</v>
      </c>
      <c r="CE164" s="59">
        <f t="shared" si="148"/>
        <v>410.18893995284986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0.63623279511785658</v>
      </c>
      <c r="CL164" s="21">
        <f>EXP(-LN(2)/25)*CL163+(1-EXP(-LN(2)/25))/(LN(2)/25)*Calculateur!CG164*Calculateur!CI164*VLOOKUP('Données projet'!$B$12,Paramètres!$A$1:$I$89,3,0)*0.475*44/12</f>
        <v>0.90066551753664847</v>
      </c>
      <c r="CM164" s="21">
        <f>EXP(-LN(2)/2)*CM163+(1-EXP(-LN(2)/2))/(LN(2)/2)*CG164*CJ164*VLOOKUP('Données projet'!$B$12,Paramètres!$A$1:$I$89,3,0)*0.475*44/12</f>
        <v>4.8265060222549878E-19</v>
      </c>
      <c r="CN164" s="22">
        <f t="shared" si="172"/>
        <v>1.536898312654505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363.02374534486341</v>
      </c>
      <c r="CZ164" s="59">
        <f t="shared" si="150"/>
        <v>489.00477393029598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0.54591947771563976</v>
      </c>
      <c r="DG164" s="21">
        <f>EXP(-LN(2)/25)*DG163+(1-EXP(-LN(2)/25))/(LN(2)/25)*Calculateur!DB164*Calculateur!DD164*VLOOKUP('Données projet'!$B$13,Paramètres!$A$1:$I$89,3,0)*0.475*44/12</f>
        <v>0.51234517492044929</v>
      </c>
      <c r="DH164" s="21">
        <f>EXP(-LN(2)/2)*DH163+(1-EXP(-LN(2)/2))/(LN(2)/2)*DB164*DE164*VLOOKUP('Données projet'!$B$13,Paramètres!$A$1:$I$89,3,0)*0.475*44/12</f>
        <v>5.6185504132518542E-19</v>
      </c>
      <c r="DI164" s="22">
        <f t="shared" si="175"/>
        <v>1.058264652636089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-3.7509835237869992E-13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368.03281986807173</v>
      </c>
      <c r="DU164" s="59">
        <f t="shared" si="152"/>
        <v>395.83504504492248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0.18223164383973781</v>
      </c>
      <c r="EB164" s="21">
        <f>EXP(-LN(2)/25)*EB163+(1-EXP(-LN(2)/25))/(LN(2)/25)*Calculateur!DW164*Calculateur!DY164*VLOOKUP('Données projet'!$B$14,Paramètres!$A$1:$I$89,3,0)*0.475*44/12</f>
        <v>0.40596822122780823</v>
      </c>
      <c r="EC164" s="21">
        <f>EXP(-LN(2)/2)*EC163+(1-EXP(-LN(2)/2))/(LN(2)/2)*DW164*DZ164*VLOOKUP('Données projet'!$B$14,Paramètres!$A$1:$I$89,3,0)*0.475*44/12</f>
        <v>4.2459999246799641E-19</v>
      </c>
      <c r="ED164" s="22">
        <f t="shared" si="178"/>
        <v>0.58819986506754607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225.2264820414552</v>
      </c>
      <c r="EP164" s="59">
        <f t="shared" si="154"/>
        <v>249.91838548328681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0.1652462038419592</v>
      </c>
      <c r="EW164" s="21">
        <f>EXP(-LN(2)/25)*EW163+(1-EXP(-LN(2)/25))/(LN(2)/25)*Calculateur!ER164*Calculateur!ET164*VLOOKUP('Données projet'!$B$15,Paramètres!$A$1:$I$89,3,0)*0.475*44/12</f>
        <v>0.22903373697744417</v>
      </c>
      <c r="EX164" s="21">
        <f>EXP(-LN(2)/2)*EX163+(1-EXP(-LN(2)/2))/(LN(2)/2)*ER164*EU164*VLOOKUP('Données projet'!$B$15,Paramètres!$A$1:$I$89,3,0)*0.475*44/12</f>
        <v>7.7537164824933613E-20</v>
      </c>
      <c r="EY164" s="22">
        <f t="shared" si="181"/>
        <v>0.39427994081940337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-1.2505552149377763E-12</v>
      </c>
      <c r="FF164" s="17">
        <f>FE164*VLOOKUP('Données projet'!$B$16,Paramètres!$A$1:$I$89,3,0)*VLOOKUP('Données projet'!$B$16,Paramètres!$A$1:$I$89,5,0)</f>
        <v>-6.9906036515021697E-13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549.85684198202534</v>
      </c>
      <c r="FK164" s="59">
        <f t="shared" si="156"/>
        <v>539.63748606275431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0.85299918393068896</v>
      </c>
      <c r="FR164" s="21">
        <f>EXP(-LN(2)/25)*FR163+(1-EXP(-LN(2)/25))/(LN(2)/25)*Calculateur!FM164*Calculateur!FO164*VLOOKUP('Données projet'!$B$16,Paramètres!$A$1:$I$89,3,0)*0.475*44/12</f>
        <v>1.0256046505129606</v>
      </c>
      <c r="FS164" s="21">
        <f>EXP(-LN(2)/2)*FS163+(1-EXP(-LN(2)/2))/(LN(2)/2)*FM164*FP164*VLOOKUP('Données projet'!$B$16,Paramètres!$A$1:$I$89,3,0)*0.475*44/12</f>
        <v>6.9902638635831304E-19</v>
      </c>
      <c r="FT164" s="22">
        <f t="shared" si="184"/>
        <v>1.8786038344436495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-5.6843418860808015E-13</v>
      </c>
      <c r="GA164" s="17">
        <f>FZ164*VLOOKUP('Données projet'!$B$17,Paramètres!$A$1:$I$89,3,0)*VLOOKUP('Données projet'!$B$17,Paramètres!$A$1:$I$89,5,0)</f>
        <v>-3.39923644787632E-13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495.6641415122013</v>
      </c>
      <c r="GF164" s="59">
        <f t="shared" si="158"/>
        <v>488.90534169400757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0.29863988342266751</v>
      </c>
      <c r="GM164" s="21">
        <f>EXP(-LN(2)/25)*GM163+(1-EXP(-LN(2)/25))/(LN(2)/25)*Calculateur!GH164*Calculateur!GJ164*VLOOKUP('Données projet'!$B$17,Paramètres!$A$1:$I$89,3,0)*0.475*44/12</f>
        <v>0.688115323636461</v>
      </c>
      <c r="GN164" s="21">
        <f>EXP(-LN(2)/2)*GN163+(1-EXP(-LN(2)/2))/(LN(2)/2)*GH164*GK164*VLOOKUP('Données projet'!$B$17,Paramètres!$A$1:$I$89,3,0)*0.475*44/12</f>
        <v>6.6620321325523499E-19</v>
      </c>
      <c r="GO164" s="21">
        <f t="shared" si="187"/>
        <v>0.98675520705912856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-5.6843418860808015E-13</v>
      </c>
      <c r="GV164" s="17">
        <f>GU164*VLOOKUP('Données projet'!$B$18,Paramètres!$A$1:$I$89,3,0)*VLOOKUP('Données projet'!$B$18,Paramètres!$A$1:$I$89,5,0)</f>
        <v>-3.39923644787632E-13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-18.333333333333343</v>
      </c>
      <c r="HA164" s="59">
        <f t="shared" si="160"/>
        <v>-18.333333333333343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0.29863988342266751</v>
      </c>
      <c r="HH164" s="21">
        <f>EXP(-LN(2)/25)*HH163+(1-EXP(-LN(2)/25))/(LN(2)/25)*Calculateur!HC164*Calculateur!HE164*VLOOKUP('Données projet'!$B$18,Paramètres!$A$1:$I$89,3,0)*0.475*44/12</f>
        <v>0.688115323636461</v>
      </c>
      <c r="HI164" s="21">
        <f>EXP(-LN(2)/2)*HI163+(1-EXP(-LN(2)/2))/(LN(2)/2)*HC164*HF164*VLOOKUP('Données projet'!$B$18,Paramètres!$A$1:$I$89,3,0)*0.475*44/12</f>
        <v>6.6620321325523499E-19</v>
      </c>
      <c r="HJ164" s="22">
        <f t="shared" si="190"/>
        <v>0.98675520705912856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376.11581547534814</v>
      </c>
      <c r="T165" s="59">
        <f t="shared" si="142"/>
        <v>300.91675649863294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0.22954426870202693</v>
      </c>
      <c r="AA165" s="21">
        <f>EXP(-LN(2)/25)*AA164+(1-EXP(-LN(2)/25))/(LN(2)/25)*Calculateur!V165*Calculateur!X165*VLOOKUP('Données projet'!$B$9,Paramètres!$A$1:$I$89,3,0)*0.475*44/12</f>
        <v>0.20217780870045129</v>
      </c>
      <c r="AB165" s="21">
        <f>EXP(-LN(2)/2)*AB164+(1-EXP(-LN(2)/2))/(LN(2)/2)*V165*Y165*VLOOKUP('Données projet'!$B$9,Paramètres!$A$1:$I$89,3,0)*0.475*44/12</f>
        <v>1.3325083875247244E-19</v>
      </c>
      <c r="AC165" s="22">
        <f t="shared" si="163"/>
        <v>0.43172207740247825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-5.6843418860808015E-13</v>
      </c>
      <c r="AJ165" s="13">
        <f>AI165*VLOOKUP('Données projet'!$B$10,Paramètres!$A$1:$I$89,3,0)*VLOOKUP('Données projet'!$B$10,Paramètres!$A$1:$I$89,5,0)</f>
        <v>-5.1431925385259092E-13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505.38595282220405</v>
      </c>
      <c r="AO165" s="59">
        <f t="shared" si="144"/>
        <v>351.72130415456365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0.1763774495719716</v>
      </c>
      <c r="AV165" s="21">
        <f>EXP(-LN(2)/25)*AV164+(1-EXP(-LN(2)/25))/(LN(2)/25)*Calculateur!AQ165*Calculateur!AS165*VLOOKUP('Données projet'!$B$10,Paramètres!$A$1:$I$89,3,0)*0.475*44/12</f>
        <v>0.29038837137878526</v>
      </c>
      <c r="AW165" s="21">
        <f>EXP(-LN(2)/2)*AW164+(1-EXP(-LN(2)/2))/(LN(2)/2)*AQ165*AT165*VLOOKUP('Données projet'!$B$10,Paramètres!$A$1:$I$89,3,0)*0.475*44/12</f>
        <v>2.9210218193497724E-19</v>
      </c>
      <c r="AX165" s="21">
        <f t="shared" si="166"/>
        <v>0.46676582095075686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-4.0702161641092972E-13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394.14657090341535</v>
      </c>
      <c r="BJ165" s="59">
        <f t="shared" si="146"/>
        <v>424.06445894109982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0.23894759733011225</v>
      </c>
      <c r="BQ165" s="21">
        <f>EXP(-LN(2)/25)*BQ164+(1-EXP(-LN(2)/25))/(LN(2)/25)*Calculateur!BL165*Calculateur!BN165*VLOOKUP('Données projet'!$B$11,Paramètres!$A$1:$I$89,3,0)*0.475*44/12</f>
        <v>0.52811751506381333</v>
      </c>
      <c r="BR165" s="21">
        <f>EXP(-LN(2)/2)*BR164+(1-EXP(-LN(2)/2))/(LN(2)/2)*BL165*BO165*VLOOKUP('Données projet'!$B$11,Paramètres!$A$1:$I$89,3,0)*0.475*44/12</f>
        <v>3.2578966451616131E-19</v>
      </c>
      <c r="BS165" s="22">
        <f t="shared" si="169"/>
        <v>0.76706511239392561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3.1036506698001181E-13</v>
      </c>
      <c r="CA165" s="13">
        <f t="shared" si="170"/>
        <v>4.086682523110923E-12</v>
      </c>
      <c r="CB165" s="20">
        <f t="shared" si="171"/>
        <v>7.6581912194083782E-12</v>
      </c>
      <c r="CC165" s="59">
        <f t="shared" si="119"/>
        <v>287.95080179856939</v>
      </c>
      <c r="CD165" s="59">
        <f ca="1">AVERAGE(OFFSET($CC$3,0,0,'Données projet'!$E$12+1,1))-AVERAGE(OFFSET($H$3,0,0,'Données projet'!$E$12+1,1))</f>
        <v>382.09004346384319</v>
      </c>
      <c r="CE165" s="59">
        <f t="shared" si="148"/>
        <v>410.18893995284986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0.62375665806928238</v>
      </c>
      <c r="CL165" s="21">
        <f>EXP(-LN(2)/25)*CL164+(1-EXP(-LN(2)/25))/(LN(2)/25)*Calculateur!CG165*Calculateur!CI165*VLOOKUP('Données projet'!$B$12,Paramètres!$A$1:$I$89,3,0)*0.475*44/12</f>
        <v>0.87603677159566773</v>
      </c>
      <c r="CM165" s="21">
        <f>EXP(-LN(2)/2)*CM164+(1-EXP(-LN(2)/2))/(LN(2)/2)*CG165*CJ165*VLOOKUP('Données projet'!$B$12,Paramètres!$A$1:$I$89,3,0)*0.475*44/12</f>
        <v>3.4128551377742116E-19</v>
      </c>
      <c r="CN165" s="22">
        <f t="shared" si="172"/>
        <v>1.4997934296649502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363.02374534486341</v>
      </c>
      <c r="CZ165" s="59">
        <f t="shared" si="150"/>
        <v>489.00477393029598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0.53521432973563865</v>
      </c>
      <c r="DG165" s="21">
        <f>EXP(-LN(2)/25)*DG164+(1-EXP(-LN(2)/25))/(LN(2)/25)*Calculateur!DB165*Calculateur!DD165*VLOOKUP('Données projet'!$B$13,Paramètres!$A$1:$I$89,3,0)*0.475*44/12</f>
        <v>0.49833506916918785</v>
      </c>
      <c r="DH165" s="21">
        <f>EXP(-LN(2)/2)*DH164+(1-EXP(-LN(2)/2))/(LN(2)/2)*DB165*DE165*VLOOKUP('Données projet'!$B$13,Paramètres!$A$1:$I$89,3,0)*0.475*44/12</f>
        <v>3.9729150976488651E-19</v>
      </c>
      <c r="DI165" s="22">
        <f t="shared" si="175"/>
        <v>1.0335493989048266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-3.7509835237869992E-13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368.03281986807173</v>
      </c>
      <c r="DU165" s="59">
        <f t="shared" si="152"/>
        <v>395.83504504492248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0.17865819245436812</v>
      </c>
      <c r="EB165" s="21">
        <f>EXP(-LN(2)/25)*EB164+(1-EXP(-LN(2)/25))/(LN(2)/25)*Calculateur!DW165*Calculateur!DY165*VLOOKUP('Données projet'!$B$14,Paramètres!$A$1:$I$89,3,0)*0.475*44/12</f>
        <v>0.39486699886939292</v>
      </c>
      <c r="EC165" s="21">
        <f>EXP(-LN(2)/2)*EC164+(1-EXP(-LN(2)/2))/(LN(2)/2)*DW165*DZ165*VLOOKUP('Données projet'!$B$14,Paramètres!$A$1:$I$89,3,0)*0.475*44/12</f>
        <v>3.0023753396587729E-19</v>
      </c>
      <c r="ED165" s="22">
        <f t="shared" si="178"/>
        <v>0.57352519132376101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225.2264820414552</v>
      </c>
      <c r="EP165" s="59">
        <f t="shared" si="154"/>
        <v>249.91838548328681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0.16200582657485052</v>
      </c>
      <c r="EW165" s="21">
        <f>EXP(-LN(2)/25)*EW164+(1-EXP(-LN(2)/25))/(LN(2)/25)*Calculateur!ER165*Calculateur!ET165*VLOOKUP('Données projet'!$B$15,Paramètres!$A$1:$I$89,3,0)*0.475*44/12</f>
        <v>0.2227707973954352</v>
      </c>
      <c r="EX165" s="21">
        <f>EXP(-LN(2)/2)*EX164+(1-EXP(-LN(2)/2))/(LN(2)/2)*ER165*EU165*VLOOKUP('Données projet'!$B$15,Paramètres!$A$1:$I$89,3,0)*0.475*44/12</f>
        <v>5.4827055041689601E-20</v>
      </c>
      <c r="EY165" s="22">
        <f t="shared" si="181"/>
        <v>0.38477662397028572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-1.2505552149377763E-12</v>
      </c>
      <c r="FF165" s="17">
        <f>FE165*VLOOKUP('Données projet'!$B$16,Paramètres!$A$1:$I$89,3,0)*VLOOKUP('Données projet'!$B$16,Paramètres!$A$1:$I$89,5,0)</f>
        <v>-6.9906036515021697E-13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549.85684198202534</v>
      </c>
      <c r="FK165" s="59">
        <f t="shared" si="156"/>
        <v>539.63748606275431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0.83627239021193711</v>
      </c>
      <c r="FR165" s="21">
        <f>EXP(-LN(2)/25)*FR164+(1-EXP(-LN(2)/25))/(LN(2)/25)*Calculateur!FM165*Calculateur!FO165*VLOOKUP('Données projet'!$B$16,Paramètres!$A$1:$I$89,3,0)*0.475*44/12</f>
        <v>0.99755943741047914</v>
      </c>
      <c r="FS165" s="21">
        <f>EXP(-LN(2)/2)*FS164+(1-EXP(-LN(2)/2))/(LN(2)/2)*FM165*FP165*VLOOKUP('Données projet'!$B$16,Paramètres!$A$1:$I$89,3,0)*0.475*44/12</f>
        <v>4.9428629802229068E-19</v>
      </c>
      <c r="FT165" s="22">
        <f t="shared" si="184"/>
        <v>1.8338318276224164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-5.6843418860808015E-13</v>
      </c>
      <c r="GA165" s="17">
        <f>FZ165*VLOOKUP('Données projet'!$B$17,Paramètres!$A$1:$I$89,3,0)*VLOOKUP('Données projet'!$B$17,Paramètres!$A$1:$I$89,5,0)</f>
        <v>-3.39923644787632E-13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495.6641415122013</v>
      </c>
      <c r="GF165" s="59">
        <f t="shared" si="158"/>
        <v>488.90534169400757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0.29278373746109182</v>
      </c>
      <c r="GM165" s="21">
        <f>EXP(-LN(2)/25)*GM164+(1-EXP(-LN(2)/25))/(LN(2)/25)*Calculateur!GH165*Calculateur!GJ165*VLOOKUP('Données projet'!$B$17,Paramètres!$A$1:$I$89,3,0)*0.475*44/12</f>
        <v>0.66929877392520976</v>
      </c>
      <c r="GN165" s="21">
        <f>EXP(-LN(2)/2)*GN164+(1-EXP(-LN(2)/2))/(LN(2)/2)*GH165*GK165*VLOOKUP('Données projet'!$B$17,Paramètres!$A$1:$I$89,3,0)*0.475*44/12</f>
        <v>4.710768097410443E-19</v>
      </c>
      <c r="GO165" s="21">
        <f t="shared" si="187"/>
        <v>0.96208251138630163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-5.6843418860808015E-13</v>
      </c>
      <c r="GV165" s="17">
        <f>GU165*VLOOKUP('Données projet'!$B$18,Paramètres!$A$1:$I$89,3,0)*VLOOKUP('Données projet'!$B$18,Paramètres!$A$1:$I$89,5,0)</f>
        <v>-3.39923644787632E-13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-18.333333333333343</v>
      </c>
      <c r="HA165" s="59">
        <f t="shared" si="160"/>
        <v>-18.333333333333343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0.29278373746109182</v>
      </c>
      <c r="HH165" s="21">
        <f>EXP(-LN(2)/25)*HH164+(1-EXP(-LN(2)/25))/(LN(2)/25)*Calculateur!HC165*Calculateur!HE165*VLOOKUP('Données projet'!$B$18,Paramètres!$A$1:$I$89,3,0)*0.475*44/12</f>
        <v>0.66929877392520976</v>
      </c>
      <c r="HI165" s="21">
        <f>EXP(-LN(2)/2)*HI164+(1-EXP(-LN(2)/2))/(LN(2)/2)*HC165*HF165*VLOOKUP('Données projet'!$B$18,Paramètres!$A$1:$I$89,3,0)*0.475*44/12</f>
        <v>4.710768097410443E-19</v>
      </c>
      <c r="HJ165" s="22">
        <f t="shared" si="190"/>
        <v>0.96208251138630163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376.11581547534814</v>
      </c>
      <c r="T166" s="59">
        <f t="shared" si="142"/>
        <v>300.91675649863294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0.22504304560095945</v>
      </c>
      <c r="AA166" s="21">
        <f>EXP(-LN(2)/25)*AA165+(1-EXP(-LN(2)/25))/(LN(2)/25)*Calculateur!V166*Calculateur!X166*VLOOKUP('Données projet'!$B$9,Paramètres!$A$1:$I$89,3,0)*0.475*44/12</f>
        <v>0.19664924588946858</v>
      </c>
      <c r="AB166" s="21">
        <f>EXP(-LN(2)/2)*AB165+(1-EXP(-LN(2)/2))/(LN(2)/2)*V166*Y166*VLOOKUP('Données projet'!$B$9,Paramètres!$A$1:$I$89,3,0)*0.475*44/12</f>
        <v>9.4222571680668456E-20</v>
      </c>
      <c r="AC166" s="22">
        <f t="shared" si="163"/>
        <v>0.42169229149042803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-5.6843418860808015E-13</v>
      </c>
      <c r="AJ166" s="13">
        <f>AI166*VLOOKUP('Données projet'!$B$10,Paramètres!$A$1:$I$89,3,0)*VLOOKUP('Données projet'!$B$10,Paramètres!$A$1:$I$89,5,0)</f>
        <v>-5.1431925385259092E-13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505.38595282220405</v>
      </c>
      <c r="AO166" s="59">
        <f t="shared" si="144"/>
        <v>351.72130415456365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0.17291879536548688</v>
      </c>
      <c r="AV166" s="21">
        <f>EXP(-LN(2)/25)*AV165+(1-EXP(-LN(2)/25))/(LN(2)/25)*Calculateur!AQ166*Calculateur!AS166*VLOOKUP('Données projet'!$B$10,Paramètres!$A$1:$I$89,3,0)*0.475*44/12</f>
        <v>0.28244768609257159</v>
      </c>
      <c r="AW166" s="21">
        <f>EXP(-LN(2)/2)*AW165+(1-EXP(-LN(2)/2))/(LN(2)/2)*AQ166*AT166*VLOOKUP('Données projet'!$B$10,Paramètres!$A$1:$I$89,3,0)*0.475*44/12</f>
        <v>2.0654743364560905E-19</v>
      </c>
      <c r="AX166" s="21">
        <f t="shared" si="166"/>
        <v>0.45536648145805847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-4.0702161641092972E-13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394.14657090341535</v>
      </c>
      <c r="BJ166" s="59">
        <f t="shared" si="146"/>
        <v>424.06445894109982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0.23426198069011214</v>
      </c>
      <c r="BQ166" s="21">
        <f>EXP(-LN(2)/25)*BQ165+(1-EXP(-LN(2)/25))/(LN(2)/25)*Calculateur!BL166*Calculateur!BN166*VLOOKUP('Données projet'!$B$11,Paramètres!$A$1:$I$89,3,0)*0.475*44/12</f>
        <v>0.51367611384190026</v>
      </c>
      <c r="BR166" s="21">
        <f>EXP(-LN(2)/2)*BR165+(1-EXP(-LN(2)/2))/(LN(2)/2)*BL166*BO166*VLOOKUP('Données projet'!$B$11,Paramètres!$A$1:$I$89,3,0)*0.475*44/12</f>
        <v>2.30368081019868E-19</v>
      </c>
      <c r="BS166" s="22">
        <f t="shared" si="169"/>
        <v>0.74793809453201243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3.1036506698001181E-13</v>
      </c>
      <c r="CA166" s="13">
        <f t="shared" si="170"/>
        <v>4.086682523110923E-12</v>
      </c>
      <c r="CB166" s="20">
        <f t="shared" si="171"/>
        <v>7.6581912194083782E-12</v>
      </c>
      <c r="CC166" s="59">
        <f t="shared" si="119"/>
        <v>288.0441766871599</v>
      </c>
      <c r="CD166" s="59">
        <f ca="1">AVERAGE(OFFSET($CC$3,0,0,'Données projet'!$E$12+1,1))-AVERAGE(OFFSET($H$3,0,0,'Données projet'!$E$12+1,1))</f>
        <v>382.09004346384319</v>
      </c>
      <c r="CE166" s="59">
        <f t="shared" si="148"/>
        <v>410.18893995284986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0.61152517045853849</v>
      </c>
      <c r="CL166" s="21">
        <f>EXP(-LN(2)/25)*CL165+(1-EXP(-LN(2)/25))/(LN(2)/25)*Calculateur!CG166*Calculateur!CI166*VLOOKUP('Données projet'!$B$12,Paramètres!$A$1:$I$89,3,0)*0.475*44/12</f>
        <v>0.85208150000761262</v>
      </c>
      <c r="CM166" s="21">
        <f>EXP(-LN(2)/2)*CM165+(1-EXP(-LN(2)/2))/(LN(2)/2)*CG166*CJ166*VLOOKUP('Données projet'!$B$12,Paramètres!$A$1:$I$89,3,0)*0.475*44/12</f>
        <v>2.4132530111274939E-19</v>
      </c>
      <c r="CN166" s="22">
        <f t="shared" si="172"/>
        <v>1.463606670466151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363.02374534486341</v>
      </c>
      <c r="CZ166" s="59">
        <f t="shared" si="150"/>
        <v>489.00477393029598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0.52471910317802983</v>
      </c>
      <c r="DG166" s="21">
        <f>EXP(-LN(2)/25)*DG165+(1-EXP(-LN(2)/25))/(LN(2)/25)*Calculateur!DB166*Calculateur!DD166*VLOOKUP('Données projet'!$B$13,Paramètres!$A$1:$I$89,3,0)*0.475*44/12</f>
        <v>0.48470807049645409</v>
      </c>
      <c r="DH166" s="21">
        <f>EXP(-LN(2)/2)*DH165+(1-EXP(-LN(2)/2))/(LN(2)/2)*DB166*DE166*VLOOKUP('Données projet'!$B$13,Paramètres!$A$1:$I$89,3,0)*0.475*44/12</f>
        <v>2.8092752066259271E-19</v>
      </c>
      <c r="DI166" s="22">
        <f t="shared" si="175"/>
        <v>1.009427173674484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-3.7509835237869992E-13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368.03281986807173</v>
      </c>
      <c r="DU166" s="59">
        <f t="shared" si="152"/>
        <v>395.83504504492248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0.1751548142710754</v>
      </c>
      <c r="EB166" s="21">
        <f>EXP(-LN(2)/25)*EB165+(1-EXP(-LN(2)/25))/(LN(2)/25)*Calculateur!DW166*Calculateur!DY166*VLOOKUP('Données projet'!$B$14,Paramètres!$A$1:$I$89,3,0)*0.475*44/12</f>
        <v>0.38406934002015636</v>
      </c>
      <c r="EC166" s="21">
        <f>EXP(-LN(2)/2)*EC165+(1-EXP(-LN(2)/2))/(LN(2)/2)*DW166*DZ166*VLOOKUP('Données projet'!$B$14,Paramètres!$A$1:$I$89,3,0)*0.475*44/12</f>
        <v>2.1229999623399823E-19</v>
      </c>
      <c r="ED166" s="22">
        <f t="shared" si="178"/>
        <v>0.55922415429123173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225.2264820414552</v>
      </c>
      <c r="EP166" s="59">
        <f t="shared" si="154"/>
        <v>249.91838548328681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0.15882899112951485</v>
      </c>
      <c r="EW166" s="21">
        <f>EXP(-LN(2)/25)*EW165+(1-EXP(-LN(2)/25))/(LN(2)/25)*Calculateur!ER166*Calculateur!ET166*VLOOKUP('Données projet'!$B$15,Paramètres!$A$1:$I$89,3,0)*0.475*44/12</f>
        <v>0.21667911822564995</v>
      </c>
      <c r="EX166" s="21">
        <f>EXP(-LN(2)/2)*EX165+(1-EXP(-LN(2)/2))/(LN(2)/2)*ER166*EU166*VLOOKUP('Données projet'!$B$15,Paramètres!$A$1:$I$89,3,0)*0.475*44/12</f>
        <v>3.8768582412466807E-20</v>
      </c>
      <c r="EY166" s="22">
        <f t="shared" si="181"/>
        <v>0.37550810935516477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-1.2505552149377763E-12</v>
      </c>
      <c r="FF166" s="17">
        <f>FE166*VLOOKUP('Données projet'!$B$16,Paramètres!$A$1:$I$89,3,0)*VLOOKUP('Données projet'!$B$16,Paramètres!$A$1:$I$89,5,0)</f>
        <v>-6.9906036515021697E-13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549.85684198202534</v>
      </c>
      <c r="FK166" s="59">
        <f t="shared" si="156"/>
        <v>539.63748606275431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0.81987359871567322</v>
      </c>
      <c r="FR166" s="21">
        <f>EXP(-LN(2)/25)*FR165+(1-EXP(-LN(2)/25))/(LN(2)/25)*Calculateur!FM166*Calculateur!FO166*VLOOKUP('Données projet'!$B$16,Paramètres!$A$1:$I$89,3,0)*0.475*44/12</f>
        <v>0.97028112213511875</v>
      </c>
      <c r="FS166" s="21">
        <f>EXP(-LN(2)/2)*FS165+(1-EXP(-LN(2)/2))/(LN(2)/2)*FM166*FP166*VLOOKUP('Données projet'!$B$16,Paramètres!$A$1:$I$89,3,0)*0.475*44/12</f>
        <v>3.4951319317915652E-19</v>
      </c>
      <c r="FT166" s="22">
        <f t="shared" si="184"/>
        <v>1.790154720850792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-5.6843418860808015E-13</v>
      </c>
      <c r="GA166" s="17">
        <f>FZ166*VLOOKUP('Données projet'!$B$17,Paramètres!$A$1:$I$89,3,0)*VLOOKUP('Données projet'!$B$17,Paramètres!$A$1:$I$89,5,0)</f>
        <v>-3.39923644787632E-13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495.6641415122013</v>
      </c>
      <c r="GF166" s="59">
        <f t="shared" si="158"/>
        <v>488.90534169400757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0.28704242694992632</v>
      </c>
      <c r="GM166" s="21">
        <f>EXP(-LN(2)/25)*GM165+(1-EXP(-LN(2)/25))/(LN(2)/25)*Calculateur!GH166*Calculateur!GJ166*VLOOKUP('Données projet'!$B$17,Paramètres!$A$1:$I$89,3,0)*0.475*44/12</f>
        <v>0.65099676375533211</v>
      </c>
      <c r="GN166" s="21">
        <f>EXP(-LN(2)/2)*GN165+(1-EXP(-LN(2)/2))/(LN(2)/2)*GH166*GK166*VLOOKUP('Données projet'!$B$17,Paramètres!$A$1:$I$89,3,0)*0.475*44/12</f>
        <v>3.331016066276175E-19</v>
      </c>
      <c r="GO166" s="21">
        <f t="shared" si="187"/>
        <v>0.93803919070525843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-5.6843418860808015E-13</v>
      </c>
      <c r="GV166" s="17">
        <f>GU166*VLOOKUP('Données projet'!$B$18,Paramètres!$A$1:$I$89,3,0)*VLOOKUP('Données projet'!$B$18,Paramètres!$A$1:$I$89,5,0)</f>
        <v>-3.39923644787632E-13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-18.333333333333343</v>
      </c>
      <c r="HA166" s="59">
        <f t="shared" si="160"/>
        <v>-18.333333333333343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0.28704242694992632</v>
      </c>
      <c r="HH166" s="21">
        <f>EXP(-LN(2)/25)*HH165+(1-EXP(-LN(2)/25))/(LN(2)/25)*Calculateur!HC166*Calculateur!HE166*VLOOKUP('Données projet'!$B$18,Paramètres!$A$1:$I$89,3,0)*0.475*44/12</f>
        <v>0.65099676375533211</v>
      </c>
      <c r="HI166" s="21">
        <f>EXP(-LN(2)/2)*HI165+(1-EXP(-LN(2)/2))/(LN(2)/2)*HC166*HF166*VLOOKUP('Données projet'!$B$18,Paramètres!$A$1:$I$89,3,0)*0.475*44/12</f>
        <v>3.331016066276175E-19</v>
      </c>
      <c r="HJ166" s="22">
        <f t="shared" si="190"/>
        <v>0.93803919070525843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376.11581547534814</v>
      </c>
      <c r="T167" s="59">
        <f t="shared" si="142"/>
        <v>300.91675649863294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0.22063008873942888</v>
      </c>
      <c r="AA167" s="21">
        <f>EXP(-LN(2)/25)*AA166+(1-EXP(-LN(2)/25))/(LN(2)/25)*Calculateur!V167*Calculateur!X167*VLOOKUP('Données projet'!$B$9,Paramètres!$A$1:$I$89,3,0)*0.475*44/12</f>
        <v>0.19127186191928666</v>
      </c>
      <c r="AB167" s="21">
        <f>EXP(-LN(2)/2)*AB166+(1-EXP(-LN(2)/2))/(LN(2)/2)*V167*Y167*VLOOKUP('Données projet'!$B$9,Paramètres!$A$1:$I$89,3,0)*0.475*44/12</f>
        <v>6.6625419376236218E-20</v>
      </c>
      <c r="AC167" s="22">
        <f t="shared" si="163"/>
        <v>0.41190195065871554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-5.6843418860808015E-13</v>
      </c>
      <c r="AJ167" s="13">
        <f>AI167*VLOOKUP('Données projet'!$B$10,Paramètres!$A$1:$I$89,3,0)*VLOOKUP('Données projet'!$B$10,Paramètres!$A$1:$I$89,5,0)</f>
        <v>-5.1431925385259092E-13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505.38595282220405</v>
      </c>
      <c r="AO167" s="59">
        <f t="shared" si="144"/>
        <v>351.72130415456365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0.16952796325842054</v>
      </c>
      <c r="AV167" s="21">
        <f>EXP(-LN(2)/25)*AV166+(1-EXP(-LN(2)/25))/(LN(2)/25)*Calculateur!AQ167*Calculateur!AS167*VLOOKUP('Données projet'!$B$10,Paramètres!$A$1:$I$89,3,0)*0.475*44/12</f>
        <v>0.27472413926309197</v>
      </c>
      <c r="AW167" s="21">
        <f>EXP(-LN(2)/2)*AW166+(1-EXP(-LN(2)/2))/(LN(2)/2)*AQ167*AT167*VLOOKUP('Données projet'!$B$10,Paramètres!$A$1:$I$89,3,0)*0.475*44/12</f>
        <v>1.4605109096748862E-19</v>
      </c>
      <c r="AX167" s="21">
        <f t="shared" si="166"/>
        <v>0.44425210252151248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-4.0702161641092972E-13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394.14657090341535</v>
      </c>
      <c r="BJ167" s="59">
        <f t="shared" si="146"/>
        <v>424.06445894109982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0.22966824613447848</v>
      </c>
      <c r="BQ167" s="21">
        <f>EXP(-LN(2)/25)*BQ166+(1-EXP(-LN(2)/25))/(LN(2)/25)*Calculateur!BL167*Calculateur!BN167*VLOOKUP('Données projet'!$B$11,Paramètres!$A$1:$I$89,3,0)*0.475*44/12</f>
        <v>0.49962961349584067</v>
      </c>
      <c r="BR167" s="21">
        <f>EXP(-LN(2)/2)*BR166+(1-EXP(-LN(2)/2))/(LN(2)/2)*BL167*BO167*VLOOKUP('Données projet'!$B$11,Paramètres!$A$1:$I$89,3,0)*0.475*44/12</f>
        <v>1.6289483225808065E-19</v>
      </c>
      <c r="BS167" s="22">
        <f t="shared" si="169"/>
        <v>0.72929785963031912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3.1036506698001181E-13</v>
      </c>
      <c r="CA167" s="13">
        <f t="shared" si="170"/>
        <v>4.086682523110923E-12</v>
      </c>
      <c r="CB167" s="20">
        <f t="shared" si="171"/>
        <v>7.6581912194083782E-12</v>
      </c>
      <c r="CC167" s="59">
        <f t="shared" si="119"/>
        <v>288.13593173018836</v>
      </c>
      <c r="CD167" s="59">
        <f ca="1">AVERAGE(OFFSET($CC$3,0,0,'Données projet'!$E$12+1,1))-AVERAGE(OFFSET($H$3,0,0,'Données projet'!$E$12+1,1))</f>
        <v>382.09004346384319</v>
      </c>
      <c r="CE167" s="59">
        <f t="shared" si="148"/>
        <v>410.18893995284986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0.59953353485937044</v>
      </c>
      <c r="CL167" s="21">
        <f>EXP(-LN(2)/25)*CL166+(1-EXP(-LN(2)/25))/(LN(2)/25)*Calculateur!CG167*Calculateur!CI167*VLOOKUP('Données projet'!$B$12,Paramètres!$A$1:$I$89,3,0)*0.475*44/12</f>
        <v>0.82878128658088579</v>
      </c>
      <c r="CM167" s="21">
        <f>EXP(-LN(2)/2)*CM166+(1-EXP(-LN(2)/2))/(LN(2)/2)*CG167*CJ167*VLOOKUP('Données projet'!$B$12,Paramètres!$A$1:$I$89,3,0)*0.475*44/12</f>
        <v>1.7064275688871058E-19</v>
      </c>
      <c r="CN167" s="22">
        <f t="shared" si="172"/>
        <v>1.4283148214402561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363.02374534486341</v>
      </c>
      <c r="CZ167" s="59">
        <f t="shared" si="150"/>
        <v>489.00477393029598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0.51442968161175961</v>
      </c>
      <c r="DG167" s="21">
        <f>EXP(-LN(2)/25)*DG166+(1-EXP(-LN(2)/25))/(LN(2)/25)*Calculateur!DB167*Calculateur!DD167*VLOOKUP('Données projet'!$B$13,Paramètres!$A$1:$I$89,3,0)*0.475*44/12</f>
        <v>0.47145370281903892</v>
      </c>
      <c r="DH167" s="21">
        <f>EXP(-LN(2)/2)*DH166+(1-EXP(-LN(2)/2))/(LN(2)/2)*DB167*DE167*VLOOKUP('Données projet'!$B$13,Paramètres!$A$1:$I$89,3,0)*0.475*44/12</f>
        <v>1.9864575488244325E-19</v>
      </c>
      <c r="DI167" s="22">
        <f t="shared" si="175"/>
        <v>0.98588338443079859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-3.7509835237869992E-13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368.03281986807173</v>
      </c>
      <c r="DU167" s="59">
        <f t="shared" si="152"/>
        <v>395.83504504492248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0.17172013519710735</v>
      </c>
      <c r="EB167" s="21">
        <f>EXP(-LN(2)/25)*EB166+(1-EXP(-LN(2)/25))/(LN(2)/25)*Calculateur!DW167*Calculateur!DY167*VLOOKUP('Données projet'!$B$14,Paramètres!$A$1:$I$89,3,0)*0.475*44/12</f>
        <v>0.3735669437199764</v>
      </c>
      <c r="EC167" s="21">
        <f>EXP(-LN(2)/2)*EC166+(1-EXP(-LN(2)/2))/(LN(2)/2)*DW167*DZ167*VLOOKUP('Données projet'!$B$14,Paramètres!$A$1:$I$89,3,0)*0.475*44/12</f>
        <v>1.5011876698293867E-19</v>
      </c>
      <c r="ED167" s="22">
        <f t="shared" si="178"/>
        <v>0.54528707891708372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225.2264820414552</v>
      </c>
      <c r="EP167" s="59">
        <f t="shared" si="154"/>
        <v>249.91838548328681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0.15571445148958393</v>
      </c>
      <c r="EW167" s="21">
        <f>EXP(-LN(2)/25)*EW166+(1-EXP(-LN(2)/25))/(LN(2)/25)*Calculateur!ER167*Calculateur!ET167*VLOOKUP('Données projet'!$B$15,Paramètres!$A$1:$I$89,3,0)*0.475*44/12</f>
        <v>0.21075401634310995</v>
      </c>
      <c r="EX167" s="21">
        <f>EXP(-LN(2)/2)*EX166+(1-EXP(-LN(2)/2))/(LN(2)/2)*ER167*EU167*VLOOKUP('Données projet'!$B$15,Paramètres!$A$1:$I$89,3,0)*0.475*44/12</f>
        <v>2.7413527520844801E-20</v>
      </c>
      <c r="EY167" s="22">
        <f t="shared" si="181"/>
        <v>0.36646846783269388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-1.2505552149377763E-12</v>
      </c>
      <c r="FF167" s="17">
        <f>FE167*VLOOKUP('Données projet'!$B$16,Paramètres!$A$1:$I$89,3,0)*VLOOKUP('Données projet'!$B$16,Paramètres!$A$1:$I$89,5,0)</f>
        <v>-6.9906036515021697E-13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549.85684198202534</v>
      </c>
      <c r="FK167" s="59">
        <f t="shared" si="156"/>
        <v>539.63748606275431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0.80379637751837596</v>
      </c>
      <c r="FR167" s="21">
        <f>EXP(-LN(2)/25)*FR166+(1-EXP(-LN(2)/25))/(LN(2)/25)*Calculateur!FM167*Calculateur!FO167*VLOOKUP('Données projet'!$B$16,Paramètres!$A$1:$I$89,3,0)*0.475*44/12</f>
        <v>0.94374873382546731</v>
      </c>
      <c r="FS167" s="21">
        <f>EXP(-LN(2)/2)*FS166+(1-EXP(-LN(2)/2))/(LN(2)/2)*FM167*FP167*VLOOKUP('Données projet'!$B$16,Paramètres!$A$1:$I$89,3,0)*0.475*44/12</f>
        <v>2.4714314901114534E-19</v>
      </c>
      <c r="FT167" s="22">
        <f t="shared" si="184"/>
        <v>1.7475451113438432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-5.6843418860808015E-13</v>
      </c>
      <c r="GA167" s="17">
        <f>FZ167*VLOOKUP('Données projet'!$B$17,Paramètres!$A$1:$I$89,3,0)*VLOOKUP('Données projet'!$B$17,Paramètres!$A$1:$I$89,5,0)</f>
        <v>-3.39923644787632E-13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495.6641415122013</v>
      </c>
      <c r="GF167" s="59">
        <f t="shared" si="158"/>
        <v>488.90534169400757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0.28141370003603111</v>
      </c>
      <c r="GM167" s="21">
        <f>EXP(-LN(2)/25)*GM166+(1-EXP(-LN(2)/25))/(LN(2)/25)*Calculateur!GH167*Calculateur!GJ167*VLOOKUP('Données projet'!$B$17,Paramètres!$A$1:$I$89,3,0)*0.475*44/12</f>
        <v>0.63319522301601061</v>
      </c>
      <c r="GN167" s="21">
        <f>EXP(-LN(2)/2)*GN166+(1-EXP(-LN(2)/2))/(LN(2)/2)*GH167*GK167*VLOOKUP('Données projet'!$B$17,Paramètres!$A$1:$I$89,3,0)*0.475*44/12</f>
        <v>2.3553840487052215E-19</v>
      </c>
      <c r="GO167" s="21">
        <f t="shared" si="187"/>
        <v>0.91460892305204178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-5.6843418860808015E-13</v>
      </c>
      <c r="GV167" s="17">
        <f>GU167*VLOOKUP('Données projet'!$B$18,Paramètres!$A$1:$I$89,3,0)*VLOOKUP('Données projet'!$B$18,Paramètres!$A$1:$I$89,5,0)</f>
        <v>-3.39923644787632E-13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-18.333333333333343</v>
      </c>
      <c r="HA167" s="59">
        <f t="shared" si="160"/>
        <v>-18.333333333333343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0.28141370003603111</v>
      </c>
      <c r="HH167" s="21">
        <f>EXP(-LN(2)/25)*HH166+(1-EXP(-LN(2)/25))/(LN(2)/25)*Calculateur!HC167*Calculateur!HE167*VLOOKUP('Données projet'!$B$18,Paramètres!$A$1:$I$89,3,0)*0.475*44/12</f>
        <v>0.63319522301601061</v>
      </c>
      <c r="HI167" s="21">
        <f>EXP(-LN(2)/2)*HI166+(1-EXP(-LN(2)/2))/(LN(2)/2)*HC167*HF167*VLOOKUP('Données projet'!$B$18,Paramètres!$A$1:$I$89,3,0)*0.475*44/12</f>
        <v>2.3553840487052215E-19</v>
      </c>
      <c r="HJ167" s="22">
        <f t="shared" si="190"/>
        <v>0.91460892305204178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376.11581547534814</v>
      </c>
      <c r="T168" s="59">
        <f t="shared" si="142"/>
        <v>300.91675649863294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0.21630366727031503</v>
      </c>
      <c r="AA168" s="21">
        <f>EXP(-LN(2)/25)*AA167+(1-EXP(-LN(2)/25))/(LN(2)/25)*Calculateur!V168*Calculateur!X168*VLOOKUP('Données projet'!$B$9,Paramètres!$A$1:$I$89,3,0)*0.475*44/12</f>
        <v>0.1860415227965537</v>
      </c>
      <c r="AB168" s="21">
        <f>EXP(-LN(2)/2)*AB167+(1-EXP(-LN(2)/2))/(LN(2)/2)*V168*Y168*VLOOKUP('Données projet'!$B$9,Paramètres!$A$1:$I$89,3,0)*0.475*44/12</f>
        <v>4.7111285840334228E-20</v>
      </c>
      <c r="AC168" s="22">
        <f t="shared" si="163"/>
        <v>0.40234519006686875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-5.6843418860808015E-13</v>
      </c>
      <c r="AJ168" s="13">
        <f>AI168*VLOOKUP('Données projet'!$B$10,Paramètres!$A$1:$I$89,3,0)*VLOOKUP('Données projet'!$B$10,Paramètres!$A$1:$I$89,5,0)</f>
        <v>-5.1431925385259092E-13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505.38595282220405</v>
      </c>
      <c r="AO168" s="59">
        <f t="shared" si="144"/>
        <v>351.72130415456365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0.1662036233007704</v>
      </c>
      <c r="AV168" s="21">
        <f>EXP(-LN(2)/25)*AV167+(1-EXP(-LN(2)/25))/(LN(2)/25)*Calculateur!AQ168*Calculateur!AS168*VLOOKUP('Données projet'!$B$10,Paramètres!$A$1:$I$89,3,0)*0.475*44/12</f>
        <v>0.26721179322782812</v>
      </c>
      <c r="AW168" s="21">
        <f>EXP(-LN(2)/2)*AW167+(1-EXP(-LN(2)/2))/(LN(2)/2)*AQ168*AT168*VLOOKUP('Données projet'!$B$10,Paramètres!$A$1:$I$89,3,0)*0.475*44/12</f>
        <v>1.0327371682280452E-19</v>
      </c>
      <c r="AX168" s="21">
        <f t="shared" si="166"/>
        <v>0.4334154165285985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-4.0702161641092972E-13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394.14657090341535</v>
      </c>
      <c r="BJ168" s="59">
        <f t="shared" si="146"/>
        <v>424.06445894109982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0.22516459191157936</v>
      </c>
      <c r="BQ168" s="21">
        <f>EXP(-LN(2)/25)*BQ167+(1-EXP(-LN(2)/25))/(LN(2)/25)*Calculateur!BL168*Calculateur!BN168*VLOOKUP('Données projet'!$B$11,Paramètres!$A$1:$I$89,3,0)*0.475*44/12</f>
        <v>0.48596721544041743</v>
      </c>
      <c r="BR168" s="21">
        <f>EXP(-LN(2)/2)*BR167+(1-EXP(-LN(2)/2))/(LN(2)/2)*BL168*BO168*VLOOKUP('Données projet'!$B$11,Paramètres!$A$1:$I$89,3,0)*0.475*44/12</f>
        <v>1.15184040509934E-19</v>
      </c>
      <c r="BS168" s="22">
        <f t="shared" si="169"/>
        <v>0.71113180735199677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3.1036506698001181E-13</v>
      </c>
      <c r="CA168" s="13">
        <f t="shared" si="170"/>
        <v>4.086682523110923E-12</v>
      </c>
      <c r="CB168" s="20">
        <f t="shared" si="171"/>
        <v>7.6581912194083782E-12</v>
      </c>
      <c r="CC168" s="59">
        <f t="shared" si="119"/>
        <v>288.22609502835383</v>
      </c>
      <c r="CD168" s="59">
        <f ca="1">AVERAGE(OFFSET($CC$3,0,0,'Données projet'!$E$12+1,1))-AVERAGE(OFFSET($H$3,0,0,'Données projet'!$E$12+1,1))</f>
        <v>382.09004346384319</v>
      </c>
      <c r="CE168" s="59">
        <f t="shared" si="148"/>
        <v>410.18893995284986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0.58777704792012664</v>
      </c>
      <c r="CL168" s="21">
        <f>EXP(-LN(2)/25)*CL167+(1-EXP(-LN(2)/25))/(LN(2)/25)*Calculateur!CG168*Calculateur!CI168*VLOOKUP('Données projet'!$B$12,Paramètres!$A$1:$I$89,3,0)*0.475*44/12</f>
        <v>0.80611821871561784</v>
      </c>
      <c r="CM168" s="21">
        <f>EXP(-LN(2)/2)*CM167+(1-EXP(-LN(2)/2))/(LN(2)/2)*CG168*CJ168*VLOOKUP('Données projet'!$B$12,Paramètres!$A$1:$I$89,3,0)*0.475*44/12</f>
        <v>1.206626505563747E-19</v>
      </c>
      <c r="CN168" s="22">
        <f t="shared" si="172"/>
        <v>1.3938952666357445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363.02374534486341</v>
      </c>
      <c r="CZ168" s="59">
        <f t="shared" si="150"/>
        <v>489.00477393029598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0.50434202932647643</v>
      </c>
      <c r="DG168" s="21">
        <f>EXP(-LN(2)/25)*DG167+(1-EXP(-LN(2)/25))/(LN(2)/25)*Calculateur!DB168*Calculateur!DD168*VLOOKUP('Données projet'!$B$13,Paramètres!$A$1:$I$89,3,0)*0.475*44/12</f>
        <v>0.45856177652277957</v>
      </c>
      <c r="DH168" s="21">
        <f>EXP(-LN(2)/2)*DH167+(1-EXP(-LN(2)/2))/(LN(2)/2)*DB168*DE168*VLOOKUP('Données projet'!$B$13,Paramètres!$A$1:$I$89,3,0)*0.475*44/12</f>
        <v>1.4046376033129635E-19</v>
      </c>
      <c r="DI168" s="22">
        <f t="shared" si="175"/>
        <v>0.96290380584925606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-3.7509835237869992E-13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368.03281986807173</v>
      </c>
      <c r="DU168" s="59">
        <f t="shared" si="152"/>
        <v>395.83504504492248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0.16835280808483244</v>
      </c>
      <c r="EB168" s="21">
        <f>EXP(-LN(2)/25)*EB167+(1-EXP(-LN(2)/25))/(LN(2)/25)*Calculateur!DW168*Calculateur!DY168*VLOOKUP('Données projet'!$B$14,Paramètres!$A$1:$I$89,3,0)*0.475*44/12</f>
        <v>0.36335173599892184</v>
      </c>
      <c r="EC168" s="21">
        <f>EXP(-LN(2)/2)*EC167+(1-EXP(-LN(2)/2))/(LN(2)/2)*DW168*DZ168*VLOOKUP('Données projet'!$B$14,Paramètres!$A$1:$I$89,3,0)*0.475*44/12</f>
        <v>1.0614999811699914E-19</v>
      </c>
      <c r="ED168" s="22">
        <f t="shared" si="178"/>
        <v>0.53170454408375423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225.2264820414552</v>
      </c>
      <c r="EP168" s="59">
        <f t="shared" si="154"/>
        <v>249.91838548328681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0.15266098607231046</v>
      </c>
      <c r="EW168" s="21">
        <f>EXP(-LN(2)/25)*EW167+(1-EXP(-LN(2)/25))/(LN(2)/25)*Calculateur!ER168*Calculateur!ET168*VLOOKUP('Données projet'!$B$15,Paramètres!$A$1:$I$89,3,0)*0.475*44/12</f>
        <v>0.20499093668313556</v>
      </c>
      <c r="EX168" s="21">
        <f>EXP(-LN(2)/2)*EX167+(1-EXP(-LN(2)/2))/(LN(2)/2)*ER168*EU168*VLOOKUP('Données projet'!$B$15,Paramètres!$A$1:$I$89,3,0)*0.475*44/12</f>
        <v>1.9384291206233403E-20</v>
      </c>
      <c r="EY168" s="22">
        <f t="shared" si="181"/>
        <v>0.35765192275544599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-1.2505552149377763E-12</v>
      </c>
      <c r="FF168" s="17">
        <f>FE168*VLOOKUP('Données projet'!$B$16,Paramètres!$A$1:$I$89,3,0)*VLOOKUP('Données projet'!$B$16,Paramètres!$A$1:$I$89,5,0)</f>
        <v>-6.9906036515021697E-13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549.85684198202534</v>
      </c>
      <c r="FK168" s="59">
        <f t="shared" si="156"/>
        <v>539.63748606275431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0.78803442082262098</v>
      </c>
      <c r="FR168" s="21">
        <f>EXP(-LN(2)/25)*FR167+(1-EXP(-LN(2)/25))/(LN(2)/25)*Calculateur!FM168*Calculateur!FO168*VLOOKUP('Données projet'!$B$16,Paramètres!$A$1:$I$89,3,0)*0.475*44/12</f>
        <v>0.91794187506942093</v>
      </c>
      <c r="FS168" s="21">
        <f>EXP(-LN(2)/2)*FS167+(1-EXP(-LN(2)/2))/(LN(2)/2)*FM168*FP168*VLOOKUP('Données projet'!$B$16,Paramètres!$A$1:$I$89,3,0)*0.475*44/12</f>
        <v>1.7475659658957826E-19</v>
      </c>
      <c r="FT168" s="22">
        <f t="shared" si="184"/>
        <v>1.7059762958920419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-5.6843418860808015E-13</v>
      </c>
      <c r="GA168" s="17">
        <f>FZ168*VLOOKUP('Données projet'!$B$17,Paramètres!$A$1:$I$89,3,0)*VLOOKUP('Données projet'!$B$17,Paramètres!$A$1:$I$89,5,0)</f>
        <v>-3.39923644787632E-13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495.6641415122013</v>
      </c>
      <c r="GF168" s="59">
        <f t="shared" si="158"/>
        <v>488.90534169400757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0.27589534902373297</v>
      </c>
      <c r="GM168" s="21">
        <f>EXP(-LN(2)/25)*GM167+(1-EXP(-LN(2)/25))/(LN(2)/25)*Calculateur!GH168*Calculateur!GJ168*VLOOKUP('Données projet'!$B$17,Paramètres!$A$1:$I$89,3,0)*0.475*44/12</f>
        <v>0.61588046634434823</v>
      </c>
      <c r="GN168" s="21">
        <f>EXP(-LN(2)/2)*GN167+(1-EXP(-LN(2)/2))/(LN(2)/2)*GH168*GK168*VLOOKUP('Données projet'!$B$17,Paramètres!$A$1:$I$89,3,0)*0.475*44/12</f>
        <v>1.6655080331380875E-19</v>
      </c>
      <c r="GO168" s="21">
        <f t="shared" si="187"/>
        <v>0.89177581536808126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-5.6843418860808015E-13</v>
      </c>
      <c r="GV168" s="17">
        <f>GU168*VLOOKUP('Données projet'!$B$18,Paramètres!$A$1:$I$89,3,0)*VLOOKUP('Données projet'!$B$18,Paramètres!$A$1:$I$89,5,0)</f>
        <v>-3.39923644787632E-13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-18.333333333333343</v>
      </c>
      <c r="HA168" s="59">
        <f t="shared" si="160"/>
        <v>-18.333333333333343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0.27589534902373297</v>
      </c>
      <c r="HH168" s="21">
        <f>EXP(-LN(2)/25)*HH167+(1-EXP(-LN(2)/25))/(LN(2)/25)*Calculateur!HC168*Calculateur!HE168*VLOOKUP('Données projet'!$B$18,Paramètres!$A$1:$I$89,3,0)*0.475*44/12</f>
        <v>0.61588046634434823</v>
      </c>
      <c r="HI168" s="21">
        <f>EXP(-LN(2)/2)*HI167+(1-EXP(-LN(2)/2))/(LN(2)/2)*HC168*HF168*VLOOKUP('Données projet'!$B$18,Paramètres!$A$1:$I$89,3,0)*0.475*44/12</f>
        <v>1.6655080331380875E-19</v>
      </c>
      <c r="HJ168" s="22">
        <f t="shared" si="190"/>
        <v>0.89177581536808126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376.11581547534814</v>
      </c>
      <c r="T169" s="59">
        <f t="shared" si="142"/>
        <v>300.91675649863294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0.21206208428735396</v>
      </c>
      <c r="AA169" s="21">
        <f>EXP(-LN(2)/25)*AA168+(1-EXP(-LN(2)/25))/(LN(2)/25)*Calculateur!V169*Calculateur!X169*VLOOKUP('Données projet'!$B$9,Paramètres!$A$1:$I$89,3,0)*0.475*44/12</f>
        <v>0.18095420757218345</v>
      </c>
      <c r="AB169" s="21">
        <f>EXP(-LN(2)/2)*AB168+(1-EXP(-LN(2)/2))/(LN(2)/2)*V169*Y169*VLOOKUP('Données projet'!$B$9,Paramètres!$A$1:$I$89,3,0)*0.475*44/12</f>
        <v>3.3312709688118109E-20</v>
      </c>
      <c r="AC169" s="22">
        <f t="shared" si="163"/>
        <v>0.3930162918595374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-5.6843418860808015E-13</v>
      </c>
      <c r="AJ169" s="13">
        <f>AI169*VLOOKUP('Données projet'!$B$10,Paramètres!$A$1:$I$89,3,0)*VLOOKUP('Données projet'!$B$10,Paramètres!$A$1:$I$89,5,0)</f>
        <v>-5.1431925385259092E-13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505.38595282220405</v>
      </c>
      <c r="AO169" s="59">
        <f t="shared" si="144"/>
        <v>351.72130415456365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0.16294447162204265</v>
      </c>
      <c r="AV169" s="21">
        <f>EXP(-LN(2)/25)*AV168+(1-EXP(-LN(2)/25))/(LN(2)/25)*Calculateur!AQ169*Calculateur!AS169*VLOOKUP('Données projet'!$B$10,Paramètres!$A$1:$I$89,3,0)*0.475*44/12</f>
        <v>0.25990487268995566</v>
      </c>
      <c r="AW169" s="21">
        <f>EXP(-LN(2)/2)*AW168+(1-EXP(-LN(2)/2))/(LN(2)/2)*AQ169*AT169*VLOOKUP('Données projet'!$B$10,Paramètres!$A$1:$I$89,3,0)*0.475*44/12</f>
        <v>7.302554548374431E-20</v>
      </c>
      <c r="AX169" s="21">
        <f t="shared" si="166"/>
        <v>0.42284934431199828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-4.0702161641092972E-13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394.14657090341535</v>
      </c>
      <c r="BJ169" s="59">
        <f t="shared" si="146"/>
        <v>424.06445894109982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0.22074925160103348</v>
      </c>
      <c r="BQ169" s="21">
        <f>EXP(-LN(2)/25)*BQ168+(1-EXP(-LN(2)/25))/(LN(2)/25)*Calculateur!BL169*Calculateur!BN169*VLOOKUP('Données projet'!$B$11,Paramètres!$A$1:$I$89,3,0)*0.475*44/12</f>
        <v>0.47267841637829405</v>
      </c>
      <c r="BR169" s="21">
        <f>EXP(-LN(2)/2)*BR168+(1-EXP(-LN(2)/2))/(LN(2)/2)*BL169*BO169*VLOOKUP('Données projet'!$B$11,Paramètres!$A$1:$I$89,3,0)*0.475*44/12</f>
        <v>8.1447416129040326E-20</v>
      </c>
      <c r="BS169" s="22">
        <f t="shared" si="169"/>
        <v>0.69342766797932753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3.1036506698001181E-13</v>
      </c>
      <c r="CA169" s="13">
        <f t="shared" si="170"/>
        <v>4.086682523110923E-12</v>
      </c>
      <c r="CB169" s="20">
        <f t="shared" si="171"/>
        <v>7.6581912194083782E-12</v>
      </c>
      <c r="CC169" s="59">
        <f t="shared" si="119"/>
        <v>288.31469419487109</v>
      </c>
      <c r="CD169" s="59">
        <f ca="1">AVERAGE(OFFSET($CC$3,0,0,'Données projet'!$E$12+1,1))-AVERAGE(OFFSET($H$3,0,0,'Données projet'!$E$12+1,1))</f>
        <v>382.09004346384319</v>
      </c>
      <c r="CE169" s="59">
        <f t="shared" si="148"/>
        <v>410.18893995284986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0.57625109851901235</v>
      </c>
      <c r="CL169" s="21">
        <f>EXP(-LN(2)/25)*CL168+(1-EXP(-LN(2)/25))/(LN(2)/25)*Calculateur!CG169*Calculateur!CI169*VLOOKUP('Données projet'!$B$12,Paramètres!$A$1:$I$89,3,0)*0.475*44/12</f>
        <v>0.78407487363292461</v>
      </c>
      <c r="CM169" s="21">
        <f>EXP(-LN(2)/2)*CM168+(1-EXP(-LN(2)/2))/(LN(2)/2)*CG169*CJ169*VLOOKUP('Données projet'!$B$12,Paramètres!$A$1:$I$89,3,0)*0.475*44/12</f>
        <v>8.5321378444355289E-20</v>
      </c>
      <c r="CN169" s="22">
        <f t="shared" si="172"/>
        <v>1.360325972151937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363.02374534486341</v>
      </c>
      <c r="CZ169" s="59">
        <f t="shared" si="150"/>
        <v>489.00477393029598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0.49445218974964733</v>
      </c>
      <c r="DG169" s="21">
        <f>EXP(-LN(2)/25)*DG168+(1-EXP(-LN(2)/25))/(LN(2)/25)*Calculateur!DB169*Calculateur!DD169*VLOOKUP('Données projet'!$B$13,Paramètres!$A$1:$I$89,3,0)*0.475*44/12</f>
        <v>0.44602238062904842</v>
      </c>
      <c r="DH169" s="21">
        <f>EXP(-LN(2)/2)*DH168+(1-EXP(-LN(2)/2))/(LN(2)/2)*DB169*DE169*VLOOKUP('Données projet'!$B$13,Paramètres!$A$1:$I$89,3,0)*0.475*44/12</f>
        <v>9.9322877441221627E-20</v>
      </c>
      <c r="DI169" s="22">
        <f t="shared" si="175"/>
        <v>0.94047457037869575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-3.7509835237869992E-13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368.03281986807173</v>
      </c>
      <c r="DU169" s="59">
        <f t="shared" si="152"/>
        <v>395.83504504492248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0.1650515122033625</v>
      </c>
      <c r="EB169" s="21">
        <f>EXP(-LN(2)/25)*EB168+(1-EXP(-LN(2)/25))/(LN(2)/25)*Calculateur!DW169*Calculateur!DY169*VLOOKUP('Données projet'!$B$14,Paramètres!$A$1:$I$89,3,0)*0.475*44/12</f>
        <v>0.35341586367019401</v>
      </c>
      <c r="EC169" s="21">
        <f>EXP(-LN(2)/2)*EC168+(1-EXP(-LN(2)/2))/(LN(2)/2)*DW169*DZ169*VLOOKUP('Données projet'!$B$14,Paramètres!$A$1:$I$89,3,0)*0.475*44/12</f>
        <v>7.5059383491469346E-20</v>
      </c>
      <c r="ED169" s="22">
        <f t="shared" si="178"/>
        <v>0.51846737587355651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225.2264820414552</v>
      </c>
      <c r="EP169" s="59">
        <f t="shared" si="154"/>
        <v>249.91838548328681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0.14966739724943973</v>
      </c>
      <c r="EW169" s="21">
        <f>EXP(-LN(2)/25)*EW168+(1-EXP(-LN(2)/25))/(LN(2)/25)*Calculateur!ER169*Calculateur!ET169*VLOOKUP('Données projet'!$B$15,Paramètres!$A$1:$I$89,3,0)*0.475*44/12</f>
        <v>0.19938544873953037</v>
      </c>
      <c r="EX169" s="21">
        <f>EXP(-LN(2)/2)*EX168+(1-EXP(-LN(2)/2))/(LN(2)/2)*ER169*EU169*VLOOKUP('Données projet'!$B$15,Paramètres!$A$1:$I$89,3,0)*0.475*44/12</f>
        <v>1.37067637604224E-20</v>
      </c>
      <c r="EY169" s="22">
        <f t="shared" si="181"/>
        <v>0.34905284598897013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-1.2505552149377763E-12</v>
      </c>
      <c r="FF169" s="17">
        <f>FE169*VLOOKUP('Données projet'!$B$16,Paramètres!$A$1:$I$89,3,0)*VLOOKUP('Données projet'!$B$16,Paramètres!$A$1:$I$89,5,0)</f>
        <v>-6.9906036515021697E-13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549.85684198202534</v>
      </c>
      <c r="FK169" s="59">
        <f t="shared" si="156"/>
        <v>539.63748606275431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0.77258154648382549</v>
      </c>
      <c r="FR169" s="21">
        <f>EXP(-LN(2)/25)*FR168+(1-EXP(-LN(2)/25))/(LN(2)/25)*Calculateur!FM169*Calculateur!FO169*VLOOKUP('Données projet'!$B$16,Paramètres!$A$1:$I$89,3,0)*0.475*44/12</f>
        <v>0.89284070622318235</v>
      </c>
      <c r="FS169" s="21">
        <f>EXP(-LN(2)/2)*FS168+(1-EXP(-LN(2)/2))/(LN(2)/2)*FM169*FP169*VLOOKUP('Données projet'!$B$16,Paramètres!$A$1:$I$89,3,0)*0.475*44/12</f>
        <v>1.2357157450557267E-19</v>
      </c>
      <c r="FT169" s="22">
        <f t="shared" si="184"/>
        <v>1.6654222527070077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-5.6843418860808015E-13</v>
      </c>
      <c r="GA169" s="17">
        <f>FZ169*VLOOKUP('Données projet'!$B$17,Paramètres!$A$1:$I$89,3,0)*VLOOKUP('Données projet'!$B$17,Paramètres!$A$1:$I$89,5,0)</f>
        <v>-3.39923644787632E-13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495.6641415122013</v>
      </c>
      <c r="GF169" s="59">
        <f t="shared" si="158"/>
        <v>488.90534169400757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0.27048520950892424</v>
      </c>
      <c r="GM169" s="21">
        <f>EXP(-LN(2)/25)*GM168+(1-EXP(-LN(2)/25))/(LN(2)/25)*Calculateur!GH169*Calculateur!GJ169*VLOOKUP('Données projet'!$B$17,Paramètres!$A$1:$I$89,3,0)*0.475*44/12</f>
        <v>0.59903918260441591</v>
      </c>
      <c r="GN169" s="21">
        <f>EXP(-LN(2)/2)*GN168+(1-EXP(-LN(2)/2))/(LN(2)/2)*GH169*GK169*VLOOKUP('Données projet'!$B$17,Paramètres!$A$1:$I$89,3,0)*0.475*44/12</f>
        <v>1.1776920243526107E-19</v>
      </c>
      <c r="GO169" s="21">
        <f t="shared" si="187"/>
        <v>0.86952439211334021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-5.6843418860808015E-13</v>
      </c>
      <c r="GV169" s="17">
        <f>GU169*VLOOKUP('Données projet'!$B$18,Paramètres!$A$1:$I$89,3,0)*VLOOKUP('Données projet'!$B$18,Paramètres!$A$1:$I$89,5,0)</f>
        <v>-3.39923644787632E-13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-18.333333333333343</v>
      </c>
      <c r="HA169" s="59">
        <f t="shared" si="160"/>
        <v>-18.333333333333343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0.27048520950892424</v>
      </c>
      <c r="HH169" s="21">
        <f>EXP(-LN(2)/25)*HH168+(1-EXP(-LN(2)/25))/(LN(2)/25)*Calculateur!HC169*Calculateur!HE169*VLOOKUP('Données projet'!$B$18,Paramètres!$A$1:$I$89,3,0)*0.475*44/12</f>
        <v>0.59903918260441591</v>
      </c>
      <c r="HI169" s="21">
        <f>EXP(-LN(2)/2)*HI168+(1-EXP(-LN(2)/2))/(LN(2)/2)*HC169*HF169*VLOOKUP('Données projet'!$B$18,Paramètres!$A$1:$I$89,3,0)*0.475*44/12</f>
        <v>1.1776920243526107E-19</v>
      </c>
      <c r="HJ169" s="22">
        <f t="shared" si="190"/>
        <v>0.86952439211334021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376.11581547534814</v>
      </c>
      <c r="T170" s="59">
        <f t="shared" si="142"/>
        <v>300.91675649863294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0.20790367615957858</v>
      </c>
      <c r="AA170" s="21">
        <f>EXP(-LN(2)/25)*AA169+(1-EXP(-LN(2)/25))/(LN(2)/25)*Calculateur!V170*Calculateur!X170*VLOOKUP('Données projet'!$B$9,Paramètres!$A$1:$I$89,3,0)*0.475*44/12</f>
        <v>0.17600600525015389</v>
      </c>
      <c r="AB170" s="21">
        <f>EXP(-LN(2)/2)*AB169+(1-EXP(-LN(2)/2))/(LN(2)/2)*V170*Y170*VLOOKUP('Données projet'!$B$9,Paramètres!$A$1:$I$89,3,0)*0.475*44/12</f>
        <v>2.3555642920167114E-20</v>
      </c>
      <c r="AC170" s="22">
        <f t="shared" si="163"/>
        <v>0.38390968140973247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-5.6843418860808015E-13</v>
      </c>
      <c r="AJ170" s="13">
        <f>AI170*VLOOKUP('Données projet'!$B$10,Paramètres!$A$1:$I$89,3,0)*VLOOKUP('Données projet'!$B$10,Paramètres!$A$1:$I$89,5,0)</f>
        <v>-5.1431925385259092E-13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505.38595282220405</v>
      </c>
      <c r="AO170" s="59">
        <f t="shared" si="144"/>
        <v>351.72130415456365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0.1597492299198485</v>
      </c>
      <c r="AV170" s="21">
        <f>EXP(-LN(2)/25)*AV169+(1-EXP(-LN(2)/25))/(LN(2)/25)*Calculateur!AQ170*Calculateur!AS170*VLOOKUP('Données projet'!$B$10,Paramètres!$A$1:$I$89,3,0)*0.475*44/12</f>
        <v>0.25279776027844558</v>
      </c>
      <c r="AW170" s="21">
        <f>EXP(-LN(2)/2)*AW169+(1-EXP(-LN(2)/2))/(LN(2)/2)*AQ170*AT170*VLOOKUP('Données projet'!$B$10,Paramètres!$A$1:$I$89,3,0)*0.475*44/12</f>
        <v>5.1636858411402262E-20</v>
      </c>
      <c r="AX170" s="21">
        <f t="shared" si="166"/>
        <v>0.41254699019829411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-4.0702161641092972E-13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394.14657090341535</v>
      </c>
      <c r="BJ170" s="59">
        <f t="shared" si="146"/>
        <v>424.06445894109982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0.21642049342088573</v>
      </c>
      <c r="BQ170" s="21">
        <f>EXP(-LN(2)/25)*BQ169+(1-EXP(-LN(2)/25))/(LN(2)/25)*Calculateur!BL170*Calculateur!BN170*VLOOKUP('Données projet'!$B$11,Paramètres!$A$1:$I$89,3,0)*0.475*44/12</f>
        <v>0.45975300022535198</v>
      </c>
      <c r="BR170" s="21">
        <f>EXP(-LN(2)/2)*BR169+(1-EXP(-LN(2)/2))/(LN(2)/2)*BL170*BO170*VLOOKUP('Données projet'!$B$11,Paramètres!$A$1:$I$89,3,0)*0.475*44/12</f>
        <v>5.7592020254966999E-20</v>
      </c>
      <c r="BS170" s="22">
        <f t="shared" si="169"/>
        <v>0.67617349364623769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3.1036506698001181E-13</v>
      </c>
      <c r="CA170" s="13">
        <f t="shared" si="170"/>
        <v>4.086682523110923E-12</v>
      </c>
      <c r="CB170" s="20">
        <f t="shared" si="171"/>
        <v>7.6581912194083782E-12</v>
      </c>
      <c r="CC170" s="59">
        <f t="shared" si="119"/>
        <v>288.40175636392729</v>
      </c>
      <c r="CD170" s="59">
        <f ca="1">AVERAGE(OFFSET($CC$3,0,0,'Données projet'!$E$12+1,1))-AVERAGE(OFFSET($H$3,0,0,'Données projet'!$E$12+1,1))</f>
        <v>382.09004346384319</v>
      </c>
      <c r="CE170" s="59">
        <f t="shared" si="148"/>
        <v>410.18893995284986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0.56495116595551897</v>
      </c>
      <c r="CL170" s="21">
        <f>EXP(-LN(2)/25)*CL169+(1-EXP(-LN(2)/25))/(LN(2)/25)*Calculateur!CG170*Calculateur!CI170*VLOOKUP('Données projet'!$B$12,Paramètres!$A$1:$I$89,3,0)*0.475*44/12</f>
        <v>0.76263430498072671</v>
      </c>
      <c r="CM170" s="21">
        <f>EXP(-LN(2)/2)*CM169+(1-EXP(-LN(2)/2))/(LN(2)/2)*CG170*CJ170*VLOOKUP('Données projet'!$B$12,Paramètres!$A$1:$I$89,3,0)*0.475*44/12</f>
        <v>6.0331325278187348E-20</v>
      </c>
      <c r="CN170" s="22">
        <f t="shared" si="172"/>
        <v>1.3275854709362456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363.02374534486341</v>
      </c>
      <c r="CZ170" s="59">
        <f t="shared" si="150"/>
        <v>489.00477393029598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0.48475628389471337</v>
      </c>
      <c r="DG170" s="21">
        <f>EXP(-LN(2)/25)*DG169+(1-EXP(-LN(2)/25))/(LN(2)/25)*Calculateur!DB170*Calculateur!DD170*VLOOKUP('Données projet'!$B$13,Paramètres!$A$1:$I$89,3,0)*0.475*44/12</f>
        <v>0.43382587517544952</v>
      </c>
      <c r="DH170" s="21">
        <f>EXP(-LN(2)/2)*DH169+(1-EXP(-LN(2)/2))/(LN(2)/2)*DB170*DE170*VLOOKUP('Données projet'!$B$13,Paramètres!$A$1:$I$89,3,0)*0.475*44/12</f>
        <v>7.0231880165648177E-20</v>
      </c>
      <c r="DI170" s="22">
        <f t="shared" si="175"/>
        <v>0.91858215907016283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-3.7509835237869992E-13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368.03281986807173</v>
      </c>
      <c r="DU170" s="59">
        <f t="shared" si="152"/>
        <v>395.83504504492248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0.16181495272053653</v>
      </c>
      <c r="EB170" s="21">
        <f>EXP(-LN(2)/25)*EB169+(1-EXP(-LN(2)/25))/(LN(2)/25)*Calculateur!DW170*Calculateur!DY170*VLOOKUP('Données projet'!$B$14,Paramètres!$A$1:$I$89,3,0)*0.475*44/12</f>
        <v>0.34375168829280001</v>
      </c>
      <c r="EC170" s="21">
        <f>EXP(-LN(2)/2)*EC169+(1-EXP(-LN(2)/2))/(LN(2)/2)*DW170*DZ170*VLOOKUP('Données projet'!$B$14,Paramètres!$A$1:$I$89,3,0)*0.475*44/12</f>
        <v>5.3074999058499576E-20</v>
      </c>
      <c r="ED170" s="22">
        <f t="shared" si="178"/>
        <v>0.50556664101333659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225.2264820414552</v>
      </c>
      <c r="EP170" s="59">
        <f t="shared" si="154"/>
        <v>249.91838548328681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0.14673251087747657</v>
      </c>
      <c r="EW170" s="21">
        <f>EXP(-LN(2)/25)*EW169+(1-EXP(-LN(2)/25))/(LN(2)/25)*Calculateur!ER170*Calculateur!ET170*VLOOKUP('Données projet'!$B$15,Paramètres!$A$1:$I$89,3,0)*0.475*44/12</f>
        <v>0.19393324315852287</v>
      </c>
      <c r="EX170" s="21">
        <f>EXP(-LN(2)/2)*EX169+(1-EXP(-LN(2)/2))/(LN(2)/2)*ER170*EU170*VLOOKUP('Données projet'!$B$15,Paramètres!$A$1:$I$89,3,0)*0.475*44/12</f>
        <v>9.6921456031167016E-21</v>
      </c>
      <c r="EY170" s="22">
        <f t="shared" si="181"/>
        <v>0.34066575403599941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-1.2505552149377763E-12</v>
      </c>
      <c r="FF170" s="17">
        <f>FE170*VLOOKUP('Données projet'!$B$16,Paramètres!$A$1:$I$89,3,0)*VLOOKUP('Données projet'!$B$16,Paramètres!$A$1:$I$89,5,0)</f>
        <v>-6.9906036515021697E-13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549.85684198202534</v>
      </c>
      <c r="FK170" s="59">
        <f t="shared" si="156"/>
        <v>539.63748606275431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0.75743169358549112</v>
      </c>
      <c r="FR170" s="21">
        <f>EXP(-LN(2)/25)*FR169+(1-EXP(-LN(2)/25))/(LN(2)/25)*Calculateur!FM170*Calculateur!FO170*VLOOKUP('Données projet'!$B$16,Paramètres!$A$1:$I$89,3,0)*0.475*44/12</f>
        <v>0.86842593015905734</v>
      </c>
      <c r="FS170" s="21">
        <f>EXP(-LN(2)/2)*FS169+(1-EXP(-LN(2)/2))/(LN(2)/2)*FM170*FP170*VLOOKUP('Données projet'!$B$16,Paramètres!$A$1:$I$89,3,0)*0.475*44/12</f>
        <v>8.737829829478913E-20</v>
      </c>
      <c r="FT170" s="22">
        <f t="shared" si="184"/>
        <v>1.6258576237445483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-5.6843418860808015E-13</v>
      </c>
      <c r="GA170" s="17">
        <f>FZ170*VLOOKUP('Données projet'!$B$17,Paramètres!$A$1:$I$89,3,0)*VLOOKUP('Données projet'!$B$17,Paramètres!$A$1:$I$89,5,0)</f>
        <v>-3.39923644787632E-13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495.6641415122013</v>
      </c>
      <c r="GF170" s="59">
        <f t="shared" si="158"/>
        <v>488.90534169400757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0.26518115953014165</v>
      </c>
      <c r="GM170" s="21">
        <f>EXP(-LN(2)/25)*GM169+(1-EXP(-LN(2)/25))/(LN(2)/25)*Calculateur!GH170*Calculateur!GJ170*VLOOKUP('Données projet'!$B$17,Paramètres!$A$1:$I$89,3,0)*0.475*44/12</f>
        <v>0.58265842465399664</v>
      </c>
      <c r="GN170" s="21">
        <f>EXP(-LN(2)/2)*GN169+(1-EXP(-LN(2)/2))/(LN(2)/2)*GH170*GK170*VLOOKUP('Données projet'!$B$17,Paramètres!$A$1:$I$89,3,0)*0.475*44/12</f>
        <v>8.3275401656904374E-20</v>
      </c>
      <c r="GO170" s="21">
        <f t="shared" si="187"/>
        <v>0.8478395841841383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-5.6843418860808015E-13</v>
      </c>
      <c r="GV170" s="17">
        <f>GU170*VLOOKUP('Données projet'!$B$18,Paramètres!$A$1:$I$89,3,0)*VLOOKUP('Données projet'!$B$18,Paramètres!$A$1:$I$89,5,0)</f>
        <v>-3.39923644787632E-13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-18.333333333333343</v>
      </c>
      <c r="HA170" s="59">
        <f t="shared" si="160"/>
        <v>-18.333333333333343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0.26518115953014165</v>
      </c>
      <c r="HH170" s="21">
        <f>EXP(-LN(2)/25)*HH169+(1-EXP(-LN(2)/25))/(LN(2)/25)*Calculateur!HC170*Calculateur!HE170*VLOOKUP('Données projet'!$B$18,Paramètres!$A$1:$I$89,3,0)*0.475*44/12</f>
        <v>0.58265842465399664</v>
      </c>
      <c r="HI170" s="21">
        <f>EXP(-LN(2)/2)*HI169+(1-EXP(-LN(2)/2))/(LN(2)/2)*HC170*HF170*VLOOKUP('Données projet'!$B$18,Paramètres!$A$1:$I$89,3,0)*0.475*44/12</f>
        <v>8.3275401656904374E-20</v>
      </c>
      <c r="HJ170" s="22">
        <f t="shared" si="190"/>
        <v>0.8478395841841383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376.11581547534814</v>
      </c>
      <c r="T171" s="59">
        <f t="shared" si="142"/>
        <v>300.91675649863294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0.20382681187881038</v>
      </c>
      <c r="AA171" s="21">
        <f>EXP(-LN(2)/25)*AA170+(1-EXP(-LN(2)/25))/(LN(2)/25)*Calculateur!V171*Calculateur!X171*VLOOKUP('Données projet'!$B$9,Paramètres!$A$1:$I$89,3,0)*0.475*44/12</f>
        <v>0.17119311178083488</v>
      </c>
      <c r="AB171" s="21">
        <f>EXP(-LN(2)/2)*AB170+(1-EXP(-LN(2)/2))/(LN(2)/2)*V171*Y171*VLOOKUP('Données projet'!$B$9,Paramètres!$A$1:$I$89,3,0)*0.475*44/12</f>
        <v>1.6656354844059055E-20</v>
      </c>
      <c r="AC171" s="22">
        <f t="shared" si="163"/>
        <v>0.37501992365964526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-5.6843418860808015E-13</v>
      </c>
      <c r="AJ171" s="13">
        <f>AI171*VLOOKUP('Données projet'!$B$10,Paramètres!$A$1:$I$89,3,0)*VLOOKUP('Données projet'!$B$10,Paramètres!$A$1:$I$89,5,0)</f>
        <v>-5.1431925385259092E-13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505.38595282220405</v>
      </c>
      <c r="AO171" s="59">
        <f t="shared" si="144"/>
        <v>351.72130415456365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0.15661664495852937</v>
      </c>
      <c r="AV171" s="21">
        <f>EXP(-LN(2)/25)*AV170+(1-EXP(-LN(2)/25))/(LN(2)/25)*Calculateur!AQ171*Calculateur!AS171*VLOOKUP('Données projet'!$B$10,Paramètres!$A$1:$I$89,3,0)*0.475*44/12</f>
        <v>0.24588499222957505</v>
      </c>
      <c r="AW171" s="21">
        <f>EXP(-LN(2)/2)*AW170+(1-EXP(-LN(2)/2))/(LN(2)/2)*AQ171*AT171*VLOOKUP('Données projet'!$B$10,Paramètres!$A$1:$I$89,3,0)*0.475*44/12</f>
        <v>3.6512772741872155E-20</v>
      </c>
      <c r="AX171" s="21">
        <f t="shared" si="166"/>
        <v>0.40250163718810439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-4.0702161641092972E-13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394.14657090341535</v>
      </c>
      <c r="BJ171" s="59">
        <f t="shared" si="146"/>
        <v>424.06445894109982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0.21217661954836889</v>
      </c>
      <c r="BQ171" s="21">
        <f>EXP(-LN(2)/25)*BQ170+(1-EXP(-LN(2)/25))/(LN(2)/25)*Calculateur!BL171*Calculateur!BN171*VLOOKUP('Données projet'!$B$11,Paramètres!$A$1:$I$89,3,0)*0.475*44/12</f>
        <v>0.4471810302568302</v>
      </c>
      <c r="BR171" s="21">
        <f>EXP(-LN(2)/2)*BR170+(1-EXP(-LN(2)/2))/(LN(2)/2)*BL171*BO171*VLOOKUP('Données projet'!$B$11,Paramètres!$A$1:$I$89,3,0)*0.475*44/12</f>
        <v>4.0723708064520163E-20</v>
      </c>
      <c r="BS171" s="22">
        <f t="shared" si="169"/>
        <v>0.65935764980519906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3.1036506698001181E-13</v>
      </c>
      <c r="CA171" s="13">
        <f t="shared" si="170"/>
        <v>4.086682523110923E-12</v>
      </c>
      <c r="CB171" s="20">
        <f t="shared" si="171"/>
        <v>7.6581912194083782E-12</v>
      </c>
      <c r="CC171" s="59">
        <f t="shared" si="119"/>
        <v>288.4873081989922</v>
      </c>
      <c r="CD171" s="59">
        <f ca="1">AVERAGE(OFFSET($CC$3,0,0,'Données projet'!$E$12+1,1))-AVERAGE(OFFSET($H$3,0,0,'Données projet'!$E$12+1,1))</f>
        <v>382.09004346384319</v>
      </c>
      <c r="CE171" s="59">
        <f t="shared" si="148"/>
        <v>410.18893995284986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0.55387281817731737</v>
      </c>
      <c r="CL171" s="21">
        <f>EXP(-LN(2)/25)*CL170+(1-EXP(-LN(2)/25))/(LN(2)/25)*Calculateur!CG171*Calculateur!CI171*VLOOKUP('Données projet'!$B$12,Paramètres!$A$1:$I$89,3,0)*0.475*44/12</f>
        <v>0.74178002980583368</v>
      </c>
      <c r="CM171" s="21">
        <f>EXP(-LN(2)/2)*CM170+(1-EXP(-LN(2)/2))/(LN(2)/2)*CG171*CJ171*VLOOKUP('Données projet'!$B$12,Paramètres!$A$1:$I$89,3,0)*0.475*44/12</f>
        <v>4.2660689222177644E-20</v>
      </c>
      <c r="CN171" s="22">
        <f t="shared" si="172"/>
        <v>1.2956528479831511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363.02374534486341</v>
      </c>
      <c r="CZ171" s="59">
        <f t="shared" si="150"/>
        <v>489.00477393029598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0.47525050883967601</v>
      </c>
      <c r="DG171" s="21">
        <f>EXP(-LN(2)/25)*DG170+(1-EXP(-LN(2)/25))/(LN(2)/25)*Calculateur!DB171*Calculateur!DD171*VLOOKUP('Données projet'!$B$13,Paramètres!$A$1:$I$89,3,0)*0.475*44/12</f>
        <v>0.42196288380486557</v>
      </c>
      <c r="DH171" s="21">
        <f>EXP(-LN(2)/2)*DH170+(1-EXP(-LN(2)/2))/(LN(2)/2)*DB171*DE171*VLOOKUP('Données projet'!$B$13,Paramètres!$A$1:$I$89,3,0)*0.475*44/12</f>
        <v>4.9661438720610813E-20</v>
      </c>
      <c r="DI171" s="22">
        <f t="shared" si="175"/>
        <v>0.89721339264454159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-3.7509835237869992E-13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368.03281986807173</v>
      </c>
      <c r="DU171" s="59">
        <f t="shared" si="152"/>
        <v>395.83504504492248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0.15864186019506241</v>
      </c>
      <c r="EB171" s="21">
        <f>EXP(-LN(2)/25)*EB170+(1-EXP(-LN(2)/25))/(LN(2)/25)*Calculateur!DW171*Calculateur!DY171*VLOOKUP('Données projet'!$B$14,Paramètres!$A$1:$I$89,3,0)*0.475*44/12</f>
        <v>0.33435178029931778</v>
      </c>
      <c r="EC171" s="21">
        <f>EXP(-LN(2)/2)*EC170+(1-EXP(-LN(2)/2))/(LN(2)/2)*DW171*DZ171*VLOOKUP('Données projet'!$B$14,Paramètres!$A$1:$I$89,3,0)*0.475*44/12</f>
        <v>3.7529691745734679E-20</v>
      </c>
      <c r="ED171" s="22">
        <f t="shared" si="178"/>
        <v>0.49299364049438021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225.2264820414552</v>
      </c>
      <c r="EP171" s="59">
        <f t="shared" si="154"/>
        <v>249.91838548328681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0.1438551758371637</v>
      </c>
      <c r="EW171" s="21">
        <f>EXP(-LN(2)/25)*EW170+(1-EXP(-LN(2)/25))/(LN(2)/25)*Calculateur!ER171*Calculateur!ET171*VLOOKUP('Données projet'!$B$15,Paramètres!$A$1:$I$89,3,0)*0.475*44/12</f>
        <v>0.18863012842584703</v>
      </c>
      <c r="EX171" s="21">
        <f>EXP(-LN(2)/2)*EX170+(1-EXP(-LN(2)/2))/(LN(2)/2)*ER171*EU171*VLOOKUP('Données projet'!$B$15,Paramètres!$A$1:$I$89,3,0)*0.475*44/12</f>
        <v>6.8533818802112002E-21</v>
      </c>
      <c r="EY171" s="22">
        <f t="shared" si="181"/>
        <v>0.33248530426301071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-1.2505552149377763E-12</v>
      </c>
      <c r="FF171" s="17">
        <f>FE171*VLOOKUP('Données projet'!$B$16,Paramètres!$A$1:$I$89,3,0)*VLOOKUP('Données projet'!$B$16,Paramètres!$A$1:$I$89,5,0)</f>
        <v>-6.9906036515021697E-13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549.85684198202534</v>
      </c>
      <c r="FK171" s="59">
        <f t="shared" si="156"/>
        <v>539.63748606275431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0.74257892006199522</v>
      </c>
      <c r="FR171" s="21">
        <f>EXP(-LN(2)/25)*FR170+(1-EXP(-LN(2)/25))/(LN(2)/25)*Calculateur!FM171*Calculateur!FO171*VLOOKUP('Données projet'!$B$16,Paramètres!$A$1:$I$89,3,0)*0.475*44/12</f>
        <v>0.84467877743032305</v>
      </c>
      <c r="FS171" s="21">
        <f>EXP(-LN(2)/2)*FS170+(1-EXP(-LN(2)/2))/(LN(2)/2)*FM171*FP171*VLOOKUP('Données projet'!$B$16,Paramètres!$A$1:$I$89,3,0)*0.475*44/12</f>
        <v>6.1785787252786335E-20</v>
      </c>
      <c r="FT171" s="22">
        <f t="shared" si="184"/>
        <v>1.5872576974923183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-5.6843418860808015E-13</v>
      </c>
      <c r="GA171" s="17">
        <f>FZ171*VLOOKUP('Données projet'!$B$17,Paramètres!$A$1:$I$89,3,0)*VLOOKUP('Données projet'!$B$17,Paramètres!$A$1:$I$89,5,0)</f>
        <v>-3.39923644787632E-13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495.6641415122013</v>
      </c>
      <c r="GF171" s="59">
        <f t="shared" si="158"/>
        <v>488.90534169400757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0.25998111873629193</v>
      </c>
      <c r="GM171" s="21">
        <f>EXP(-LN(2)/25)*GM170+(1-EXP(-LN(2)/25))/(LN(2)/25)*Calculateur!GH171*Calculateur!GJ171*VLOOKUP('Données projet'!$B$17,Paramètres!$A$1:$I$89,3,0)*0.475*44/12</f>
        <v>0.56672559939115819</v>
      </c>
      <c r="GN171" s="21">
        <f>EXP(-LN(2)/2)*GN170+(1-EXP(-LN(2)/2))/(LN(2)/2)*GH171*GK171*VLOOKUP('Données projet'!$B$17,Paramètres!$A$1:$I$89,3,0)*0.475*44/12</f>
        <v>5.8884601217630537E-20</v>
      </c>
      <c r="GO171" s="21">
        <f t="shared" si="187"/>
        <v>0.82670671812745011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-5.6843418860808015E-13</v>
      </c>
      <c r="GV171" s="17">
        <f>GU171*VLOOKUP('Données projet'!$B$18,Paramètres!$A$1:$I$89,3,0)*VLOOKUP('Données projet'!$B$18,Paramètres!$A$1:$I$89,5,0)</f>
        <v>-3.39923644787632E-13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-18.333333333333343</v>
      </c>
      <c r="HA171" s="59">
        <f t="shared" si="160"/>
        <v>-18.333333333333343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0.25998111873629193</v>
      </c>
      <c r="HH171" s="21">
        <f>EXP(-LN(2)/25)*HH170+(1-EXP(-LN(2)/25))/(LN(2)/25)*Calculateur!HC171*Calculateur!HE171*VLOOKUP('Données projet'!$B$18,Paramètres!$A$1:$I$89,3,0)*0.475*44/12</f>
        <v>0.56672559939115819</v>
      </c>
      <c r="HI171" s="21">
        <f>EXP(-LN(2)/2)*HI170+(1-EXP(-LN(2)/2))/(LN(2)/2)*HC171*HF171*VLOOKUP('Données projet'!$B$18,Paramètres!$A$1:$I$89,3,0)*0.475*44/12</f>
        <v>5.8884601217630537E-20</v>
      </c>
      <c r="HJ171" s="22">
        <f t="shared" si="190"/>
        <v>0.82670671812745011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376.11581547534814</v>
      </c>
      <c r="T172" s="59">
        <f t="shared" si="142"/>
        <v>300.91675649863294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0.19982989241994636</v>
      </c>
      <c r="AA172" s="21">
        <f>EXP(-LN(2)/25)*AA171+(1-EXP(-LN(2)/25))/(LN(2)/25)*Calculateur!V172*Calculateur!X172*VLOOKUP('Données projet'!$B$9,Paramètres!$A$1:$I$89,3,0)*0.475*44/12</f>
        <v>0.16651182713653348</v>
      </c>
      <c r="AB172" s="21">
        <f>EXP(-LN(2)/2)*AB171+(1-EXP(-LN(2)/2))/(LN(2)/2)*V172*Y172*VLOOKUP('Données projet'!$B$9,Paramètres!$A$1:$I$89,3,0)*0.475*44/12</f>
        <v>1.1777821460083557E-20</v>
      </c>
      <c r="AC172" s="22">
        <f t="shared" si="163"/>
        <v>0.36634171955647987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-5.6843418860808015E-13</v>
      </c>
      <c r="AJ172" s="13">
        <f>AI172*VLOOKUP('Données projet'!$B$10,Paramètres!$A$1:$I$89,3,0)*VLOOKUP('Données projet'!$B$10,Paramètres!$A$1:$I$89,5,0)</f>
        <v>-5.1431925385259092E-13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505.38595282220405</v>
      </c>
      <c r="AO172" s="59">
        <f t="shared" si="144"/>
        <v>351.72130415456365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0.15354548807761356</v>
      </c>
      <c r="AV172" s="21">
        <f>EXP(-LN(2)/25)*AV171+(1-EXP(-LN(2)/25))/(LN(2)/25)*Calculateur!AQ172*Calculateur!AS172*VLOOKUP('Données projet'!$B$10,Paramètres!$A$1:$I$89,3,0)*0.475*44/12</f>
        <v>0.23916125418652756</v>
      </c>
      <c r="AW172" s="21">
        <f>EXP(-LN(2)/2)*AW171+(1-EXP(-LN(2)/2))/(LN(2)/2)*AQ172*AT172*VLOOKUP('Données projet'!$B$10,Paramètres!$A$1:$I$89,3,0)*0.475*44/12</f>
        <v>2.5818429205701131E-20</v>
      </c>
      <c r="AX172" s="21">
        <f t="shared" si="166"/>
        <v>0.39270674226414115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-4.0702161641092972E-13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394.14657090341535</v>
      </c>
      <c r="BJ172" s="59">
        <f t="shared" si="146"/>
        <v>424.06445894109982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0.20801596545398462</v>
      </c>
      <c r="BQ172" s="21">
        <f>EXP(-LN(2)/25)*BQ171+(1-EXP(-LN(2)/25))/(LN(2)/25)*Calculateur!BL172*Calculateur!BN172*VLOOKUP('Données projet'!$B$11,Paramètres!$A$1:$I$89,3,0)*0.475*44/12</f>
        <v>0.43495284146822882</v>
      </c>
      <c r="BR172" s="21">
        <f>EXP(-LN(2)/2)*BR171+(1-EXP(-LN(2)/2))/(LN(2)/2)*BL172*BO172*VLOOKUP('Données projet'!$B$11,Paramètres!$A$1:$I$89,3,0)*0.475*44/12</f>
        <v>2.87960101274835E-20</v>
      </c>
      <c r="BS172" s="22">
        <f t="shared" si="169"/>
        <v>0.64296880692221348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3.1036506698001181E-13</v>
      </c>
      <c r="CA172" s="13">
        <f t="shared" si="170"/>
        <v>4.086682523110923E-12</v>
      </c>
      <c r="CB172" s="20">
        <f t="shared" si="171"/>
        <v>7.6581912194083782E-12</v>
      </c>
      <c r="CC172" s="59">
        <f t="shared" si="119"/>
        <v>288.57137590098409</v>
      </c>
      <c r="CD172" s="59">
        <f ca="1">AVERAGE(OFFSET($CC$3,0,0,'Données projet'!$E$12+1,1))-AVERAGE(OFFSET($H$3,0,0,'Données projet'!$E$12+1,1))</f>
        <v>382.09004346384319</v>
      </c>
      <c r="CE172" s="59">
        <f t="shared" si="148"/>
        <v>410.18893995284986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0.54301171004192139</v>
      </c>
      <c r="CL172" s="21">
        <f>EXP(-LN(2)/25)*CL171+(1-EXP(-LN(2)/25))/(LN(2)/25)*Calculateur!CG172*Calculateur!CI172*VLOOKUP('Données projet'!$B$12,Paramètres!$A$1:$I$89,3,0)*0.475*44/12</f>
        <v>0.72149601588227674</v>
      </c>
      <c r="CM172" s="21">
        <f>EXP(-LN(2)/2)*CM171+(1-EXP(-LN(2)/2))/(LN(2)/2)*CG172*CJ172*VLOOKUP('Données projet'!$B$12,Paramètres!$A$1:$I$89,3,0)*0.475*44/12</f>
        <v>3.0165662639093674E-20</v>
      </c>
      <c r="CN172" s="22">
        <f t="shared" si="172"/>
        <v>1.2645077259241981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363.02374534486341</v>
      </c>
      <c r="CZ172" s="59">
        <f t="shared" si="150"/>
        <v>489.00477393029598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0.46593113623551768</v>
      </c>
      <c r="DG172" s="21">
        <f>EXP(-LN(2)/25)*DG171+(1-EXP(-LN(2)/25))/(LN(2)/25)*Calculateur!DB172*Calculateur!DD172*VLOOKUP('Données projet'!$B$13,Paramètres!$A$1:$I$89,3,0)*0.475*44/12</f>
        <v>0.4104242865571579</v>
      </c>
      <c r="DH172" s="21">
        <f>EXP(-LN(2)/2)*DH171+(1-EXP(-LN(2)/2))/(LN(2)/2)*DB172*DE172*VLOOKUP('Données projet'!$B$13,Paramètres!$A$1:$I$89,3,0)*0.475*44/12</f>
        <v>3.5115940082824089E-20</v>
      </c>
      <c r="DI172" s="22">
        <f t="shared" si="175"/>
        <v>0.87635542279267553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-3.7509835237869992E-13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368.03281986807173</v>
      </c>
      <c r="DU172" s="59">
        <f t="shared" si="152"/>
        <v>395.83504504492248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0.15553099007861751</v>
      </c>
      <c r="EB172" s="21">
        <f>EXP(-LN(2)/25)*EB171+(1-EXP(-LN(2)/25))/(LN(2)/25)*Calculateur!DW172*Calculateur!DY172*VLOOKUP('Données projet'!$B$14,Paramètres!$A$1:$I$89,3,0)*0.475*44/12</f>
        <v>0.32520891328423696</v>
      </c>
      <c r="EC172" s="21">
        <f>EXP(-LN(2)/2)*EC171+(1-EXP(-LN(2)/2))/(LN(2)/2)*DW172*DZ172*VLOOKUP('Données projet'!$B$14,Paramètres!$A$1:$I$89,3,0)*0.475*44/12</f>
        <v>2.6537499529249791E-20</v>
      </c>
      <c r="ED172" s="22">
        <f t="shared" si="178"/>
        <v>0.48073990336285444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225.2264820414552</v>
      </c>
      <c r="EP172" s="59">
        <f t="shared" si="154"/>
        <v>249.91838548328681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0.14103426358199028</v>
      </c>
      <c r="EW172" s="21">
        <f>EXP(-LN(2)/25)*EW171+(1-EXP(-LN(2)/25))/(LN(2)/25)*Calculateur!ER172*Calculateur!ET172*VLOOKUP('Données projet'!$B$15,Paramètres!$A$1:$I$89,3,0)*0.475*44/12</f>
        <v>0.18347202764441492</v>
      </c>
      <c r="EX172" s="21">
        <f>EXP(-LN(2)/2)*EX171+(1-EXP(-LN(2)/2))/(LN(2)/2)*ER172*EU172*VLOOKUP('Données projet'!$B$15,Paramètres!$A$1:$I$89,3,0)*0.475*44/12</f>
        <v>4.8460728015583508E-21</v>
      </c>
      <c r="EY172" s="22">
        <f t="shared" si="181"/>
        <v>0.32450629122640517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-1.2505552149377763E-12</v>
      </c>
      <c r="FF172" s="17">
        <f>FE172*VLOOKUP('Données projet'!$B$16,Paramètres!$A$1:$I$89,3,0)*VLOOKUP('Données projet'!$B$16,Paramètres!$A$1:$I$89,5,0)</f>
        <v>-6.9906036515021697E-13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549.85684198202534</v>
      </c>
      <c r="FK172" s="59">
        <f t="shared" si="156"/>
        <v>539.63748606275431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0.72801740036799778</v>
      </c>
      <c r="FR172" s="21">
        <f>EXP(-LN(2)/25)*FR171+(1-EXP(-LN(2)/25))/(LN(2)/25)*Calculateur!FM172*Calculateur!FO172*VLOOKUP('Données projet'!$B$16,Paramètres!$A$1:$I$89,3,0)*0.475*44/12</f>
        <v>0.82158099184176447</v>
      </c>
      <c r="FS172" s="21">
        <f>EXP(-LN(2)/2)*FS171+(1-EXP(-LN(2)/2))/(LN(2)/2)*FM172*FP172*VLOOKUP('Données projet'!$B$16,Paramètres!$A$1:$I$89,3,0)*0.475*44/12</f>
        <v>4.3689149147394565E-20</v>
      </c>
      <c r="FT172" s="22">
        <f t="shared" si="184"/>
        <v>1.5495983922097623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-5.6843418860808015E-13</v>
      </c>
      <c r="GA172" s="17">
        <f>FZ172*VLOOKUP('Données projet'!$B$17,Paramètres!$A$1:$I$89,3,0)*VLOOKUP('Données projet'!$B$17,Paramètres!$A$1:$I$89,5,0)</f>
        <v>-3.39923644787632E-13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495.6641415122013</v>
      </c>
      <c r="GF172" s="59">
        <f t="shared" si="158"/>
        <v>488.90534169400757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0.25488304757069791</v>
      </c>
      <c r="GM172" s="21">
        <f>EXP(-LN(2)/25)*GM171+(1-EXP(-LN(2)/25))/(LN(2)/25)*Calculateur!GH172*Calculateur!GJ172*VLOOKUP('Données projet'!$B$17,Paramètres!$A$1:$I$89,3,0)*0.475*44/12</f>
        <v>0.55122845807300291</v>
      </c>
      <c r="GN172" s="21">
        <f>EXP(-LN(2)/2)*GN171+(1-EXP(-LN(2)/2))/(LN(2)/2)*GH172*GK172*VLOOKUP('Données projet'!$B$17,Paramètres!$A$1:$I$89,3,0)*0.475*44/12</f>
        <v>4.1637700828452187E-20</v>
      </c>
      <c r="GO172" s="21">
        <f t="shared" si="187"/>
        <v>0.80611150564370082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-5.6843418860808015E-13</v>
      </c>
      <c r="GV172" s="17">
        <f>GU172*VLOOKUP('Données projet'!$B$18,Paramètres!$A$1:$I$89,3,0)*VLOOKUP('Données projet'!$B$18,Paramètres!$A$1:$I$89,5,0)</f>
        <v>-3.39923644787632E-13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-18.333333333333343</v>
      </c>
      <c r="HA172" s="59">
        <f t="shared" si="160"/>
        <v>-18.333333333333343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0.25488304757069791</v>
      </c>
      <c r="HH172" s="21">
        <f>EXP(-LN(2)/25)*HH171+(1-EXP(-LN(2)/25))/(LN(2)/25)*Calculateur!HC172*Calculateur!HE172*VLOOKUP('Données projet'!$B$18,Paramètres!$A$1:$I$89,3,0)*0.475*44/12</f>
        <v>0.55122845807300291</v>
      </c>
      <c r="HI172" s="21">
        <f>EXP(-LN(2)/2)*HI171+(1-EXP(-LN(2)/2))/(LN(2)/2)*HC172*HF172*VLOOKUP('Données projet'!$B$18,Paramètres!$A$1:$I$89,3,0)*0.475*44/12</f>
        <v>4.1637700828452187E-20</v>
      </c>
      <c r="HJ172" s="22">
        <f t="shared" si="190"/>
        <v>0.80611150564370082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376.11581547534814</v>
      </c>
      <c r="T173" s="59">
        <f t="shared" si="142"/>
        <v>300.91675649863294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0.19591135011379052</v>
      </c>
      <c r="AA173" s="21">
        <f>EXP(-LN(2)/25)*AA172+(1-EXP(-LN(2)/25))/(LN(2)/25)*Calculateur!V173*Calculateur!X173*VLOOKUP('Données projet'!$B$9,Paramètres!$A$1:$I$89,3,0)*0.475*44/12</f>
        <v>0.16195855246700855</v>
      </c>
      <c r="AB173" s="21">
        <f>EXP(-LN(2)/2)*AB172+(1-EXP(-LN(2)/2))/(LN(2)/2)*V173*Y173*VLOOKUP('Données projet'!$B$9,Paramètres!$A$1:$I$89,3,0)*0.475*44/12</f>
        <v>8.3281774220295273E-21</v>
      </c>
      <c r="AC173" s="22">
        <f t="shared" si="163"/>
        <v>0.35786990258079909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-5.6843418860808015E-13</v>
      </c>
      <c r="AJ173" s="13">
        <f>AI173*VLOOKUP('Données projet'!$B$10,Paramètres!$A$1:$I$89,3,0)*VLOOKUP('Données projet'!$B$10,Paramètres!$A$1:$I$89,5,0)</f>
        <v>-5.1431925385259092E-13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505.38595282220405</v>
      </c>
      <c r="AO173" s="59">
        <f t="shared" si="144"/>
        <v>351.72130415456365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0.15053455470991178</v>
      </c>
      <c r="AV173" s="21">
        <f>EXP(-LN(2)/25)*AV172+(1-EXP(-LN(2)/25))/(LN(2)/25)*Calculateur!AQ173*Calculateur!AS173*VLOOKUP('Données projet'!$B$10,Paramètres!$A$1:$I$89,3,0)*0.475*44/12</f>
        <v>0.23262137711385322</v>
      </c>
      <c r="AW173" s="21">
        <f>EXP(-LN(2)/2)*AW172+(1-EXP(-LN(2)/2))/(LN(2)/2)*AQ173*AT173*VLOOKUP('Données projet'!$B$10,Paramètres!$A$1:$I$89,3,0)*0.475*44/12</f>
        <v>1.8256386370936077E-20</v>
      </c>
      <c r="AX173" s="21">
        <f t="shared" si="166"/>
        <v>0.38315593182376501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-4.0702161641092972E-13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394.14657090341535</v>
      </c>
      <c r="BJ173" s="59">
        <f t="shared" si="146"/>
        <v>424.06445894109982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0.20393689924864283</v>
      </c>
      <c r="BQ173" s="21">
        <f>EXP(-LN(2)/25)*BQ172+(1-EXP(-LN(2)/25))/(LN(2)/25)*Calculateur!BL173*Calculateur!BN173*VLOOKUP('Données projet'!$B$11,Paramètres!$A$1:$I$89,3,0)*0.475*44/12</f>
        <v>0.42305903314510429</v>
      </c>
      <c r="BR173" s="21">
        <f>EXP(-LN(2)/2)*BR172+(1-EXP(-LN(2)/2))/(LN(2)/2)*BL173*BO173*VLOOKUP('Données projet'!$B$11,Paramètres!$A$1:$I$89,3,0)*0.475*44/12</f>
        <v>2.0361854032260082E-20</v>
      </c>
      <c r="BS173" s="22">
        <f t="shared" si="169"/>
        <v>0.62699593239374707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3.1036506698001181E-13</v>
      </c>
      <c r="CA173" s="13">
        <f t="shared" si="170"/>
        <v>4.086682523110923E-12</v>
      </c>
      <c r="CB173" s="20">
        <f t="shared" si="171"/>
        <v>7.6581912194083782E-12</v>
      </c>
      <c r="CC173" s="59">
        <f t="shared" si="119"/>
        <v>288.65398521629356</v>
      </c>
      <c r="CD173" s="59">
        <f ca="1">AVERAGE(OFFSET($CC$3,0,0,'Données projet'!$E$12+1,1))-AVERAGE(OFFSET($H$3,0,0,'Données projet'!$E$12+1,1))</f>
        <v>382.09004346384319</v>
      </c>
      <c r="CE173" s="59">
        <f t="shared" si="148"/>
        <v>410.18893995284986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0.53236358161243869</v>
      </c>
      <c r="CL173" s="21">
        <f>EXP(-LN(2)/25)*CL172+(1-EXP(-LN(2)/25))/(LN(2)/25)*Calculateur!CG173*Calculateur!CI173*VLOOKUP('Données projet'!$B$12,Paramètres!$A$1:$I$89,3,0)*0.475*44/12</f>
        <v>0.7017666693861494</v>
      </c>
      <c r="CM173" s="21">
        <f>EXP(-LN(2)/2)*CM172+(1-EXP(-LN(2)/2))/(LN(2)/2)*CG173*CJ173*VLOOKUP('Données projet'!$B$12,Paramètres!$A$1:$I$89,3,0)*0.475*44/12</f>
        <v>2.1330344611088822E-20</v>
      </c>
      <c r="CN173" s="22">
        <f t="shared" si="172"/>
        <v>1.2341302509985881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363.02374534486341</v>
      </c>
      <c r="CZ173" s="59">
        <f t="shared" si="150"/>
        <v>489.00477393029598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0.45679451084387085</v>
      </c>
      <c r="DG173" s="21">
        <f>EXP(-LN(2)/25)*DG172+(1-EXP(-LN(2)/25))/(LN(2)/25)*Calculateur!DB173*Calculateur!DD173*VLOOKUP('Données projet'!$B$13,Paramètres!$A$1:$I$89,3,0)*0.475*44/12</f>
        <v>0.39920121285797722</v>
      </c>
      <c r="DH173" s="21">
        <f>EXP(-LN(2)/2)*DH172+(1-EXP(-LN(2)/2))/(LN(2)/2)*DB173*DE173*VLOOKUP('Données projet'!$B$13,Paramètres!$A$1:$I$89,3,0)*0.475*44/12</f>
        <v>2.4830719360305407E-20</v>
      </c>
      <c r="DI173" s="22">
        <f t="shared" si="175"/>
        <v>0.85599572370184807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-3.7509835237869992E-13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368.03281986807173</v>
      </c>
      <c r="DU173" s="59">
        <f t="shared" si="152"/>
        <v>395.83504504492248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0.15248112222771268</v>
      </c>
      <c r="EB173" s="21">
        <f>EXP(-LN(2)/25)*EB172+(1-EXP(-LN(2)/25))/(LN(2)/25)*Calculateur!DW173*Calculateur!DY173*VLOOKUP('Données projet'!$B$14,Paramètres!$A$1:$I$89,3,0)*0.475*44/12</f>
        <v>0.31631605844848604</v>
      </c>
      <c r="EC173" s="21">
        <f>EXP(-LN(2)/2)*EC172+(1-EXP(-LN(2)/2))/(LN(2)/2)*DW173*DZ173*VLOOKUP('Données projet'!$B$14,Paramètres!$A$1:$I$89,3,0)*0.475*44/12</f>
        <v>1.8764845872867343E-20</v>
      </c>
      <c r="ED173" s="22">
        <f t="shared" si="178"/>
        <v>0.46879718067619869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225.2264820414552</v>
      </c>
      <c r="EP173" s="59">
        <f t="shared" si="154"/>
        <v>249.91838548328681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0.13826866769555424</v>
      </c>
      <c r="EW173" s="21">
        <f>EXP(-LN(2)/25)*EW172+(1-EXP(-LN(2)/25))/(LN(2)/25)*Calculateur!ER173*Calculateur!ET173*VLOOKUP('Données projet'!$B$15,Paramètres!$A$1:$I$89,3,0)*0.475*44/12</f>
        <v>0.1784549754001038</v>
      </c>
      <c r="EX173" s="21">
        <f>EXP(-LN(2)/2)*EX172+(1-EXP(-LN(2)/2))/(LN(2)/2)*ER173*EU173*VLOOKUP('Données projet'!$B$15,Paramètres!$A$1:$I$89,3,0)*0.475*44/12</f>
        <v>3.4266909401056001E-21</v>
      </c>
      <c r="EY173" s="22">
        <f t="shared" si="181"/>
        <v>0.31672364309565804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-1.2505552149377763E-12</v>
      </c>
      <c r="FF173" s="17">
        <f>FE173*VLOOKUP('Données projet'!$B$16,Paramètres!$A$1:$I$89,3,0)*VLOOKUP('Données projet'!$B$16,Paramètres!$A$1:$I$89,5,0)</f>
        <v>-6.9906036515021697E-13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549.85684198202534</v>
      </c>
      <c r="FK173" s="59">
        <f t="shared" si="156"/>
        <v>539.63748606275431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0.71374142319354961</v>
      </c>
      <c r="FR173" s="21">
        <f>EXP(-LN(2)/25)*FR172+(1-EXP(-LN(2)/25))/(LN(2)/25)*Calculateur!FM173*Calculateur!FO173*VLOOKUP('Données projet'!$B$16,Paramètres!$A$1:$I$89,3,0)*0.475*44/12</f>
        <v>0.79911481641478477</v>
      </c>
      <c r="FS173" s="21">
        <f>EXP(-LN(2)/2)*FS172+(1-EXP(-LN(2)/2))/(LN(2)/2)*FM173*FP173*VLOOKUP('Données projet'!$B$16,Paramètres!$A$1:$I$89,3,0)*0.475*44/12</f>
        <v>3.0892893626393168E-20</v>
      </c>
      <c r="FT173" s="22">
        <f t="shared" si="184"/>
        <v>1.5128562396083343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-5.6843418860808015E-13</v>
      </c>
      <c r="GA173" s="17">
        <f>FZ173*VLOOKUP('Données projet'!$B$17,Paramètres!$A$1:$I$89,3,0)*VLOOKUP('Données projet'!$B$17,Paramètres!$A$1:$I$89,5,0)</f>
        <v>-3.39923644787632E-13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495.6641415122013</v>
      </c>
      <c r="GF173" s="59">
        <f t="shared" si="158"/>
        <v>488.90534169400757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0.24988494647114481</v>
      </c>
      <c r="GM173" s="21">
        <f>EXP(-LN(2)/25)*GM172+(1-EXP(-LN(2)/25))/(LN(2)/25)*Calculateur!GH173*Calculateur!GJ173*VLOOKUP('Données projet'!$B$17,Paramètres!$A$1:$I$89,3,0)*0.475*44/12</f>
        <v>0.53615508689915192</v>
      </c>
      <c r="GN173" s="21">
        <f>EXP(-LN(2)/2)*GN172+(1-EXP(-LN(2)/2))/(LN(2)/2)*GH173*GK173*VLOOKUP('Données projet'!$B$17,Paramètres!$A$1:$I$89,3,0)*0.475*44/12</f>
        <v>2.9442300608815269E-20</v>
      </c>
      <c r="GO173" s="21">
        <f t="shared" si="187"/>
        <v>0.78604003337029671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-5.6843418860808015E-13</v>
      </c>
      <c r="GV173" s="17">
        <f>GU173*VLOOKUP('Données projet'!$B$18,Paramètres!$A$1:$I$89,3,0)*VLOOKUP('Données projet'!$B$18,Paramètres!$A$1:$I$89,5,0)</f>
        <v>-3.39923644787632E-13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-18.333333333333343</v>
      </c>
      <c r="HA173" s="59">
        <f t="shared" si="160"/>
        <v>-18.333333333333343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0.24988494647114481</v>
      </c>
      <c r="HH173" s="21">
        <f>EXP(-LN(2)/25)*HH172+(1-EXP(-LN(2)/25))/(LN(2)/25)*Calculateur!HC173*Calculateur!HE173*VLOOKUP('Données projet'!$B$18,Paramètres!$A$1:$I$89,3,0)*0.475*44/12</f>
        <v>0.53615508689915192</v>
      </c>
      <c r="HI173" s="21">
        <f>EXP(-LN(2)/2)*HI172+(1-EXP(-LN(2)/2))/(LN(2)/2)*HC173*HF173*VLOOKUP('Données projet'!$B$18,Paramètres!$A$1:$I$89,3,0)*0.475*44/12</f>
        <v>2.9442300608815269E-20</v>
      </c>
      <c r="HJ173" s="22">
        <f t="shared" si="190"/>
        <v>0.78604003337029671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376.11581547534814</v>
      </c>
      <c r="T174" s="59">
        <f t="shared" si="142"/>
        <v>300.91675649863294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0.1920696480321836</v>
      </c>
      <c r="AA174" s="21">
        <f>EXP(-LN(2)/25)*AA173+(1-EXP(-LN(2)/25))/(LN(2)/25)*Calculateur!V174*Calculateur!X174*VLOOKUP('Données projet'!$B$9,Paramètres!$A$1:$I$89,3,0)*0.475*44/12</f>
        <v>0.1575297873327681</v>
      </c>
      <c r="AB174" s="21">
        <f>EXP(-LN(2)/2)*AB173+(1-EXP(-LN(2)/2))/(LN(2)/2)*V174*Y174*VLOOKUP('Données projet'!$B$9,Paramètres!$A$1:$I$89,3,0)*0.475*44/12</f>
        <v>5.8889107300417785E-21</v>
      </c>
      <c r="AC174" s="22">
        <f t="shared" si="163"/>
        <v>0.34959943536495169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-5.6843418860808015E-13</v>
      </c>
      <c r="AJ174" s="13">
        <f>AI174*VLOOKUP('Données projet'!$B$10,Paramètres!$A$1:$I$89,3,0)*VLOOKUP('Données projet'!$B$10,Paramètres!$A$1:$I$89,5,0)</f>
        <v>-5.1431925385259092E-13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505.38595282220405</v>
      </c>
      <c r="AO174" s="59">
        <f t="shared" si="144"/>
        <v>351.72130415456365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0.14758266390906261</v>
      </c>
      <c r="AV174" s="21">
        <f>EXP(-LN(2)/25)*AV173+(1-EXP(-LN(2)/25))/(LN(2)/25)*Calculateur!AQ174*Calculateur!AS174*VLOOKUP('Données projet'!$B$10,Paramètres!$A$1:$I$89,3,0)*0.475*44/12</f>
        <v>0.22626033332364834</v>
      </c>
      <c r="AW174" s="21">
        <f>EXP(-LN(2)/2)*AW173+(1-EXP(-LN(2)/2))/(LN(2)/2)*AQ174*AT174*VLOOKUP('Données projet'!$B$10,Paramètres!$A$1:$I$89,3,0)*0.475*44/12</f>
        <v>1.2909214602850566E-20</v>
      </c>
      <c r="AX174" s="21">
        <f t="shared" si="166"/>
        <v>0.37384299723271097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-4.0702161641092972E-13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394.14657090341535</v>
      </c>
      <c r="BJ174" s="59">
        <f t="shared" si="146"/>
        <v>424.06445894109982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0.19993782104360308</v>
      </c>
      <c r="BQ174" s="21">
        <f>EXP(-LN(2)/25)*BQ173+(1-EXP(-LN(2)/25))/(LN(2)/25)*Calculateur!BL174*Calculateur!BN174*VLOOKUP('Données projet'!$B$11,Paramètres!$A$1:$I$89,3,0)*0.475*44/12</f>
        <v>0.4114904616360438</v>
      </c>
      <c r="BR174" s="21">
        <f>EXP(-LN(2)/2)*BR173+(1-EXP(-LN(2)/2))/(LN(2)/2)*BL174*BO174*VLOOKUP('Données projet'!$B$11,Paramètres!$A$1:$I$89,3,0)*0.475*44/12</f>
        <v>1.439800506374175E-20</v>
      </c>
      <c r="BS174" s="22">
        <f t="shared" si="169"/>
        <v>0.61142828267964688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3.1036506698001181E-13</v>
      </c>
      <c r="CA174" s="13">
        <f t="shared" si="170"/>
        <v>4.086682523110923E-12</v>
      </c>
      <c r="CB174" s="20">
        <f t="shared" si="171"/>
        <v>7.6581912194083782E-12</v>
      </c>
      <c r="CC174" s="59">
        <f t="shared" si="119"/>
        <v>288.73516144466919</v>
      </c>
      <c r="CD174" s="59">
        <f ca="1">AVERAGE(OFFSET($CC$3,0,0,'Données projet'!$E$12+1,1))-AVERAGE(OFFSET($H$3,0,0,'Données projet'!$E$12+1,1))</f>
        <v>382.09004346384319</v>
      </c>
      <c r="CE174" s="59">
        <f t="shared" si="148"/>
        <v>410.18893995284986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0.52192425648674112</v>
      </c>
      <c r="CL174" s="21">
        <f>EXP(-LN(2)/25)*CL173+(1-EXP(-LN(2)/25))/(LN(2)/25)*Calculateur!CG174*Calculateur!CI174*VLOOKUP('Données projet'!$B$12,Paramètres!$A$1:$I$89,3,0)*0.475*44/12</f>
        <v>0.6825768229074799</v>
      </c>
      <c r="CM174" s="21">
        <f>EXP(-LN(2)/2)*CM173+(1-EXP(-LN(2)/2))/(LN(2)/2)*CG174*CJ174*VLOOKUP('Données projet'!$B$12,Paramètres!$A$1:$I$89,3,0)*0.475*44/12</f>
        <v>1.5082831319546837E-20</v>
      </c>
      <c r="CN174" s="22">
        <f t="shared" si="172"/>
        <v>1.204501079394221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363.02374534486341</v>
      </c>
      <c r="CZ174" s="59">
        <f t="shared" si="150"/>
        <v>489.00477393029598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0.44783704910336297</v>
      </c>
      <c r="DG174" s="21">
        <f>EXP(-LN(2)/25)*DG173+(1-EXP(-LN(2)/25))/(LN(2)/25)*Calculateur!DB174*Calculateur!DD174*VLOOKUP('Données projet'!$B$13,Paramètres!$A$1:$I$89,3,0)*0.475*44/12</f>
        <v>0.38828503469929643</v>
      </c>
      <c r="DH174" s="21">
        <f>EXP(-LN(2)/2)*DH173+(1-EXP(-LN(2)/2))/(LN(2)/2)*DB174*DE174*VLOOKUP('Données projet'!$B$13,Paramètres!$A$1:$I$89,3,0)*0.475*44/12</f>
        <v>1.7557970041412044E-20</v>
      </c>
      <c r="DI174" s="22">
        <f t="shared" si="175"/>
        <v>0.8361220838026594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-3.7509835237869992E-13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368.03281986807173</v>
      </c>
      <c r="DU174" s="59">
        <f t="shared" si="152"/>
        <v>395.83504504492248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0.14949106042512839</v>
      </c>
      <c r="EB174" s="21">
        <f>EXP(-LN(2)/25)*EB173+(1-EXP(-LN(2)/25))/(LN(2)/25)*Calculateur!DW174*Calculateur!DY174*VLOOKUP('Données projet'!$B$14,Paramètres!$A$1:$I$89,3,0)*0.475*44/12</f>
        <v>0.30766637919587364</v>
      </c>
      <c r="EC174" s="21">
        <f>EXP(-LN(2)/2)*EC173+(1-EXP(-LN(2)/2))/(LN(2)/2)*DW174*DZ174*VLOOKUP('Données projet'!$B$14,Paramètres!$A$1:$I$89,3,0)*0.475*44/12</f>
        <v>1.3268749764624898E-20</v>
      </c>
      <c r="ED174" s="22">
        <f t="shared" si="178"/>
        <v>0.45715743962100203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225.2264820414552</v>
      </c>
      <c r="EP174" s="59">
        <f t="shared" si="154"/>
        <v>249.91838548328681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0.13555730345760428</v>
      </c>
      <c r="EW174" s="21">
        <f>EXP(-LN(2)/25)*EW173+(1-EXP(-LN(2)/25))/(LN(2)/25)*Calculateur!ER174*Calculateur!ET174*VLOOKUP('Données projet'!$B$15,Paramètres!$A$1:$I$89,3,0)*0.475*44/12</f>
        <v>0.17357511471324866</v>
      </c>
      <c r="EX174" s="21">
        <f>EXP(-LN(2)/2)*EX173+(1-EXP(-LN(2)/2))/(LN(2)/2)*ER174*EU174*VLOOKUP('Données projet'!$B$15,Paramètres!$A$1:$I$89,3,0)*0.475*44/12</f>
        <v>2.4230364007791754E-21</v>
      </c>
      <c r="EY174" s="22">
        <f t="shared" si="181"/>
        <v>0.30913241817085291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-1.2505552149377763E-12</v>
      </c>
      <c r="FF174" s="17">
        <f>FE174*VLOOKUP('Données projet'!$B$16,Paramètres!$A$1:$I$89,3,0)*VLOOKUP('Données projet'!$B$16,Paramètres!$A$1:$I$89,5,0)</f>
        <v>-6.9906036515021697E-13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549.85684198202534</v>
      </c>
      <c r="FK174" s="59">
        <f t="shared" si="156"/>
        <v>539.63748606275431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0.69974538922400609</v>
      </c>
      <c r="FR174" s="21">
        <f>EXP(-LN(2)/25)*FR173+(1-EXP(-LN(2)/25))/(LN(2)/25)*Calculateur!FM174*Calculateur!FO174*VLOOKUP('Données projet'!$B$16,Paramètres!$A$1:$I$89,3,0)*0.475*44/12</f>
        <v>0.77726297973630065</v>
      </c>
      <c r="FS174" s="21">
        <f>EXP(-LN(2)/2)*FS173+(1-EXP(-LN(2)/2))/(LN(2)/2)*FM174*FP174*VLOOKUP('Données projet'!$B$16,Paramètres!$A$1:$I$89,3,0)*0.475*44/12</f>
        <v>2.1844574573697283E-20</v>
      </c>
      <c r="FT174" s="22">
        <f t="shared" si="184"/>
        <v>1.4770083689603068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-5.6843418860808015E-13</v>
      </c>
      <c r="GA174" s="17">
        <f>FZ174*VLOOKUP('Données projet'!$B$17,Paramètres!$A$1:$I$89,3,0)*VLOOKUP('Données projet'!$B$17,Paramètres!$A$1:$I$89,5,0)</f>
        <v>-3.39923644787632E-13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495.6641415122013</v>
      </c>
      <c r="GF174" s="59">
        <f t="shared" si="158"/>
        <v>488.90534169400757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0.2449848550856133</v>
      </c>
      <c r="GM174" s="21">
        <f>EXP(-LN(2)/25)*GM173+(1-EXP(-LN(2)/25))/(LN(2)/25)*Calculateur!GH174*Calculateur!GJ174*VLOOKUP('Données projet'!$B$17,Paramètres!$A$1:$I$89,3,0)*0.475*44/12</f>
        <v>0.52149389785272404</v>
      </c>
      <c r="GN174" s="21">
        <f>EXP(-LN(2)/2)*GN173+(1-EXP(-LN(2)/2))/(LN(2)/2)*GH174*GK174*VLOOKUP('Données projet'!$B$17,Paramètres!$A$1:$I$89,3,0)*0.475*44/12</f>
        <v>2.0818850414226094E-20</v>
      </c>
      <c r="GO174" s="21">
        <f t="shared" si="187"/>
        <v>0.76647875293833734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-5.6843418860808015E-13</v>
      </c>
      <c r="GV174" s="17">
        <f>GU174*VLOOKUP('Données projet'!$B$18,Paramètres!$A$1:$I$89,3,0)*VLOOKUP('Données projet'!$B$18,Paramètres!$A$1:$I$89,5,0)</f>
        <v>-3.39923644787632E-13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-18.333333333333343</v>
      </c>
      <c r="HA174" s="59">
        <f t="shared" si="160"/>
        <v>-18.333333333333343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0.2449848550856133</v>
      </c>
      <c r="HH174" s="21">
        <f>EXP(-LN(2)/25)*HH173+(1-EXP(-LN(2)/25))/(LN(2)/25)*Calculateur!HC174*Calculateur!HE174*VLOOKUP('Données projet'!$B$18,Paramètres!$A$1:$I$89,3,0)*0.475*44/12</f>
        <v>0.52149389785272404</v>
      </c>
      <c r="HI174" s="21">
        <f>EXP(-LN(2)/2)*HI173+(1-EXP(-LN(2)/2))/(LN(2)/2)*HC174*HF174*VLOOKUP('Données projet'!$B$18,Paramètres!$A$1:$I$89,3,0)*0.475*44/12</f>
        <v>2.0818850414226094E-20</v>
      </c>
      <c r="HJ174" s="22">
        <f t="shared" si="190"/>
        <v>0.76647875293833734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376.11581547534814</v>
      </c>
      <c r="T175" s="59">
        <f t="shared" si="142"/>
        <v>300.91675649863294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0.18830327938519009</v>
      </c>
      <c r="AA175" s="21">
        <f>EXP(-LN(2)/25)*AA174+(1-EXP(-LN(2)/25))/(LN(2)/25)*Calculateur!V175*Calculateur!X175*VLOOKUP('Données projet'!$B$9,Paramètres!$A$1:$I$89,3,0)*0.475*44/12</f>
        <v>0.15322212701402207</v>
      </c>
      <c r="AB175" s="21">
        <f>EXP(-LN(2)/2)*AB174+(1-EXP(-LN(2)/2))/(LN(2)/2)*V175*Y175*VLOOKUP('Données projet'!$B$9,Paramètres!$A$1:$I$89,3,0)*0.475*44/12</f>
        <v>4.1640887110147636E-21</v>
      </c>
      <c r="AC175" s="22">
        <f t="shared" si="163"/>
        <v>0.34152540639921214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-5.6843418860808015E-13</v>
      </c>
      <c r="AJ175" s="13">
        <f>AI175*VLOOKUP('Données projet'!$B$10,Paramètres!$A$1:$I$89,3,0)*VLOOKUP('Données projet'!$B$10,Paramètres!$A$1:$I$89,5,0)</f>
        <v>-5.1431925385259092E-13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505.38595282220405</v>
      </c>
      <c r="AO175" s="59">
        <f t="shared" si="144"/>
        <v>351.72130415456365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0.14468865788634247</v>
      </c>
      <c r="AV175" s="21">
        <f>EXP(-LN(2)/25)*AV174+(1-EXP(-LN(2)/25))/(LN(2)/25)*Calculateur!AQ175*Calculateur!AS175*VLOOKUP('Données projet'!$B$10,Paramètres!$A$1:$I$89,3,0)*0.475*44/12</f>
        <v>0.22007323261039938</v>
      </c>
      <c r="AW175" s="21">
        <f>EXP(-LN(2)/2)*AW174+(1-EXP(-LN(2)/2))/(LN(2)/2)*AQ175*AT175*VLOOKUP('Données projet'!$B$10,Paramètres!$A$1:$I$89,3,0)*0.475*44/12</f>
        <v>9.1281931854680387E-21</v>
      </c>
      <c r="AX175" s="21">
        <f t="shared" si="166"/>
        <v>0.36476189049674185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-4.0702161641092972E-13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394.14657090341535</v>
      </c>
      <c r="BJ175" s="59">
        <f t="shared" si="146"/>
        <v>424.06445894109982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0.19601716232296729</v>
      </c>
      <c r="BQ175" s="21">
        <f>EXP(-LN(2)/25)*BQ174+(1-EXP(-LN(2)/25))/(LN(2)/25)*Calculateur!BL175*Calculateur!BN175*VLOOKUP('Données projet'!$B$11,Paramètres!$A$1:$I$89,3,0)*0.475*44/12</f>
        <v>0.4002382333232633</v>
      </c>
      <c r="BR175" s="21">
        <f>EXP(-LN(2)/2)*BR174+(1-EXP(-LN(2)/2))/(LN(2)/2)*BL175*BO175*VLOOKUP('Données projet'!$B$11,Paramètres!$A$1:$I$89,3,0)*0.475*44/12</f>
        <v>1.0180927016130041E-20</v>
      </c>
      <c r="BS175" s="22">
        <f t="shared" si="169"/>
        <v>0.59625539564623065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3.1036506698001181E-13</v>
      </c>
      <c r="CA175" s="13">
        <f t="shared" si="170"/>
        <v>4.086682523110923E-12</v>
      </c>
      <c r="CB175" s="20">
        <f t="shared" si="171"/>
        <v>7.6581912194083782E-12</v>
      </c>
      <c r="CC175" s="59">
        <f t="shared" si="119"/>
        <v>288.81492944696532</v>
      </c>
      <c r="CD175" s="59">
        <f ca="1">AVERAGE(OFFSET($CC$3,0,0,'Données projet'!$E$12+1,1))-AVERAGE(OFFSET($H$3,0,0,'Données projet'!$E$12+1,1))</f>
        <v>382.09004346384319</v>
      </c>
      <c r="CE175" s="59">
        <f t="shared" si="148"/>
        <v>410.18893995284986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0.51168964015939888</v>
      </c>
      <c r="CL175" s="21">
        <f>EXP(-LN(2)/25)*CL174+(1-EXP(-LN(2)/25))/(LN(2)/25)*Calculateur!CG175*Calculateur!CI175*VLOOKUP('Données projet'!$B$12,Paramètres!$A$1:$I$89,3,0)*0.475*44/12</f>
        <v>0.66391172378991981</v>
      </c>
      <c r="CM175" s="21">
        <f>EXP(-LN(2)/2)*CM174+(1-EXP(-LN(2)/2))/(LN(2)/2)*CG175*CJ175*VLOOKUP('Données projet'!$B$12,Paramètres!$A$1:$I$89,3,0)*0.475*44/12</f>
        <v>1.0665172305544411E-20</v>
      </c>
      <c r="CN175" s="22">
        <f t="shared" si="172"/>
        <v>1.1756013639493186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363.02374534486341</v>
      </c>
      <c r="CZ175" s="59">
        <f t="shared" si="150"/>
        <v>489.00477393029598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0.43905523772407429</v>
      </c>
      <c r="DG175" s="21">
        <f>EXP(-LN(2)/25)*DG174+(1-EXP(-LN(2)/25))/(LN(2)/25)*Calculateur!DB175*Calculateur!DD175*VLOOKUP('Données projet'!$B$13,Paramètres!$A$1:$I$89,3,0)*0.475*44/12</f>
        <v>0.37766736000642165</v>
      </c>
      <c r="DH175" s="21">
        <f>EXP(-LN(2)/2)*DH174+(1-EXP(-LN(2)/2))/(LN(2)/2)*DB175*DE175*VLOOKUP('Données projet'!$B$13,Paramètres!$A$1:$I$89,3,0)*0.475*44/12</f>
        <v>1.2415359680152703E-20</v>
      </c>
      <c r="DI175" s="22">
        <f t="shared" si="175"/>
        <v>0.81672259773049594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-3.7509835237869992E-13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368.03281986807173</v>
      </c>
      <c r="DU175" s="59">
        <f t="shared" si="152"/>
        <v>395.83504504492248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0.14655963191073515</v>
      </c>
      <c r="EB175" s="21">
        <f>EXP(-LN(2)/25)*EB174+(1-EXP(-LN(2)/25))/(LN(2)/25)*Calculateur!DW175*Calculateur!DY175*VLOOKUP('Données projet'!$B$14,Paramètres!$A$1:$I$89,3,0)*0.475*44/12</f>
        <v>0.29925322587729075</v>
      </c>
      <c r="EC175" s="21">
        <f>EXP(-LN(2)/2)*EC174+(1-EXP(-LN(2)/2))/(LN(2)/2)*DW175*DZ175*VLOOKUP('Données projet'!$B$14,Paramètres!$A$1:$I$89,3,0)*0.475*44/12</f>
        <v>9.3824229364336728E-21</v>
      </c>
      <c r="ED175" s="22">
        <f t="shared" si="178"/>
        <v>0.44581285778802593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225.2264820414552</v>
      </c>
      <c r="EP175" s="59">
        <f t="shared" si="154"/>
        <v>249.91838548328681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0.13289910741859162</v>
      </c>
      <c r="EW175" s="21">
        <f>EXP(-LN(2)/25)*EW174+(1-EXP(-LN(2)/25))/(LN(2)/25)*Calculateur!ER175*Calculateur!ET175*VLOOKUP('Données projet'!$B$15,Paramètres!$A$1:$I$89,3,0)*0.475*44/12</f>
        <v>0.16882869407349629</v>
      </c>
      <c r="EX175" s="21">
        <f>EXP(-LN(2)/2)*EX174+(1-EXP(-LN(2)/2))/(LN(2)/2)*ER175*EU175*VLOOKUP('Données projet'!$B$15,Paramètres!$A$1:$I$89,3,0)*0.475*44/12</f>
        <v>1.7133454700528E-21</v>
      </c>
      <c r="EY175" s="22">
        <f t="shared" si="181"/>
        <v>0.30172780149208789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-1.2505552149377763E-12</v>
      </c>
      <c r="FF175" s="17">
        <f>FE175*VLOOKUP('Données projet'!$B$16,Paramètres!$A$1:$I$89,3,0)*VLOOKUP('Données projet'!$B$16,Paramètres!$A$1:$I$89,5,0)</f>
        <v>-6.9906036515021697E-13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549.85684198202534</v>
      </c>
      <c r="FK175" s="59">
        <f t="shared" si="156"/>
        <v>539.63748606275431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0.6860238089438675</v>
      </c>
      <c r="FR175" s="21">
        <f>EXP(-LN(2)/25)*FR174+(1-EXP(-LN(2)/25))/(LN(2)/25)*Calculateur!FM175*Calculateur!FO175*VLOOKUP('Données projet'!$B$16,Paramètres!$A$1:$I$89,3,0)*0.475*44/12</f>
        <v>0.75600868268092791</v>
      </c>
      <c r="FS175" s="21">
        <f>EXP(-LN(2)/2)*FS174+(1-EXP(-LN(2)/2))/(LN(2)/2)*FM175*FP175*VLOOKUP('Données projet'!$B$16,Paramètres!$A$1:$I$89,3,0)*0.475*44/12</f>
        <v>1.5446446813196584E-20</v>
      </c>
      <c r="FT175" s="22">
        <f t="shared" si="184"/>
        <v>1.4420324916247953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-5.6843418860808015E-13</v>
      </c>
      <c r="GA175" s="17">
        <f>FZ175*VLOOKUP('Données projet'!$B$17,Paramètres!$A$1:$I$89,3,0)*VLOOKUP('Données projet'!$B$17,Paramètres!$A$1:$I$89,5,0)</f>
        <v>-3.39923644787632E-13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495.6641415122013</v>
      </c>
      <c r="GF175" s="59">
        <f t="shared" si="158"/>
        <v>488.90534169400757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0.24018085150339144</v>
      </c>
      <c r="GM175" s="21">
        <f>EXP(-LN(2)/25)*GM174+(1-EXP(-LN(2)/25))/(LN(2)/25)*Calculateur!GH175*Calculateur!GJ175*VLOOKUP('Données projet'!$B$17,Paramètres!$A$1:$I$89,3,0)*0.475*44/12</f>
        <v>0.50723361979176906</v>
      </c>
      <c r="GN175" s="21">
        <f>EXP(-LN(2)/2)*GN174+(1-EXP(-LN(2)/2))/(LN(2)/2)*GH175*GK175*VLOOKUP('Données projet'!$B$17,Paramètres!$A$1:$I$89,3,0)*0.475*44/12</f>
        <v>1.4721150304407634E-20</v>
      </c>
      <c r="GO175" s="21">
        <f t="shared" si="187"/>
        <v>0.74741447129516048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-5.6843418860808015E-13</v>
      </c>
      <c r="GV175" s="17">
        <f>GU175*VLOOKUP('Données projet'!$B$18,Paramètres!$A$1:$I$89,3,0)*VLOOKUP('Données projet'!$B$18,Paramètres!$A$1:$I$89,5,0)</f>
        <v>-3.39923644787632E-13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-18.333333333333343</v>
      </c>
      <c r="HA175" s="59">
        <f t="shared" si="160"/>
        <v>-18.333333333333343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0.24018085150339144</v>
      </c>
      <c r="HH175" s="21">
        <f>EXP(-LN(2)/25)*HH174+(1-EXP(-LN(2)/25))/(LN(2)/25)*Calculateur!HC175*Calculateur!HE175*VLOOKUP('Données projet'!$B$18,Paramètres!$A$1:$I$89,3,0)*0.475*44/12</f>
        <v>0.50723361979176906</v>
      </c>
      <c r="HI175" s="21">
        <f>EXP(-LN(2)/2)*HI174+(1-EXP(-LN(2)/2))/(LN(2)/2)*HC175*HF175*VLOOKUP('Données projet'!$B$18,Paramètres!$A$1:$I$89,3,0)*0.475*44/12</f>
        <v>1.4721150304407634E-20</v>
      </c>
      <c r="HJ175" s="22">
        <f t="shared" si="190"/>
        <v>0.74741447129516048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376.11581547534814</v>
      </c>
      <c r="T176" s="59">
        <f t="shared" si="142"/>
        <v>300.91675649863294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0.18461076693010608</v>
      </c>
      <c r="AA176" s="21">
        <f>EXP(-LN(2)/25)*AA175+(1-EXP(-LN(2)/25))/(LN(2)/25)*Calculateur!V176*Calculateur!X176*VLOOKUP('Données projet'!$B$9,Paramètres!$A$1:$I$89,3,0)*0.475*44/12</f>
        <v>0.14903225989322216</v>
      </c>
      <c r="AB176" s="21">
        <f>EXP(-LN(2)/2)*AB175+(1-EXP(-LN(2)/2))/(LN(2)/2)*V176*Y176*VLOOKUP('Données projet'!$B$9,Paramètres!$A$1:$I$89,3,0)*0.475*44/12</f>
        <v>2.9444553650208892E-21</v>
      </c>
      <c r="AC176" s="22">
        <f t="shared" si="163"/>
        <v>0.33364302682332825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-5.6843418860808015E-13</v>
      </c>
      <c r="AJ176" s="13">
        <f>AI176*VLOOKUP('Données projet'!$B$10,Paramètres!$A$1:$I$89,3,0)*VLOOKUP('Données projet'!$B$10,Paramètres!$A$1:$I$89,5,0)</f>
        <v>-5.1431925385259092E-13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505.38595282220405</v>
      </c>
      <c r="AO176" s="59">
        <f t="shared" si="144"/>
        <v>351.72130415456365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0.14185140155655851</v>
      </c>
      <c r="AV176" s="21">
        <f>EXP(-LN(2)/25)*AV175+(1-EXP(-LN(2)/25))/(LN(2)/25)*Calculateur!AQ176*Calculateur!AS176*VLOOKUP('Données projet'!$B$10,Paramètres!$A$1:$I$89,3,0)*0.475*44/12</f>
        <v>0.21405531849151968</v>
      </c>
      <c r="AW176" s="21">
        <f>EXP(-LN(2)/2)*AW175+(1-EXP(-LN(2)/2))/(LN(2)/2)*AQ176*AT176*VLOOKUP('Données projet'!$B$10,Paramètres!$A$1:$I$89,3,0)*0.475*44/12</f>
        <v>6.4546073014252828E-21</v>
      </c>
      <c r="AX176" s="21">
        <f t="shared" si="166"/>
        <v>0.35590672004807822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-4.0702161641092972E-13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394.14657090341535</v>
      </c>
      <c r="BJ176" s="59">
        <f t="shared" si="146"/>
        <v>424.06445894109982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0.19217338532847747</v>
      </c>
      <c r="BQ176" s="21">
        <f>EXP(-LN(2)/25)*BQ175+(1-EXP(-LN(2)/25))/(LN(2)/25)*Calculateur!BL176*Calculateur!BN176*VLOOKUP('Données projet'!$B$11,Paramètres!$A$1:$I$89,3,0)*0.475*44/12</f>
        <v>0.38929369778542472</v>
      </c>
      <c r="BR176" s="21">
        <f>EXP(-LN(2)/2)*BR175+(1-EXP(-LN(2)/2))/(LN(2)/2)*BL176*BO176*VLOOKUP('Données projet'!$B$11,Paramètres!$A$1:$I$89,3,0)*0.475*44/12</f>
        <v>7.1990025318708749E-21</v>
      </c>
      <c r="BS176" s="22">
        <f t="shared" si="169"/>
        <v>0.58146708311390216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3.1036506698001181E-13</v>
      </c>
      <c r="CA176" s="13">
        <f t="shared" si="170"/>
        <v>4.086682523110923E-12</v>
      </c>
      <c r="CB176" s="20">
        <f t="shared" si="171"/>
        <v>7.6581912194083782E-12</v>
      </c>
      <c r="CC176" s="59">
        <f t="shared" si="119"/>
        <v>288.89331365275615</v>
      </c>
      <c r="CD176" s="59">
        <f ca="1">AVERAGE(OFFSET($CC$3,0,0,'Données projet'!$E$12+1,1))-AVERAGE(OFFSET($H$3,0,0,'Données projet'!$E$12+1,1))</f>
        <v>382.09004346384319</v>
      </c>
      <c r="CE176" s="59">
        <f t="shared" si="148"/>
        <v>410.18893995284986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0.50165571841573631</v>
      </c>
      <c r="CL176" s="21">
        <f>EXP(-LN(2)/25)*CL175+(1-EXP(-LN(2)/25))/(LN(2)/25)*Calculateur!CG176*Calculateur!CI176*VLOOKUP('Données projet'!$B$12,Paramètres!$A$1:$I$89,3,0)*0.475*44/12</f>
        <v>0.64575702278928426</v>
      </c>
      <c r="CM176" s="21">
        <f>EXP(-LN(2)/2)*CM175+(1-EXP(-LN(2)/2))/(LN(2)/2)*CG176*CJ176*VLOOKUP('Données projet'!$B$12,Paramètres!$A$1:$I$89,3,0)*0.475*44/12</f>
        <v>7.5414156597734184E-21</v>
      </c>
      <c r="CN176" s="22">
        <f t="shared" si="172"/>
        <v>1.1474127412050206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363.02374534486341</v>
      </c>
      <c r="CZ176" s="59">
        <f t="shared" si="150"/>
        <v>489.00477393029598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0.4304456323095574</v>
      </c>
      <c r="DG176" s="21">
        <f>EXP(-LN(2)/25)*DG175+(1-EXP(-LN(2)/25))/(LN(2)/25)*Calculateur!DB176*Calculateur!DD176*VLOOKUP('Données projet'!$B$13,Paramètres!$A$1:$I$89,3,0)*0.475*44/12</f>
        <v>0.36734002618638273</v>
      </c>
      <c r="DH176" s="21">
        <f>EXP(-LN(2)/2)*DH175+(1-EXP(-LN(2)/2))/(LN(2)/2)*DB176*DE176*VLOOKUP('Données projet'!$B$13,Paramètres!$A$1:$I$89,3,0)*0.475*44/12</f>
        <v>8.7789850207060222E-21</v>
      </c>
      <c r="DI176" s="22">
        <f t="shared" si="175"/>
        <v>0.79778565849594019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-3.7509835237869992E-13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368.03281986807173</v>
      </c>
      <c r="DU176" s="59">
        <f t="shared" si="152"/>
        <v>395.83504504492248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0.14368568692151432</v>
      </c>
      <c r="EB176" s="21">
        <f>EXP(-LN(2)/25)*EB175+(1-EXP(-LN(2)/25))/(LN(2)/25)*Calculateur!DW176*Calculateur!DY176*VLOOKUP('Données projet'!$B$14,Paramètres!$A$1:$I$89,3,0)*0.475*44/12</f>
        <v>0.29107013067863302</v>
      </c>
      <c r="EC176" s="21">
        <f>EXP(-LN(2)/2)*EC175+(1-EXP(-LN(2)/2))/(LN(2)/2)*DW176*DZ176*VLOOKUP('Données projet'!$B$14,Paramètres!$A$1:$I$89,3,0)*0.475*44/12</f>
        <v>6.63437488231245E-21</v>
      </c>
      <c r="ED176" s="22">
        <f t="shared" si="178"/>
        <v>0.43475581760014737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225.2264820414552</v>
      </c>
      <c r="EP176" s="59">
        <f t="shared" si="154"/>
        <v>249.91838548328681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0.1302930369825645</v>
      </c>
      <c r="EW176" s="21">
        <f>EXP(-LN(2)/25)*EW175+(1-EXP(-LN(2)/25))/(LN(2)/25)*Calculateur!ER176*Calculateur!ET176*VLOOKUP('Données projet'!$B$15,Paramètres!$A$1:$I$89,3,0)*0.475*44/12</f>
        <v>0.16421206455574139</v>
      </c>
      <c r="EX176" s="21">
        <f>EXP(-LN(2)/2)*EX175+(1-EXP(-LN(2)/2))/(LN(2)/2)*ER176*EU176*VLOOKUP('Données projet'!$B$15,Paramètres!$A$1:$I$89,3,0)*0.475*44/12</f>
        <v>1.2115182003895877E-21</v>
      </c>
      <c r="EY176" s="22">
        <f t="shared" si="181"/>
        <v>0.29450510153830589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-1.2505552149377763E-12</v>
      </c>
      <c r="FF176" s="17">
        <f>FE176*VLOOKUP('Données projet'!$B$16,Paramètres!$A$1:$I$89,3,0)*VLOOKUP('Données projet'!$B$16,Paramètres!$A$1:$I$89,5,0)</f>
        <v>-6.9906036515021697E-13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549.85684198202534</v>
      </c>
      <c r="FK176" s="59">
        <f t="shared" si="156"/>
        <v>539.63748606275431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0.67257130048368485</v>
      </c>
      <c r="FR176" s="21">
        <f>EXP(-LN(2)/25)*FR175+(1-EXP(-LN(2)/25))/(LN(2)/25)*Calculateur!FM176*Calculateur!FO176*VLOOKUP('Données projet'!$B$16,Paramètres!$A$1:$I$89,3,0)*0.475*44/12</f>
        <v>0.73533558549624922</v>
      </c>
      <c r="FS176" s="21">
        <f>EXP(-LN(2)/2)*FS175+(1-EXP(-LN(2)/2))/(LN(2)/2)*FM176*FP176*VLOOKUP('Données projet'!$B$16,Paramètres!$A$1:$I$89,3,0)*0.475*44/12</f>
        <v>1.0922287286848641E-20</v>
      </c>
      <c r="FT176" s="22">
        <f t="shared" si="184"/>
        <v>1.407906885979934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-5.6843418860808015E-13</v>
      </c>
      <c r="GA176" s="17">
        <f>FZ176*VLOOKUP('Données projet'!$B$17,Paramètres!$A$1:$I$89,3,0)*VLOOKUP('Données projet'!$B$17,Paramètres!$A$1:$I$89,5,0)</f>
        <v>-3.39923644787632E-13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495.6641415122013</v>
      </c>
      <c r="GF176" s="59">
        <f t="shared" si="158"/>
        <v>488.90534169400757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0.2354710515012641</v>
      </c>
      <c r="GM176" s="21">
        <f>EXP(-LN(2)/25)*GM175+(1-EXP(-LN(2)/25))/(LN(2)/25)*Calculateur!GH176*Calculateur!GJ176*VLOOKUP('Données projet'!$B$17,Paramètres!$A$1:$I$89,3,0)*0.475*44/12</f>
        <v>0.49336328978430638</v>
      </c>
      <c r="GN176" s="21">
        <f>EXP(-LN(2)/2)*GN175+(1-EXP(-LN(2)/2))/(LN(2)/2)*GH176*GK176*VLOOKUP('Données projet'!$B$17,Paramètres!$A$1:$I$89,3,0)*0.475*44/12</f>
        <v>1.0409425207113047E-20</v>
      </c>
      <c r="GO176" s="21">
        <f t="shared" si="187"/>
        <v>0.72883434128557045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-5.6843418860808015E-13</v>
      </c>
      <c r="GV176" s="17">
        <f>GU176*VLOOKUP('Données projet'!$B$18,Paramètres!$A$1:$I$89,3,0)*VLOOKUP('Données projet'!$B$18,Paramètres!$A$1:$I$89,5,0)</f>
        <v>-3.39923644787632E-13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-18.333333333333343</v>
      </c>
      <c r="HA176" s="59">
        <f t="shared" si="160"/>
        <v>-18.333333333333343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0.2354710515012641</v>
      </c>
      <c r="HH176" s="21">
        <f>EXP(-LN(2)/25)*HH175+(1-EXP(-LN(2)/25))/(LN(2)/25)*Calculateur!HC176*Calculateur!HE176*VLOOKUP('Données projet'!$B$18,Paramètres!$A$1:$I$89,3,0)*0.475*44/12</f>
        <v>0.49336328978430638</v>
      </c>
      <c r="HI176" s="21">
        <f>EXP(-LN(2)/2)*HI175+(1-EXP(-LN(2)/2))/(LN(2)/2)*HC176*HF176*VLOOKUP('Données projet'!$B$18,Paramètres!$A$1:$I$89,3,0)*0.475*44/12</f>
        <v>1.0409425207113047E-20</v>
      </c>
      <c r="HJ176" s="22">
        <f t="shared" si="190"/>
        <v>0.72883434128557045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376.11581547534814</v>
      </c>
      <c r="T177" s="59">
        <f t="shared" si="142"/>
        <v>300.91675649863294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0.18099066239205605</v>
      </c>
      <c r="AA177" s="21">
        <f>EXP(-LN(2)/25)*AA176+(1-EXP(-LN(2)/25))/(LN(2)/25)*Calculateur!V177*Calculateur!X177*VLOOKUP('Données projet'!$B$9,Paramètres!$A$1:$I$89,3,0)*0.475*44/12</f>
        <v>0.14495696490917606</v>
      </c>
      <c r="AB177" s="21">
        <f>EXP(-LN(2)/2)*AB176+(1-EXP(-LN(2)/2))/(LN(2)/2)*V177*Y177*VLOOKUP('Données projet'!$B$9,Paramètres!$A$1:$I$89,3,0)*0.475*44/12</f>
        <v>2.0820443555073818E-21</v>
      </c>
      <c r="AC177" s="22">
        <f t="shared" si="163"/>
        <v>0.32594762730123211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-5.6843418860808015E-13</v>
      </c>
      <c r="AJ177" s="13">
        <f>AI177*VLOOKUP('Données projet'!$B$10,Paramètres!$A$1:$I$89,3,0)*VLOOKUP('Données projet'!$B$10,Paramètres!$A$1:$I$89,5,0)</f>
        <v>-5.1431925385259092E-13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505.38595282220405</v>
      </c>
      <c r="AO177" s="59">
        <f t="shared" si="144"/>
        <v>351.72130415456365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0.13906978209284612</v>
      </c>
      <c r="AV177" s="21">
        <f>EXP(-LN(2)/25)*AV176+(1-EXP(-LN(2)/25))/(LN(2)/25)*Calculateur!AQ177*Calculateur!AS177*VLOOKUP('Données projet'!$B$10,Paramètres!$A$1:$I$89,3,0)*0.475*44/12</f>
        <v>0.20820196455068909</v>
      </c>
      <c r="AW177" s="21">
        <f>EXP(-LN(2)/2)*AW176+(1-EXP(-LN(2)/2))/(LN(2)/2)*AQ177*AT177*VLOOKUP('Données projet'!$B$10,Paramètres!$A$1:$I$89,3,0)*0.475*44/12</f>
        <v>4.5640965927340194E-21</v>
      </c>
      <c r="AX177" s="21">
        <f t="shared" si="166"/>
        <v>0.34727174664353522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-4.0702161641092972E-13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394.14657090341535</v>
      </c>
      <c r="BJ177" s="59">
        <f t="shared" si="146"/>
        <v>424.06445894109982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0.18840498245637713</v>
      </c>
      <c r="BQ177" s="21">
        <f>EXP(-LN(2)/25)*BQ176+(1-EXP(-LN(2)/25))/(LN(2)/25)*Calculateur!BL177*Calculateur!BN177*VLOOKUP('Données projet'!$B$11,Paramètres!$A$1:$I$89,3,0)*0.475*44/12</f>
        <v>0.37864844114741647</v>
      </c>
      <c r="BR177" s="21">
        <f>EXP(-LN(2)/2)*BR176+(1-EXP(-LN(2)/2))/(LN(2)/2)*BL177*BO177*VLOOKUP('Données projet'!$B$11,Paramètres!$A$1:$I$89,3,0)*0.475*44/12</f>
        <v>5.0904635080650204E-21</v>
      </c>
      <c r="BS177" s="22">
        <f t="shared" si="169"/>
        <v>0.56705342360379363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3.1036506698001181E-13</v>
      </c>
      <c r="CA177" s="13">
        <f t="shared" si="170"/>
        <v>4.086682523110923E-12</v>
      </c>
      <c r="CB177" s="20">
        <f t="shared" si="171"/>
        <v>7.6581912194083782E-12</v>
      </c>
      <c r="CC177" s="59">
        <f t="shared" si="119"/>
        <v>288.97033806781741</v>
      </c>
      <c r="CD177" s="59">
        <f ca="1">AVERAGE(OFFSET($CC$3,0,0,'Données projet'!$E$12+1,1))-AVERAGE(OFFSET($H$3,0,0,'Données projet'!$E$12+1,1))</f>
        <v>382.09004346384319</v>
      </c>
      <c r="CE177" s="59">
        <f t="shared" si="148"/>
        <v>410.18893995284986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0.49181855575737898</v>
      </c>
      <c r="CL177" s="21">
        <f>EXP(-LN(2)/25)*CL176+(1-EXP(-LN(2)/25))/(LN(2)/25)*Calculateur!CG177*Calculateur!CI177*VLOOKUP('Données projet'!$B$12,Paramètres!$A$1:$I$89,3,0)*0.475*44/12</f>
        <v>0.62809876304222534</v>
      </c>
      <c r="CM177" s="21">
        <f>EXP(-LN(2)/2)*CM176+(1-EXP(-LN(2)/2))/(LN(2)/2)*CG177*CJ177*VLOOKUP('Données projet'!$B$12,Paramètres!$A$1:$I$89,3,0)*0.475*44/12</f>
        <v>5.3325861527722056E-21</v>
      </c>
      <c r="CN177" s="22">
        <f t="shared" si="172"/>
        <v>1.1199173187996043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363.02374534486341</v>
      </c>
      <c r="CZ177" s="59">
        <f t="shared" si="150"/>
        <v>489.00477393029598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0.42200485600587845</v>
      </c>
      <c r="DG177" s="21">
        <f>EXP(-LN(2)/25)*DG176+(1-EXP(-LN(2)/25))/(LN(2)/25)*Calculateur!DB177*Calculateur!DD177*VLOOKUP('Données projet'!$B$13,Paramètres!$A$1:$I$89,3,0)*0.475*44/12</f>
        <v>0.35729509385274366</v>
      </c>
      <c r="DH177" s="21">
        <f>EXP(-LN(2)/2)*DH176+(1-EXP(-LN(2)/2))/(LN(2)/2)*DB177*DE177*VLOOKUP('Données projet'!$B$13,Paramètres!$A$1:$I$89,3,0)*0.475*44/12</f>
        <v>6.2076798400763517E-21</v>
      </c>
      <c r="DI177" s="22">
        <f t="shared" si="175"/>
        <v>0.77929994985862217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-3.7509835237869992E-13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368.03281986807173</v>
      </c>
      <c r="DU177" s="59">
        <f t="shared" si="152"/>
        <v>395.83504504492248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0.14086809824059876</v>
      </c>
      <c r="EB177" s="21">
        <f>EXP(-LN(2)/25)*EB176+(1-EXP(-LN(2)/25))/(LN(2)/25)*Calculateur!DW177*Calculateur!DY177*VLOOKUP('Données projet'!$B$14,Paramètres!$A$1:$I$89,3,0)*0.475*44/12</f>
        <v>0.2831108026485129</v>
      </c>
      <c r="EC177" s="21">
        <f>EXP(-LN(2)/2)*EC176+(1-EXP(-LN(2)/2))/(LN(2)/2)*DW177*DZ177*VLOOKUP('Données projet'!$B$14,Paramètres!$A$1:$I$89,3,0)*0.475*44/12</f>
        <v>4.6912114682168371E-21</v>
      </c>
      <c r="ED177" s="22">
        <f t="shared" si="178"/>
        <v>0.42397890088911167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225.2264820414552</v>
      </c>
      <c r="EP177" s="59">
        <f t="shared" si="154"/>
        <v>249.91838548328681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0.12773806999824186</v>
      </c>
      <c r="EW177" s="21">
        <f>EXP(-LN(2)/25)*EW176+(1-EXP(-LN(2)/25))/(LN(2)/25)*Calculateur!ER177*Calculateur!ET177*VLOOKUP('Données projet'!$B$15,Paramètres!$A$1:$I$89,3,0)*0.475*44/12</f>
        <v>0.15972167701492748</v>
      </c>
      <c r="EX177" s="21">
        <f>EXP(-LN(2)/2)*EX176+(1-EXP(-LN(2)/2))/(LN(2)/2)*ER177*EU177*VLOOKUP('Données projet'!$B$15,Paramètres!$A$1:$I$89,3,0)*0.475*44/12</f>
        <v>8.5667273502640002E-22</v>
      </c>
      <c r="EY177" s="22">
        <f t="shared" si="181"/>
        <v>0.28745974701316934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-1.2505552149377763E-12</v>
      </c>
      <c r="FF177" s="17">
        <f>FE177*VLOOKUP('Données projet'!$B$16,Paramètres!$A$1:$I$89,3,0)*VLOOKUP('Données projet'!$B$16,Paramètres!$A$1:$I$89,5,0)</f>
        <v>-6.9906036515021697E-13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549.85684198202534</v>
      </c>
      <c r="FK177" s="59">
        <f t="shared" si="156"/>
        <v>539.63748606275431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0.65938258750918644</v>
      </c>
      <c r="FR177" s="21">
        <f>EXP(-LN(2)/25)*FR176+(1-EXP(-LN(2)/25))/(LN(2)/25)*Calculateur!FM177*Calculateur!FO177*VLOOKUP('Données projet'!$B$16,Paramètres!$A$1:$I$89,3,0)*0.475*44/12</f>
        <v>0.71522779524123647</v>
      </c>
      <c r="FS177" s="21">
        <f>EXP(-LN(2)/2)*FS176+(1-EXP(-LN(2)/2))/(LN(2)/2)*FM177*FP177*VLOOKUP('Données projet'!$B$16,Paramètres!$A$1:$I$89,3,0)*0.475*44/12</f>
        <v>7.7232234065982919E-21</v>
      </c>
      <c r="FT177" s="22">
        <f t="shared" si="184"/>
        <v>1.374610382750423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-5.6843418860808015E-13</v>
      </c>
      <c r="GA177" s="17">
        <f>FZ177*VLOOKUP('Données projet'!$B$17,Paramètres!$A$1:$I$89,3,0)*VLOOKUP('Données projet'!$B$17,Paramètres!$A$1:$I$89,5,0)</f>
        <v>-3.39923644787632E-13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495.6641415122013</v>
      </c>
      <c r="GF177" s="59">
        <f t="shared" si="158"/>
        <v>488.90534169400757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0.23085360780448411</v>
      </c>
      <c r="GM177" s="21">
        <f>EXP(-LN(2)/25)*GM176+(1-EXP(-LN(2)/25))/(LN(2)/25)*Calculateur!GH177*Calculateur!GJ177*VLOOKUP('Données projet'!$B$17,Paramètres!$A$1:$I$89,3,0)*0.475*44/12</f>
        <v>0.4798722446803067</v>
      </c>
      <c r="GN177" s="21">
        <f>EXP(-LN(2)/2)*GN176+(1-EXP(-LN(2)/2))/(LN(2)/2)*GH177*GK177*VLOOKUP('Données projet'!$B$17,Paramètres!$A$1:$I$89,3,0)*0.475*44/12</f>
        <v>7.3605751522038172E-21</v>
      </c>
      <c r="GO177" s="21">
        <f t="shared" si="187"/>
        <v>0.71072585248479081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-5.6843418860808015E-13</v>
      </c>
      <c r="GV177" s="17">
        <f>GU177*VLOOKUP('Données projet'!$B$18,Paramètres!$A$1:$I$89,3,0)*VLOOKUP('Données projet'!$B$18,Paramètres!$A$1:$I$89,5,0)</f>
        <v>-3.39923644787632E-13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-18.333333333333343</v>
      </c>
      <c r="HA177" s="59">
        <f t="shared" si="160"/>
        <v>-18.333333333333343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0.23085360780448411</v>
      </c>
      <c r="HH177" s="21">
        <f>EXP(-LN(2)/25)*HH176+(1-EXP(-LN(2)/25))/(LN(2)/25)*Calculateur!HC177*Calculateur!HE177*VLOOKUP('Données projet'!$B$18,Paramètres!$A$1:$I$89,3,0)*0.475*44/12</f>
        <v>0.4798722446803067</v>
      </c>
      <c r="HI177" s="21">
        <f>EXP(-LN(2)/2)*HI176+(1-EXP(-LN(2)/2))/(LN(2)/2)*HC177*HF177*VLOOKUP('Données projet'!$B$18,Paramètres!$A$1:$I$89,3,0)*0.475*44/12</f>
        <v>7.3605751522038172E-21</v>
      </c>
      <c r="HJ177" s="22">
        <f t="shared" si="190"/>
        <v>0.71072585248479081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376.11581547534814</v>
      </c>
      <c r="T178" s="59">
        <f t="shared" si="142"/>
        <v>300.91675649863294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0.17744154589595146</v>
      </c>
      <c r="AA178" s="21">
        <f>EXP(-LN(2)/25)*AA177+(1-EXP(-LN(2)/25))/(LN(2)/25)*Calculateur!V178*Calculateur!X178*VLOOKUP('Données projet'!$B$9,Paramètres!$A$1:$I$89,3,0)*0.475*44/12</f>
        <v>0.14099310908077917</v>
      </c>
      <c r="AB178" s="21">
        <f>EXP(-LN(2)/2)*AB177+(1-EXP(-LN(2)/2))/(LN(2)/2)*V178*Y178*VLOOKUP('Données projet'!$B$9,Paramètres!$A$1:$I$89,3,0)*0.475*44/12</f>
        <v>1.4722276825104446E-21</v>
      </c>
      <c r="AC178" s="22">
        <f t="shared" si="163"/>
        <v>0.31843465497673062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-5.6843418860808015E-13</v>
      </c>
      <c r="AJ178" s="13">
        <f>AI178*VLOOKUP('Données projet'!$B$10,Paramètres!$A$1:$I$89,3,0)*VLOOKUP('Données projet'!$B$10,Paramètres!$A$1:$I$89,5,0)</f>
        <v>-5.1431925385259092E-13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505.38595282220405</v>
      </c>
      <c r="AO178" s="59">
        <f t="shared" si="144"/>
        <v>351.72130415456365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0.13634270849019681</v>
      </c>
      <c r="AV178" s="21">
        <f>EXP(-LN(2)/25)*AV177+(1-EXP(-LN(2)/25))/(LN(2)/25)*Calculateur!AQ178*Calculateur!AS178*VLOOKUP('Données projet'!$B$10,Paramètres!$A$1:$I$89,3,0)*0.475*44/12</f>
        <v>0.20250867088118504</v>
      </c>
      <c r="AW178" s="21">
        <f>EXP(-LN(2)/2)*AW177+(1-EXP(-LN(2)/2))/(LN(2)/2)*AQ178*AT178*VLOOKUP('Données projet'!$B$10,Paramètres!$A$1:$I$89,3,0)*0.475*44/12</f>
        <v>3.2273036507126414E-21</v>
      </c>
      <c r="AX178" s="21">
        <f t="shared" si="166"/>
        <v>0.33885137937138188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-4.0702161641092972E-13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394.14657090341535</v>
      </c>
      <c r="BJ178" s="59">
        <f t="shared" si="146"/>
        <v>424.06445894109982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0.18471047566609988</v>
      </c>
      <c r="BQ178" s="21">
        <f>EXP(-LN(2)/25)*BQ177+(1-EXP(-LN(2)/25))/(LN(2)/25)*Calculateur!BL178*Calculateur!BN178*VLOOKUP('Données projet'!$B$11,Paramètres!$A$1:$I$89,3,0)*0.475*44/12</f>
        <v>0.36829427961198424</v>
      </c>
      <c r="BR178" s="21">
        <f>EXP(-LN(2)/2)*BR177+(1-EXP(-LN(2)/2))/(LN(2)/2)*BL178*BO178*VLOOKUP('Données projet'!$B$11,Paramètres!$A$1:$I$89,3,0)*0.475*44/12</f>
        <v>3.5995012659354375E-21</v>
      </c>
      <c r="BS178" s="22">
        <f t="shared" si="169"/>
        <v>0.55300475527808413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3.1036506698001181E-13</v>
      </c>
      <c r="CA178" s="13">
        <f t="shared" si="170"/>
        <v>4.086682523110923E-12</v>
      </c>
      <c r="CB178" s="20">
        <f t="shared" si="171"/>
        <v>7.6581912194083782E-12</v>
      </c>
      <c r="CC178" s="59">
        <f t="shared" si="119"/>
        <v>289.04602628147808</v>
      </c>
      <c r="CD178" s="59">
        <f ca="1">AVERAGE(OFFSET($CC$3,0,0,'Données projet'!$E$12+1,1))-AVERAGE(OFFSET($H$3,0,0,'Données projet'!$E$12+1,1))</f>
        <v>382.09004346384319</v>
      </c>
      <c r="CE178" s="59">
        <f t="shared" si="148"/>
        <v>410.18893995284986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0.48217429385867527</v>
      </c>
      <c r="CL178" s="21">
        <f>EXP(-LN(2)/25)*CL177+(1-EXP(-LN(2)/25))/(LN(2)/25)*Calculateur!CG178*Calculateur!CI178*VLOOKUP('Données projet'!$B$12,Paramètres!$A$1:$I$89,3,0)*0.475*44/12</f>
        <v>0.61092336933655733</v>
      </c>
      <c r="CM178" s="21">
        <f>EXP(-LN(2)/2)*CM177+(1-EXP(-LN(2)/2))/(LN(2)/2)*CG178*CJ178*VLOOKUP('Données projet'!$B$12,Paramètres!$A$1:$I$89,3,0)*0.475*44/12</f>
        <v>3.7707078298867092E-21</v>
      </c>
      <c r="CN178" s="22">
        <f t="shared" si="172"/>
        <v>1.0930976631952327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363.02374534486341</v>
      </c>
      <c r="CZ178" s="59">
        <f t="shared" si="150"/>
        <v>489.00477393029598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0.41372959817714944</v>
      </c>
      <c r="DG178" s="21">
        <f>EXP(-LN(2)/25)*DG177+(1-EXP(-LN(2)/25))/(LN(2)/25)*Calculateur!DB178*Calculateur!DD178*VLOOKUP('Données projet'!$B$13,Paramètres!$A$1:$I$89,3,0)*0.475*44/12</f>
        <v>0.34752484072200801</v>
      </c>
      <c r="DH178" s="21">
        <f>EXP(-LN(2)/2)*DH177+(1-EXP(-LN(2)/2))/(LN(2)/2)*DB178*DE178*VLOOKUP('Données projet'!$B$13,Paramètres!$A$1:$I$89,3,0)*0.475*44/12</f>
        <v>4.3894925103530111E-21</v>
      </c>
      <c r="DI178" s="22">
        <f t="shared" si="175"/>
        <v>0.76125443889915745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-3.7509835237869992E-13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368.03281986807173</v>
      </c>
      <c r="DU178" s="59">
        <f t="shared" si="152"/>
        <v>395.83504504492248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0.13810576075515654</v>
      </c>
      <c r="EB178" s="21">
        <f>EXP(-LN(2)/25)*EB177+(1-EXP(-LN(2)/25))/(LN(2)/25)*Calculateur!DW178*Calculateur!DY178*VLOOKUP('Données projet'!$B$14,Paramètres!$A$1:$I$89,3,0)*0.475*44/12</f>
        <v>0.27536912286193926</v>
      </c>
      <c r="EC178" s="21">
        <f>EXP(-LN(2)/2)*EC177+(1-EXP(-LN(2)/2))/(LN(2)/2)*DW178*DZ178*VLOOKUP('Données projet'!$B$14,Paramètres!$A$1:$I$89,3,0)*0.475*44/12</f>
        <v>3.3171874411562257E-21</v>
      </c>
      <c r="ED178" s="22">
        <f t="shared" si="178"/>
        <v>0.41347488361709583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225.2264820414552</v>
      </c>
      <c r="EP178" s="59">
        <f t="shared" si="154"/>
        <v>249.91838548328681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0.12523320435810581</v>
      </c>
      <c r="EW178" s="21">
        <f>EXP(-LN(2)/25)*EW177+(1-EXP(-LN(2)/25))/(LN(2)/25)*Calculateur!ER178*Calculateur!ET178*VLOOKUP('Données projet'!$B$15,Paramètres!$A$1:$I$89,3,0)*0.475*44/12</f>
        <v>0.15535407935755635</v>
      </c>
      <c r="EX178" s="21">
        <f>EXP(-LN(2)/2)*EX177+(1-EXP(-LN(2)/2))/(LN(2)/2)*ER178*EU178*VLOOKUP('Données projet'!$B$15,Paramètres!$A$1:$I$89,3,0)*0.475*44/12</f>
        <v>6.0575910019479385E-22</v>
      </c>
      <c r="EY178" s="22">
        <f t="shared" si="181"/>
        <v>0.28058728371566216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-1.2505552149377763E-12</v>
      </c>
      <c r="FF178" s="17">
        <f>FE178*VLOOKUP('Données projet'!$B$16,Paramètres!$A$1:$I$89,3,0)*VLOOKUP('Données projet'!$B$16,Paramètres!$A$1:$I$89,5,0)</f>
        <v>-6.9906036515021697E-13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549.85684198202534</v>
      </c>
      <c r="FK178" s="59">
        <f t="shared" si="156"/>
        <v>539.63748606275431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0.64645249715179731</v>
      </c>
      <c r="FR178" s="21">
        <f>EXP(-LN(2)/25)*FR177+(1-EXP(-LN(2)/25))/(LN(2)/25)*Calculateur!FM178*Calculateur!FO178*VLOOKUP('Données projet'!$B$16,Paramètres!$A$1:$I$89,3,0)*0.475*44/12</f>
        <v>0.69566985356816979</v>
      </c>
      <c r="FS178" s="21">
        <f>EXP(-LN(2)/2)*FS177+(1-EXP(-LN(2)/2))/(LN(2)/2)*FM178*FP178*VLOOKUP('Données projet'!$B$16,Paramètres!$A$1:$I$89,3,0)*0.475*44/12</f>
        <v>5.4611436434243206E-21</v>
      </c>
      <c r="FT178" s="22">
        <f t="shared" si="184"/>
        <v>1.3421223507199671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-5.6843418860808015E-13</v>
      </c>
      <c r="GA178" s="17">
        <f>FZ178*VLOOKUP('Données projet'!$B$17,Paramètres!$A$1:$I$89,3,0)*VLOOKUP('Données projet'!$B$17,Paramètres!$A$1:$I$89,5,0)</f>
        <v>-3.39923644787632E-13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495.6641415122013</v>
      </c>
      <c r="GF178" s="59">
        <f t="shared" si="158"/>
        <v>488.90534169400757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0.22632670936223542</v>
      </c>
      <c r="GM178" s="21">
        <f>EXP(-LN(2)/25)*GM177+(1-EXP(-LN(2)/25))/(LN(2)/25)*Calculateur!GH178*Calculateur!GJ178*VLOOKUP('Données projet'!$B$17,Paramètres!$A$1:$I$89,3,0)*0.475*44/12</f>
        <v>0.46675011291413915</v>
      </c>
      <c r="GN178" s="21">
        <f>EXP(-LN(2)/2)*GN177+(1-EXP(-LN(2)/2))/(LN(2)/2)*GH178*GK178*VLOOKUP('Données projet'!$B$17,Paramètres!$A$1:$I$89,3,0)*0.475*44/12</f>
        <v>5.2047126035565234E-21</v>
      </c>
      <c r="GO178" s="21">
        <f t="shared" si="187"/>
        <v>0.69307682227637457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-5.6843418860808015E-13</v>
      </c>
      <c r="GV178" s="17">
        <f>GU178*VLOOKUP('Données projet'!$B$18,Paramètres!$A$1:$I$89,3,0)*VLOOKUP('Données projet'!$B$18,Paramètres!$A$1:$I$89,5,0)</f>
        <v>-3.39923644787632E-13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-18.333333333333343</v>
      </c>
      <c r="HA178" s="59">
        <f t="shared" si="160"/>
        <v>-18.333333333333343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0.22632670936223542</v>
      </c>
      <c r="HH178" s="21">
        <f>EXP(-LN(2)/25)*HH177+(1-EXP(-LN(2)/25))/(LN(2)/25)*Calculateur!HC178*Calculateur!HE178*VLOOKUP('Données projet'!$B$18,Paramètres!$A$1:$I$89,3,0)*0.475*44/12</f>
        <v>0.46675011291413915</v>
      </c>
      <c r="HI178" s="21">
        <f>EXP(-LN(2)/2)*HI177+(1-EXP(-LN(2)/2))/(LN(2)/2)*HC178*HF178*VLOOKUP('Données projet'!$B$18,Paramètres!$A$1:$I$89,3,0)*0.475*44/12</f>
        <v>5.2047126035565234E-21</v>
      </c>
      <c r="HJ178" s="22">
        <f t="shared" si="190"/>
        <v>0.69307682227637457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376.11581547534814</v>
      </c>
      <c r="T179" s="59">
        <f t="shared" si="142"/>
        <v>300.91675649863294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0.17396202540958816</v>
      </c>
      <c r="AA179" s="21">
        <f>EXP(-LN(2)/25)*AA178+(1-EXP(-LN(2)/25))/(LN(2)/25)*Calculateur!V179*Calculateur!X179*VLOOKUP('Données projet'!$B$9,Paramètres!$A$1:$I$89,3,0)*0.475*44/12</f>
        <v>0.13713764509845991</v>
      </c>
      <c r="AB179" s="21">
        <f>EXP(-LN(2)/2)*AB178+(1-EXP(-LN(2)/2))/(LN(2)/2)*V179*Y179*VLOOKUP('Données projet'!$B$9,Paramètres!$A$1:$I$89,3,0)*0.475*44/12</f>
        <v>1.0410221777536909E-21</v>
      </c>
      <c r="AC179" s="22">
        <f t="shared" si="163"/>
        <v>0.3110996705080481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-5.6843418860808015E-13</v>
      </c>
      <c r="AJ179" s="13">
        <f>AI179*VLOOKUP('Données projet'!$B$10,Paramètres!$A$1:$I$89,3,0)*VLOOKUP('Données projet'!$B$10,Paramètres!$A$1:$I$89,5,0)</f>
        <v>-5.1431925385259092E-13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505.38595282220405</v>
      </c>
      <c r="AO179" s="59">
        <f t="shared" si="144"/>
        <v>351.72130415456365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0.13366911113754479</v>
      </c>
      <c r="AV179" s="21">
        <f>EXP(-LN(2)/25)*AV178+(1-EXP(-LN(2)/25))/(LN(2)/25)*Calculateur!AQ179*Calculateur!AS179*VLOOKUP('Données projet'!$B$10,Paramètres!$A$1:$I$89,3,0)*0.475*44/12</f>
        <v>0.19697106062647088</v>
      </c>
      <c r="AW179" s="21">
        <f>EXP(-LN(2)/2)*AW178+(1-EXP(-LN(2)/2))/(LN(2)/2)*AQ179*AT179*VLOOKUP('Données projet'!$B$10,Paramètres!$A$1:$I$89,3,0)*0.475*44/12</f>
        <v>2.2820482963670097E-21</v>
      </c>
      <c r="AX179" s="21">
        <f t="shared" si="166"/>
        <v>0.33064017176401567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-4.0702161641092972E-13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394.14657090341535</v>
      </c>
      <c r="BJ179" s="59">
        <f t="shared" si="146"/>
        <v>424.06445894109982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0.18108841590055336</v>
      </c>
      <c r="BQ179" s="21">
        <f>EXP(-LN(2)/25)*BQ178+(1-EXP(-LN(2)/25))/(LN(2)/25)*Calculateur!BL179*Calculateur!BN179*VLOOKUP('Données projet'!$B$11,Paramètres!$A$1:$I$89,3,0)*0.475*44/12</f>
        <v>0.35822325316824011</v>
      </c>
      <c r="BR179" s="21">
        <f>EXP(-LN(2)/2)*BR178+(1-EXP(-LN(2)/2))/(LN(2)/2)*BL179*BO179*VLOOKUP('Données projet'!$B$11,Paramètres!$A$1:$I$89,3,0)*0.475*44/12</f>
        <v>2.5452317540325102E-21</v>
      </c>
      <c r="BS179" s="22">
        <f t="shared" si="169"/>
        <v>0.53931166906879346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3.1036506698001181E-13</v>
      </c>
      <c r="CA179" s="13">
        <f t="shared" si="170"/>
        <v>4.086682523110923E-12</v>
      </c>
      <c r="CB179" s="20">
        <f t="shared" si="171"/>
        <v>7.6581912194083782E-12</v>
      </c>
      <c r="CC179" s="59">
        <f t="shared" si="119"/>
        <v>289.12040147384528</v>
      </c>
      <c r="CD179" s="59">
        <f ca="1">AVERAGE(OFFSET($CC$3,0,0,'Données projet'!$E$12+1,1))-AVERAGE(OFFSET($H$3,0,0,'Données projet'!$E$12+1,1))</f>
        <v>382.09004346384319</v>
      </c>
      <c r="CE179" s="59">
        <f t="shared" si="148"/>
        <v>410.18893995284986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0.47271915005338622</v>
      </c>
      <c r="CL179" s="21">
        <f>EXP(-LN(2)/25)*CL178+(1-EXP(-LN(2)/25))/(LN(2)/25)*Calculateur!CG179*Calculateur!CI179*VLOOKUP('Données projet'!$B$12,Paramètres!$A$1:$I$89,3,0)*0.475*44/12</f>
        <v>0.59421763767498548</v>
      </c>
      <c r="CM179" s="21">
        <f>EXP(-LN(2)/2)*CM178+(1-EXP(-LN(2)/2))/(LN(2)/2)*CG179*CJ179*VLOOKUP('Données projet'!$B$12,Paramètres!$A$1:$I$89,3,0)*0.475*44/12</f>
        <v>2.6662930763861028E-21</v>
      </c>
      <c r="CN179" s="22">
        <f t="shared" si="172"/>
        <v>1.0669367877283717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363.02374534486341</v>
      </c>
      <c r="CZ179" s="59">
        <f t="shared" si="150"/>
        <v>489.00477393029598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0.4056166131070329</v>
      </c>
      <c r="DG179" s="21">
        <f>EXP(-LN(2)/25)*DG178+(1-EXP(-LN(2)/25))/(LN(2)/25)*Calculateur!DB179*Calculateur!DD179*VLOOKUP('Données projet'!$B$13,Paramètres!$A$1:$I$89,3,0)*0.475*44/12</f>
        <v>0.3380217556769276</v>
      </c>
      <c r="DH179" s="21">
        <f>EXP(-LN(2)/2)*DH178+(1-EXP(-LN(2)/2))/(LN(2)/2)*DB179*DE179*VLOOKUP('Données projet'!$B$13,Paramètres!$A$1:$I$89,3,0)*0.475*44/12</f>
        <v>3.1038399200381758E-21</v>
      </c>
      <c r="DI179" s="22">
        <f t="shared" si="175"/>
        <v>0.7436383687839605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-3.7509835237869992E-13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368.03281986807173</v>
      </c>
      <c r="DU179" s="59">
        <f t="shared" si="152"/>
        <v>395.83504504492248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0.13539759102294435</v>
      </c>
      <c r="EB179" s="21">
        <f>EXP(-LN(2)/25)*EB178+(1-EXP(-LN(2)/25))/(LN(2)/25)*Calculateur!DW179*Calculateur!DY179*VLOOKUP('Données projet'!$B$14,Paramètres!$A$1:$I$89,3,0)*0.475*44/12</f>
        <v>0.26783913971624673</v>
      </c>
      <c r="EC179" s="21">
        <f>EXP(-LN(2)/2)*EC178+(1-EXP(-LN(2)/2))/(LN(2)/2)*DW179*DZ179*VLOOKUP('Données projet'!$B$14,Paramètres!$A$1:$I$89,3,0)*0.475*44/12</f>
        <v>2.3456057341084189E-21</v>
      </c>
      <c r="ED179" s="22">
        <f t="shared" si="178"/>
        <v>0.40323673073919108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225.2264820414552</v>
      </c>
      <c r="EP179" s="59">
        <f t="shared" si="154"/>
        <v>249.91838548328681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0.12277745760535565</v>
      </c>
      <c r="EW179" s="21">
        <f>EXP(-LN(2)/25)*EW178+(1-EXP(-LN(2)/25))/(LN(2)/25)*Calculateur!ER179*Calculateur!ET179*VLOOKUP('Données projet'!$B$15,Paramètres!$A$1:$I$89,3,0)*0.475*44/12</f>
        <v>0.151105913887808</v>
      </c>
      <c r="EX179" s="21">
        <f>EXP(-LN(2)/2)*EX178+(1-EXP(-LN(2)/2))/(LN(2)/2)*ER179*EU179*VLOOKUP('Données projet'!$B$15,Paramètres!$A$1:$I$89,3,0)*0.475*44/12</f>
        <v>4.2833636751320001E-22</v>
      </c>
      <c r="EY179" s="22">
        <f t="shared" si="181"/>
        <v>0.27388337149316366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-1.2505552149377763E-12</v>
      </c>
      <c r="FF179" s="17">
        <f>FE179*VLOOKUP('Données projet'!$B$16,Paramètres!$A$1:$I$89,3,0)*VLOOKUP('Données projet'!$B$16,Paramètres!$A$1:$I$89,5,0)</f>
        <v>-6.9906036515021697E-13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549.85684198202534</v>
      </c>
      <c r="FK179" s="59">
        <f t="shared" si="156"/>
        <v>539.63748606275431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0.63377595797974018</v>
      </c>
      <c r="FR179" s="21">
        <f>EXP(-LN(2)/25)*FR178+(1-EXP(-LN(2)/25))/(LN(2)/25)*Calculateur!FM179*Calculateur!FO179*VLOOKUP('Données projet'!$B$16,Paramètres!$A$1:$I$89,3,0)*0.475*44/12</f>
        <v>0.67664672483866062</v>
      </c>
      <c r="FS179" s="21">
        <f>EXP(-LN(2)/2)*FS178+(1-EXP(-LN(2)/2))/(LN(2)/2)*FM179*FP179*VLOOKUP('Données projet'!$B$16,Paramètres!$A$1:$I$89,3,0)*0.475*44/12</f>
        <v>3.861611703299146E-21</v>
      </c>
      <c r="FT179" s="22">
        <f t="shared" si="184"/>
        <v>1.3104226828184009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-5.6843418860808015E-13</v>
      </c>
      <c r="GA179" s="17">
        <f>FZ179*VLOOKUP('Données projet'!$B$17,Paramètres!$A$1:$I$89,3,0)*VLOOKUP('Données projet'!$B$17,Paramètres!$A$1:$I$89,5,0)</f>
        <v>-3.39923644787632E-13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495.6641415122013</v>
      </c>
      <c r="GF179" s="59">
        <f t="shared" si="158"/>
        <v>488.90534169400757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0.22188858063730382</v>
      </c>
      <c r="GM179" s="21">
        <f>EXP(-LN(2)/25)*GM178+(1-EXP(-LN(2)/25))/(LN(2)/25)*Calculateur!GH179*Calculateur!GJ179*VLOOKUP('Données projet'!$B$17,Paramètres!$A$1:$I$89,3,0)*0.475*44/12</f>
        <v>0.45398680653118034</v>
      </c>
      <c r="GN179" s="21">
        <f>EXP(-LN(2)/2)*GN178+(1-EXP(-LN(2)/2))/(LN(2)/2)*GH179*GK179*VLOOKUP('Données projet'!$B$17,Paramètres!$A$1:$I$89,3,0)*0.475*44/12</f>
        <v>3.6802875761019086E-21</v>
      </c>
      <c r="GO179" s="21">
        <f t="shared" si="187"/>
        <v>0.67587538716848417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-5.6843418860808015E-13</v>
      </c>
      <c r="GV179" s="17">
        <f>GU179*VLOOKUP('Données projet'!$B$18,Paramètres!$A$1:$I$89,3,0)*VLOOKUP('Données projet'!$B$18,Paramètres!$A$1:$I$89,5,0)</f>
        <v>-3.39923644787632E-13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-18.333333333333343</v>
      </c>
      <c r="HA179" s="59">
        <f t="shared" si="160"/>
        <v>-18.333333333333343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0.22188858063730382</v>
      </c>
      <c r="HH179" s="21">
        <f>EXP(-LN(2)/25)*HH178+(1-EXP(-LN(2)/25))/(LN(2)/25)*Calculateur!HC179*Calculateur!HE179*VLOOKUP('Données projet'!$B$18,Paramètres!$A$1:$I$89,3,0)*0.475*44/12</f>
        <v>0.45398680653118034</v>
      </c>
      <c r="HI179" s="21">
        <f>EXP(-LN(2)/2)*HI178+(1-EXP(-LN(2)/2))/(LN(2)/2)*HC179*HF179*VLOOKUP('Données projet'!$B$18,Paramètres!$A$1:$I$89,3,0)*0.475*44/12</f>
        <v>3.6802875761019086E-21</v>
      </c>
      <c r="HJ179" s="22">
        <f t="shared" si="190"/>
        <v>0.67587538716848417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376.11581547534814</v>
      </c>
      <c r="T180" s="59">
        <f t="shared" si="142"/>
        <v>300.91675649863294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0.1705507361976645</v>
      </c>
      <c r="AA180" s="21">
        <f>EXP(-LN(2)/25)*AA179+(1-EXP(-LN(2)/25))/(LN(2)/25)*Calculateur!V180*Calculateur!X180*VLOOKUP('Données projet'!$B$9,Paramètres!$A$1:$I$89,3,0)*0.475*44/12</f>
        <v>0.13338760898148719</v>
      </c>
      <c r="AB180" s="21">
        <f>EXP(-LN(2)/2)*AB179+(1-EXP(-LN(2)/2))/(LN(2)/2)*V180*Y180*VLOOKUP('Données projet'!$B$9,Paramètres!$A$1:$I$89,3,0)*0.475*44/12</f>
        <v>7.3611384125522231E-22</v>
      </c>
      <c r="AC180" s="22">
        <f t="shared" si="163"/>
        <v>0.30393834517915169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-5.6843418860808015E-13</v>
      </c>
      <c r="AJ180" s="13">
        <f>AI180*VLOOKUP('Données projet'!$B$10,Paramètres!$A$1:$I$89,3,0)*VLOOKUP('Données projet'!$B$10,Paramètres!$A$1:$I$89,5,0)</f>
        <v>-5.1431925385259092E-13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505.38595282220405</v>
      </c>
      <c r="AO180" s="59">
        <f t="shared" si="144"/>
        <v>351.72130415456365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0.13104794139824491</v>
      </c>
      <c r="AV180" s="21">
        <f>EXP(-LN(2)/25)*AV179+(1-EXP(-LN(2)/25))/(LN(2)/25)*Calculateur!AQ180*Calculateur!AS180*VLOOKUP('Données projet'!$B$10,Paramètres!$A$1:$I$89,3,0)*0.475*44/12</f>
        <v>0.19158487661538215</v>
      </c>
      <c r="AW180" s="21">
        <f>EXP(-LN(2)/2)*AW179+(1-EXP(-LN(2)/2))/(LN(2)/2)*AQ180*AT180*VLOOKUP('Données projet'!$B$10,Paramètres!$A$1:$I$89,3,0)*0.475*44/12</f>
        <v>1.6136518253563207E-21</v>
      </c>
      <c r="AX180" s="21">
        <f t="shared" si="166"/>
        <v>0.32263281801362709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-4.0702161641092972E-13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394.14657090341535</v>
      </c>
      <c r="BJ180" s="59">
        <f t="shared" si="146"/>
        <v>424.06445894109982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0.17753738251777088</v>
      </c>
      <c r="BQ180" s="21">
        <f>EXP(-LN(2)/25)*BQ179+(1-EXP(-LN(2)/25))/(LN(2)/25)*Calculateur!BL180*Calculateur!BN180*VLOOKUP('Données projet'!$B$11,Paramètres!$A$1:$I$89,3,0)*0.475*44/12</f>
        <v>0.3484276194722124</v>
      </c>
      <c r="BR180" s="21">
        <f>EXP(-LN(2)/2)*BR179+(1-EXP(-LN(2)/2))/(LN(2)/2)*BL180*BO180*VLOOKUP('Données projet'!$B$11,Paramètres!$A$1:$I$89,3,0)*0.475*44/12</f>
        <v>1.7997506329677187E-21</v>
      </c>
      <c r="BS180" s="22">
        <f t="shared" si="169"/>
        <v>0.52596500198998331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3.1036506698001181E-13</v>
      </c>
      <c r="CA180" s="13">
        <f t="shared" si="170"/>
        <v>4.086682523110923E-12</v>
      </c>
      <c r="CB180" s="20">
        <f t="shared" si="171"/>
        <v>7.6581912194083782E-12</v>
      </c>
      <c r="CC180" s="59">
        <f t="shared" si="119"/>
        <v>289.19348642290294</v>
      </c>
      <c r="CD180" s="59">
        <f ca="1">AVERAGE(OFFSET($CC$3,0,0,'Données projet'!$E$12+1,1))-AVERAGE(OFFSET($H$3,0,0,'Données projet'!$E$12+1,1))</f>
        <v>382.09004346384319</v>
      </c>
      <c r="CE180" s="59">
        <f t="shared" si="148"/>
        <v>410.18893995284986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0.46344941585105059</v>
      </c>
      <c r="CL180" s="21">
        <f>EXP(-LN(2)/25)*CL179+(1-EXP(-LN(2)/25))/(LN(2)/25)*Calculateur!CG180*Calculateur!CI180*VLOOKUP('Données projet'!$B$12,Paramètres!$A$1:$I$89,3,0)*0.475*44/12</f>
        <v>0.57796872512421549</v>
      </c>
      <c r="CM180" s="21">
        <f>EXP(-LN(2)/2)*CM179+(1-EXP(-LN(2)/2))/(LN(2)/2)*CG180*CJ180*VLOOKUP('Données projet'!$B$12,Paramètres!$A$1:$I$89,3,0)*0.475*44/12</f>
        <v>1.8853539149433546E-21</v>
      </c>
      <c r="CN180" s="22">
        <f t="shared" si="172"/>
        <v>1.0414181409752661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363.02374534486341</v>
      </c>
      <c r="CZ180" s="59">
        <f t="shared" si="150"/>
        <v>489.00477393029598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0.39766271872570907</v>
      </c>
      <c r="DG180" s="21">
        <f>EXP(-LN(2)/25)*DG179+(1-EXP(-LN(2)/25))/(LN(2)/25)*Calculateur!DB180*Calculateur!DD180*VLOOKUP('Données projet'!$B$13,Paramètres!$A$1:$I$89,3,0)*0.475*44/12</f>
        <v>0.32877853299215043</v>
      </c>
      <c r="DH180" s="21">
        <f>EXP(-LN(2)/2)*DH179+(1-EXP(-LN(2)/2))/(LN(2)/2)*DB180*DE180*VLOOKUP('Données projet'!$B$13,Paramètres!$A$1:$I$89,3,0)*0.475*44/12</f>
        <v>2.1947462551765055E-21</v>
      </c>
      <c r="DI180" s="22">
        <f t="shared" si="175"/>
        <v>0.72644125171785956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-3.7509835237869992E-13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368.03281986807173</v>
      </c>
      <c r="DU180" s="59">
        <f t="shared" si="152"/>
        <v>395.83504504492248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0.1327425268473604</v>
      </c>
      <c r="EB180" s="21">
        <f>EXP(-LN(2)/25)*EB179+(1-EXP(-LN(2)/25))/(LN(2)/25)*Calculateur!DW180*Calculateur!DY180*VLOOKUP('Données projet'!$B$14,Paramètres!$A$1:$I$89,3,0)*0.475*44/12</f>
        <v>0.26051506435565774</v>
      </c>
      <c r="EC180" s="21">
        <f>EXP(-LN(2)/2)*EC179+(1-EXP(-LN(2)/2))/(LN(2)/2)*DW180*DZ180*VLOOKUP('Données projet'!$B$14,Paramètres!$A$1:$I$89,3,0)*0.475*44/12</f>
        <v>1.6585937205781131E-21</v>
      </c>
      <c r="ED180" s="22">
        <f t="shared" si="178"/>
        <v>0.39325759120301818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225.2264820414552</v>
      </c>
      <c r="EP180" s="59">
        <f t="shared" si="154"/>
        <v>249.91838548328681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0.12036986654856929</v>
      </c>
      <c r="EW180" s="21">
        <f>EXP(-LN(2)/25)*EW179+(1-EXP(-LN(2)/25))/(LN(2)/25)*Calculateur!ER180*Calculateur!ET180*VLOOKUP('Données projet'!$B$15,Paramètres!$A$1:$I$89,3,0)*0.475*44/12</f>
        <v>0.14697391472623123</v>
      </c>
      <c r="EX180" s="21">
        <f>EXP(-LN(2)/2)*EX179+(1-EXP(-LN(2)/2))/(LN(2)/2)*ER180*EU180*VLOOKUP('Données projet'!$B$15,Paramètres!$A$1:$I$89,3,0)*0.475*44/12</f>
        <v>3.0287955009739693E-22</v>
      </c>
      <c r="EY180" s="22">
        <f t="shared" si="181"/>
        <v>0.26734378127480052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-1.2505552149377763E-12</v>
      </c>
      <c r="FF180" s="17">
        <f>FE180*VLOOKUP('Données projet'!$B$16,Paramètres!$A$1:$I$89,3,0)*VLOOKUP('Données projet'!$B$16,Paramètres!$A$1:$I$89,5,0)</f>
        <v>-6.9906036515021697E-13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549.85684198202534</v>
      </c>
      <c r="FK180" s="59">
        <f t="shared" si="156"/>
        <v>539.63748606275431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0.62134799800892171</v>
      </c>
      <c r="FR180" s="21">
        <f>EXP(-LN(2)/25)*FR179+(1-EXP(-LN(2)/25))/(LN(2)/25)*Calculateur!FM180*Calculateur!FO180*VLOOKUP('Données projet'!$B$16,Paramètres!$A$1:$I$89,3,0)*0.475*44/12</f>
        <v>0.65814378456464273</v>
      </c>
      <c r="FS180" s="21">
        <f>EXP(-LN(2)/2)*FS179+(1-EXP(-LN(2)/2))/(LN(2)/2)*FM180*FP180*VLOOKUP('Données projet'!$B$16,Paramètres!$A$1:$I$89,3,0)*0.475*44/12</f>
        <v>2.7305718217121603E-21</v>
      </c>
      <c r="FT180" s="22">
        <f t="shared" si="184"/>
        <v>1.2794917825735643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-5.6843418860808015E-13</v>
      </c>
      <c r="GA180" s="17">
        <f>FZ180*VLOOKUP('Données projet'!$B$17,Paramètres!$A$1:$I$89,3,0)*VLOOKUP('Données projet'!$B$17,Paramètres!$A$1:$I$89,5,0)</f>
        <v>-3.39923644787632E-13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495.6641415122013</v>
      </c>
      <c r="GF180" s="59">
        <f t="shared" si="158"/>
        <v>488.90534169400757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0.21753748090967689</v>
      </c>
      <c r="GM180" s="21">
        <f>EXP(-LN(2)/25)*GM179+(1-EXP(-LN(2)/25))/(LN(2)/25)*Calculateur!GH180*Calculateur!GJ180*VLOOKUP('Données projet'!$B$17,Paramètres!$A$1:$I$89,3,0)*0.475*44/12</f>
        <v>0.44157251343245668</v>
      </c>
      <c r="GN180" s="21">
        <f>EXP(-LN(2)/2)*GN179+(1-EXP(-LN(2)/2))/(LN(2)/2)*GH180*GK180*VLOOKUP('Données projet'!$B$17,Paramètres!$A$1:$I$89,3,0)*0.475*44/12</f>
        <v>2.6023563017782617E-21</v>
      </c>
      <c r="GO180" s="21">
        <f t="shared" si="187"/>
        <v>0.65910999434213358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-5.6843418860808015E-13</v>
      </c>
      <c r="GV180" s="17">
        <f>GU180*VLOOKUP('Données projet'!$B$18,Paramètres!$A$1:$I$89,3,0)*VLOOKUP('Données projet'!$B$18,Paramètres!$A$1:$I$89,5,0)</f>
        <v>-3.39923644787632E-13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-18.333333333333343</v>
      </c>
      <c r="HA180" s="59">
        <f t="shared" si="160"/>
        <v>-18.333333333333343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0.21753748090967689</v>
      </c>
      <c r="HH180" s="21">
        <f>EXP(-LN(2)/25)*HH179+(1-EXP(-LN(2)/25))/(LN(2)/25)*Calculateur!HC180*Calculateur!HE180*VLOOKUP('Données projet'!$B$18,Paramètres!$A$1:$I$89,3,0)*0.475*44/12</f>
        <v>0.44157251343245668</v>
      </c>
      <c r="HI180" s="21">
        <f>EXP(-LN(2)/2)*HI179+(1-EXP(-LN(2)/2))/(LN(2)/2)*HC180*HF180*VLOOKUP('Données projet'!$B$18,Paramètres!$A$1:$I$89,3,0)*0.475*44/12</f>
        <v>2.6023563017782617E-21</v>
      </c>
      <c r="HJ180" s="22">
        <f t="shared" si="190"/>
        <v>0.65910999434213358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376.11581547534814</v>
      </c>
      <c r="T181" s="59">
        <f t="shared" si="142"/>
        <v>300.91675649863294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0.16720634028650569</v>
      </c>
      <c r="AA181" s="21">
        <f>EXP(-LN(2)/25)*AA180+(1-EXP(-LN(2)/25))/(LN(2)/25)*Calculateur!V181*Calculateur!X181*VLOOKUP('Données projet'!$B$9,Paramètres!$A$1:$I$89,3,0)*0.475*44/12</f>
        <v>0.12974011779933892</v>
      </c>
      <c r="AB181" s="21">
        <f>EXP(-LN(2)/2)*AB180+(1-EXP(-LN(2)/2))/(LN(2)/2)*V181*Y181*VLOOKUP('Données projet'!$B$9,Paramètres!$A$1:$I$89,3,0)*0.475*44/12</f>
        <v>5.2051108887684545E-22</v>
      </c>
      <c r="AC181" s="22">
        <f t="shared" si="163"/>
        <v>0.29694645808584463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-5.6843418860808015E-13</v>
      </c>
      <c r="AJ181" s="13">
        <f>AI181*VLOOKUP('Données projet'!$B$10,Paramètres!$A$1:$I$89,3,0)*VLOOKUP('Données projet'!$B$10,Paramètres!$A$1:$I$89,5,0)</f>
        <v>-5.1431925385259092E-13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505.38595282220405</v>
      </c>
      <c r="AO181" s="59">
        <f t="shared" si="144"/>
        <v>351.72130415456365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0.12847817119877702</v>
      </c>
      <c r="AV181" s="21">
        <f>EXP(-LN(2)/25)*AV180+(1-EXP(-LN(2)/25))/(LN(2)/25)*Calculateur!AQ181*Calculateur!AS181*VLOOKUP('Données projet'!$B$10,Paramètres!$A$1:$I$89,3,0)*0.475*44/12</f>
        <v>0.18634597808932374</v>
      </c>
      <c r="AW181" s="21">
        <f>EXP(-LN(2)/2)*AW180+(1-EXP(-LN(2)/2))/(LN(2)/2)*AQ181*AT181*VLOOKUP('Données projet'!$B$10,Paramètres!$A$1:$I$89,3,0)*0.475*44/12</f>
        <v>1.1410241481835048E-21</v>
      </c>
      <c r="AX181" s="21">
        <f t="shared" si="166"/>
        <v>0.31482414928810076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-4.0702161641092972E-13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394.14657090341535</v>
      </c>
      <c r="BJ181" s="59">
        <f t="shared" si="146"/>
        <v>424.06445894109982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0.17405598273370826</v>
      </c>
      <c r="BQ181" s="21">
        <f>EXP(-LN(2)/25)*BQ180+(1-EXP(-LN(2)/25))/(LN(2)/25)*Calculateur!BL181*Calculateur!BN181*VLOOKUP('Données projet'!$B$11,Paramètres!$A$1:$I$89,3,0)*0.475*44/12</f>
        <v>0.3388998478947326</v>
      </c>
      <c r="BR181" s="21">
        <f>EXP(-LN(2)/2)*BR180+(1-EXP(-LN(2)/2))/(LN(2)/2)*BL181*BO181*VLOOKUP('Données projet'!$B$11,Paramètres!$A$1:$I$89,3,0)*0.475*44/12</f>
        <v>1.2726158770162551E-21</v>
      </c>
      <c r="BS181" s="22">
        <f t="shared" si="169"/>
        <v>0.51295583062844086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3.1036506698001181E-13</v>
      </c>
      <c r="CA181" s="13">
        <f t="shared" si="170"/>
        <v>4.086682523110923E-12</v>
      </c>
      <c r="CB181" s="20">
        <f t="shared" si="171"/>
        <v>7.6581912194083782E-12</v>
      </c>
      <c r="CC181" s="59">
        <f t="shared" si="119"/>
        <v>289.26530351148784</v>
      </c>
      <c r="CD181" s="59">
        <f ca="1">AVERAGE(OFFSET($CC$3,0,0,'Données projet'!$E$12+1,1))-AVERAGE(OFFSET($H$3,0,0,'Données projet'!$E$12+1,1))</f>
        <v>382.09004346384319</v>
      </c>
      <c r="CE181" s="59">
        <f t="shared" si="148"/>
        <v>410.18893995284986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0.45436145548244322</v>
      </c>
      <c r="CL181" s="21">
        <f>EXP(-LN(2)/25)*CL180+(1-EXP(-LN(2)/25))/(LN(2)/25)*Calculateur!CG181*Calculateur!CI181*VLOOKUP('Données projet'!$B$12,Paramètres!$A$1:$I$89,3,0)*0.475*44/12</f>
        <v>0.5621641399416395</v>
      </c>
      <c r="CM181" s="21">
        <f>EXP(-LN(2)/2)*CM180+(1-EXP(-LN(2)/2))/(LN(2)/2)*CG181*CJ181*VLOOKUP('Données projet'!$B$12,Paramètres!$A$1:$I$89,3,0)*0.475*44/12</f>
        <v>1.3331465381930514E-21</v>
      </c>
      <c r="CN181" s="22">
        <f t="shared" si="172"/>
        <v>1.0165255954240826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363.02374534486341</v>
      </c>
      <c r="CZ181" s="59">
        <f t="shared" si="150"/>
        <v>489.00477393029598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0.38986479536180652</v>
      </c>
      <c r="DG181" s="21">
        <f>EXP(-LN(2)/25)*DG180+(1-EXP(-LN(2)/25))/(LN(2)/25)*Calculateur!DB181*Calculateur!DD181*VLOOKUP('Données projet'!$B$13,Paramètres!$A$1:$I$89,3,0)*0.475*44/12</f>
        <v>0.31978806671776844</v>
      </c>
      <c r="DH181" s="21">
        <f>EXP(-LN(2)/2)*DH180+(1-EXP(-LN(2)/2))/(LN(2)/2)*DB181*DE181*VLOOKUP('Données projet'!$B$13,Paramètres!$A$1:$I$89,3,0)*0.475*44/12</f>
        <v>1.5519199600190879E-21</v>
      </c>
      <c r="DI181" s="22">
        <f t="shared" si="175"/>
        <v>0.70965286207957501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-3.7509835237869992E-13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368.03281986807173</v>
      </c>
      <c r="DU181" s="59">
        <f t="shared" si="152"/>
        <v>395.83504504492248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0.13013952686083041</v>
      </c>
      <c r="EB181" s="21">
        <f>EXP(-LN(2)/25)*EB180+(1-EXP(-LN(2)/25))/(LN(2)/25)*Calculateur!DW181*Calculateur!DY181*VLOOKUP('Données projet'!$B$14,Paramètres!$A$1:$I$89,3,0)*0.475*44/12</f>
        <v>0.25339126622096048</v>
      </c>
      <c r="EC181" s="21">
        <f>EXP(-LN(2)/2)*EC180+(1-EXP(-LN(2)/2))/(LN(2)/2)*DW181*DZ181*VLOOKUP('Données projet'!$B$14,Paramètres!$A$1:$I$89,3,0)*0.475*44/12</f>
        <v>1.1728028670542097E-21</v>
      </c>
      <c r="ED181" s="22">
        <f t="shared" si="178"/>
        <v>0.38353079308179089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225.2264820414552</v>
      </c>
      <c r="EP181" s="59">
        <f t="shared" si="154"/>
        <v>249.91838548328681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0.11800948688392099</v>
      </c>
      <c r="EW181" s="21">
        <f>EXP(-LN(2)/25)*EW180+(1-EXP(-LN(2)/25))/(LN(2)/25)*Calculateur!ER181*Calculateur!ET181*VLOOKUP('Données projet'!$B$15,Paramètres!$A$1:$I$89,3,0)*0.475*44/12</f>
        <v>0.14295490529902016</v>
      </c>
      <c r="EX181" s="21">
        <f>EXP(-LN(2)/2)*EX180+(1-EXP(-LN(2)/2))/(LN(2)/2)*ER181*EU181*VLOOKUP('Données projet'!$B$15,Paramètres!$A$1:$I$89,3,0)*0.475*44/12</f>
        <v>2.1416818375660001E-22</v>
      </c>
      <c r="EY181" s="22">
        <f t="shared" si="181"/>
        <v>0.26096439218294115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-1.2505552149377763E-12</v>
      </c>
      <c r="FF181" s="17">
        <f>FE181*VLOOKUP('Données projet'!$B$16,Paramètres!$A$1:$I$89,3,0)*VLOOKUP('Données projet'!$B$16,Paramètres!$A$1:$I$89,5,0)</f>
        <v>-6.9906036515021697E-13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549.85684198202534</v>
      </c>
      <c r="FK181" s="59">
        <f t="shared" si="156"/>
        <v>539.63748606275431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0.60916374275282392</v>
      </c>
      <c r="FR181" s="21">
        <f>EXP(-LN(2)/25)*FR180+(1-EXP(-LN(2)/25))/(LN(2)/25)*Calculateur!FM181*Calculateur!FO181*VLOOKUP('Données projet'!$B$16,Paramètres!$A$1:$I$89,3,0)*0.475*44/12</f>
        <v>0.64014680816544511</v>
      </c>
      <c r="FS181" s="21">
        <f>EXP(-LN(2)/2)*FS180+(1-EXP(-LN(2)/2))/(LN(2)/2)*FM181*FP181*VLOOKUP('Données projet'!$B$16,Paramètres!$A$1:$I$89,3,0)*0.475*44/12</f>
        <v>1.930805851649573E-21</v>
      </c>
      <c r="FT181" s="22">
        <f t="shared" si="184"/>
        <v>1.2493105509182691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-5.6843418860808015E-13</v>
      </c>
      <c r="GA181" s="17">
        <f>FZ181*VLOOKUP('Données projet'!$B$17,Paramètres!$A$1:$I$89,3,0)*VLOOKUP('Données projet'!$B$17,Paramètres!$A$1:$I$89,5,0)</f>
        <v>-3.39923644787632E-13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495.6641415122013</v>
      </c>
      <c r="GF181" s="59">
        <f t="shared" si="158"/>
        <v>488.90534169400757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0.21327170359379996</v>
      </c>
      <c r="GM181" s="21">
        <f>EXP(-LN(2)/25)*GM180+(1-EXP(-LN(2)/25))/(LN(2)/25)*Calculateur!GH181*Calculateur!GJ181*VLOOKUP('Données projet'!$B$17,Paramètres!$A$1:$I$89,3,0)*0.475*44/12</f>
        <v>0.42949768983135689</v>
      </c>
      <c r="GN181" s="21">
        <f>EXP(-LN(2)/2)*GN180+(1-EXP(-LN(2)/2))/(LN(2)/2)*GH181*GK181*VLOOKUP('Données projet'!$B$17,Paramètres!$A$1:$I$89,3,0)*0.475*44/12</f>
        <v>1.8401437880509543E-21</v>
      </c>
      <c r="GO181" s="21">
        <f t="shared" si="187"/>
        <v>0.64276939342515682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-5.6843418860808015E-13</v>
      </c>
      <c r="GV181" s="17">
        <f>GU181*VLOOKUP('Données projet'!$B$18,Paramètres!$A$1:$I$89,3,0)*VLOOKUP('Données projet'!$B$18,Paramètres!$A$1:$I$89,5,0)</f>
        <v>-3.39923644787632E-13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-18.333333333333343</v>
      </c>
      <c r="HA181" s="59">
        <f t="shared" si="160"/>
        <v>-18.333333333333343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0.21327170359379996</v>
      </c>
      <c r="HH181" s="21">
        <f>EXP(-LN(2)/25)*HH180+(1-EXP(-LN(2)/25))/(LN(2)/25)*Calculateur!HC181*Calculateur!HE181*VLOOKUP('Données projet'!$B$18,Paramètres!$A$1:$I$89,3,0)*0.475*44/12</f>
        <v>0.42949768983135689</v>
      </c>
      <c r="HI181" s="21">
        <f>EXP(-LN(2)/2)*HI180+(1-EXP(-LN(2)/2))/(LN(2)/2)*HC181*HF181*VLOOKUP('Données projet'!$B$18,Paramètres!$A$1:$I$89,3,0)*0.475*44/12</f>
        <v>1.8401437880509543E-21</v>
      </c>
      <c r="HJ181" s="22">
        <f t="shared" si="190"/>
        <v>0.64276939342515682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376.11581547534814</v>
      </c>
      <c r="T182" s="59">
        <f t="shared" si="142"/>
        <v>300.91675649863294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0.16392752593928461</v>
      </c>
      <c r="AA182" s="21">
        <f>EXP(-LN(2)/25)*AA181+(1-EXP(-LN(2)/25))/(LN(2)/25)*Calculateur!V182*Calculateur!X182*VLOOKUP('Données projet'!$B$9,Paramètres!$A$1:$I$89,3,0)*0.475*44/12</f>
        <v>0.12619236745537973</v>
      </c>
      <c r="AB182" s="21">
        <f>EXP(-LN(2)/2)*AB181+(1-EXP(-LN(2)/2))/(LN(2)/2)*V182*Y182*VLOOKUP('Données projet'!$B$9,Paramètres!$A$1:$I$89,3,0)*0.475*44/12</f>
        <v>3.6805692062761116E-22</v>
      </c>
      <c r="AC182" s="22">
        <f t="shared" si="163"/>
        <v>0.29011989339466437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-5.6843418860808015E-13</v>
      </c>
      <c r="AJ182" s="13">
        <f>AI182*VLOOKUP('Données projet'!$B$10,Paramètres!$A$1:$I$89,3,0)*VLOOKUP('Données projet'!$B$10,Paramètres!$A$1:$I$89,5,0)</f>
        <v>-5.1431925385259092E-13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505.38595282220405</v>
      </c>
      <c r="AO182" s="59">
        <f t="shared" si="144"/>
        <v>351.72130415456365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0.12595879262551565</v>
      </c>
      <c r="AV182" s="21">
        <f>EXP(-LN(2)/25)*AV181+(1-EXP(-LN(2)/25))/(LN(2)/25)*Calculateur!AQ182*Calculateur!AS182*VLOOKUP('Données projet'!$B$10,Paramètres!$A$1:$I$89,3,0)*0.475*44/12</f>
        <v>0.18125033751896208</v>
      </c>
      <c r="AW182" s="21">
        <f>EXP(-LN(2)/2)*AW181+(1-EXP(-LN(2)/2))/(LN(2)/2)*AQ182*AT182*VLOOKUP('Données projet'!$B$10,Paramètres!$A$1:$I$89,3,0)*0.475*44/12</f>
        <v>8.0682591267816035E-22</v>
      </c>
      <c r="AX182" s="21">
        <f t="shared" si="166"/>
        <v>0.3072091301444777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-4.0702161641092972E-13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394.14657090341535</v>
      </c>
      <c r="BJ182" s="59">
        <f t="shared" si="146"/>
        <v>424.06445894109982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0.17064285107596691</v>
      </c>
      <c r="BQ182" s="21">
        <f>EXP(-LN(2)/25)*BQ181+(1-EXP(-LN(2)/25))/(LN(2)/25)*Calculateur!BL182*Calculateur!BN182*VLOOKUP('Données projet'!$B$11,Paramètres!$A$1:$I$89,3,0)*0.475*44/12</f>
        <v>0.32963261373208269</v>
      </c>
      <c r="BR182" s="21">
        <f>EXP(-LN(2)/2)*BR181+(1-EXP(-LN(2)/2))/(LN(2)/2)*BL182*BO182*VLOOKUP('Données projet'!$B$11,Paramètres!$A$1:$I$89,3,0)*0.475*44/12</f>
        <v>8.9987531648385936E-22</v>
      </c>
      <c r="BS182" s="22">
        <f t="shared" si="169"/>
        <v>0.50027546480804963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3.1036506698001181E-13</v>
      </c>
      <c r="CA182" s="13">
        <f t="shared" si="170"/>
        <v>4.086682523110923E-12</v>
      </c>
      <c r="CB182" s="20">
        <f t="shared" si="171"/>
        <v>7.6581912194083782E-12</v>
      </c>
      <c r="CC182" s="59">
        <f t="shared" si="119"/>
        <v>289.3358747341448</v>
      </c>
      <c r="CD182" s="59">
        <f ca="1">AVERAGE(OFFSET($CC$3,0,0,'Données projet'!$E$12+1,1))-AVERAGE(OFFSET($H$3,0,0,'Données projet'!$E$12+1,1))</f>
        <v>382.09004346384319</v>
      </c>
      <c r="CE182" s="59">
        <f t="shared" si="148"/>
        <v>410.18893995284986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0.44545170447355575</v>
      </c>
      <c r="CL182" s="21">
        <f>EXP(-LN(2)/25)*CL181+(1-EXP(-LN(2)/25))/(LN(2)/25)*Calculateur!CG182*Calculateur!CI182*VLOOKUP('Données projet'!$B$12,Paramètres!$A$1:$I$89,3,0)*0.475*44/12</f>
        <v>0.54679173197200803</v>
      </c>
      <c r="CM182" s="21">
        <f>EXP(-LN(2)/2)*CM181+(1-EXP(-LN(2)/2))/(LN(2)/2)*CG182*CJ182*VLOOKUP('Données projet'!$B$12,Paramètres!$A$1:$I$89,3,0)*0.475*44/12</f>
        <v>9.426769574716773E-22</v>
      </c>
      <c r="CN182" s="22">
        <f t="shared" si="172"/>
        <v>0.99224343644556379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363.02374534486341</v>
      </c>
      <c r="CZ182" s="59">
        <f t="shared" si="150"/>
        <v>489.00477393029598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0.38221978451880645</v>
      </c>
      <c r="DG182" s="21">
        <f>EXP(-LN(2)/25)*DG181+(1-EXP(-LN(2)/25))/(LN(2)/25)*Calculateur!DB182*Calculateur!DD182*VLOOKUP('Données projet'!$B$13,Paramètres!$A$1:$I$89,3,0)*0.475*44/12</f>
        <v>0.3110434452164475</v>
      </c>
      <c r="DH182" s="21">
        <f>EXP(-LN(2)/2)*DH181+(1-EXP(-LN(2)/2))/(LN(2)/2)*DB182*DE182*VLOOKUP('Données projet'!$B$13,Paramètres!$A$1:$I$89,3,0)*0.475*44/12</f>
        <v>1.0973731275882528E-21</v>
      </c>
      <c r="DI182" s="22">
        <f t="shared" si="175"/>
        <v>0.69326322973525389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-3.7509835237869992E-13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368.03281986807173</v>
      </c>
      <c r="DU182" s="59">
        <f t="shared" si="152"/>
        <v>395.83504504492248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0.12758757011636307</v>
      </c>
      <c r="EB182" s="21">
        <f>EXP(-LN(2)/25)*EB181+(1-EXP(-LN(2)/25))/(LN(2)/25)*Calculateur!DW182*Calculateur!DY182*VLOOKUP('Données projet'!$B$14,Paramètres!$A$1:$I$89,3,0)*0.475*44/12</f>
        <v>0.24646226872088076</v>
      </c>
      <c r="EC182" s="21">
        <f>EXP(-LN(2)/2)*EC181+(1-EXP(-LN(2)/2))/(LN(2)/2)*DW182*DZ182*VLOOKUP('Données projet'!$B$14,Paramètres!$A$1:$I$89,3,0)*0.475*44/12</f>
        <v>8.2929686028905672E-22</v>
      </c>
      <c r="ED182" s="22">
        <f t="shared" si="178"/>
        <v>0.37404983883724385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225.2264820414552</v>
      </c>
      <c r="EP182" s="59">
        <f t="shared" si="154"/>
        <v>249.91838548328681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0.11569539282480699</v>
      </c>
      <c r="EW182" s="21">
        <f>EXP(-LN(2)/25)*EW181+(1-EXP(-LN(2)/25))/(LN(2)/25)*Calculateur!ER182*Calculateur!ET182*VLOOKUP('Données projet'!$B$15,Paramètres!$A$1:$I$89,3,0)*0.475*44/12</f>
        <v>0.13904579589594671</v>
      </c>
      <c r="EX182" s="21">
        <f>EXP(-LN(2)/2)*EX181+(1-EXP(-LN(2)/2))/(LN(2)/2)*ER182*EU182*VLOOKUP('Données projet'!$B$15,Paramètres!$A$1:$I$89,3,0)*0.475*44/12</f>
        <v>1.5143977504869846E-22</v>
      </c>
      <c r="EY182" s="22">
        <f t="shared" si="181"/>
        <v>0.25474118872075369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-1.2505552149377763E-12</v>
      </c>
      <c r="FF182" s="17">
        <f>FE182*VLOOKUP('Données projet'!$B$16,Paramètres!$A$1:$I$89,3,0)*VLOOKUP('Données projet'!$B$16,Paramètres!$A$1:$I$89,5,0)</f>
        <v>-6.9906036515021697E-13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549.85684198202534</v>
      </c>
      <c r="FK182" s="59">
        <f t="shared" si="156"/>
        <v>539.63748606275431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0.5972184133106363</v>
      </c>
      <c r="FR182" s="21">
        <f>EXP(-LN(2)/25)*FR181+(1-EXP(-LN(2)/25))/(LN(2)/25)*Calculateur!FM182*Calculateur!FO182*VLOOKUP('Données projet'!$B$16,Paramètres!$A$1:$I$89,3,0)*0.475*44/12</f>
        <v>0.62264196003230343</v>
      </c>
      <c r="FS182" s="21">
        <f>EXP(-LN(2)/2)*FS181+(1-EXP(-LN(2)/2))/(LN(2)/2)*FM182*FP182*VLOOKUP('Données projet'!$B$16,Paramètres!$A$1:$I$89,3,0)*0.475*44/12</f>
        <v>1.3652859108560802E-21</v>
      </c>
      <c r="FT182" s="22">
        <f t="shared" si="184"/>
        <v>1.2198603733429398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-5.6843418860808015E-13</v>
      </c>
      <c r="GA182" s="17">
        <f>FZ182*VLOOKUP('Données projet'!$B$17,Paramètres!$A$1:$I$89,3,0)*VLOOKUP('Données projet'!$B$17,Paramètres!$A$1:$I$89,5,0)</f>
        <v>-3.39923644787632E-13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495.6641415122013</v>
      </c>
      <c r="GF182" s="59">
        <f t="shared" si="158"/>
        <v>488.90534169400757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0.20908957556922012</v>
      </c>
      <c r="GM182" s="21">
        <f>EXP(-LN(2)/25)*GM181+(1-EXP(-LN(2)/25))/(LN(2)/25)*Calculateur!GH182*Calculateur!GJ182*VLOOKUP('Données projet'!$B$17,Paramètres!$A$1:$I$89,3,0)*0.475*44/12</f>
        <v>0.41775305291661657</v>
      </c>
      <c r="GN182" s="21">
        <f>EXP(-LN(2)/2)*GN181+(1-EXP(-LN(2)/2))/(LN(2)/2)*GH182*GK182*VLOOKUP('Données projet'!$B$17,Paramètres!$A$1:$I$89,3,0)*0.475*44/12</f>
        <v>1.3011781508891308E-21</v>
      </c>
      <c r="GO182" s="21">
        <f t="shared" si="187"/>
        <v>0.62684262848583672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-5.6843418860808015E-13</v>
      </c>
      <c r="GV182" s="17">
        <f>GU182*VLOOKUP('Données projet'!$B$18,Paramètres!$A$1:$I$89,3,0)*VLOOKUP('Données projet'!$B$18,Paramètres!$A$1:$I$89,5,0)</f>
        <v>-3.39923644787632E-13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-18.333333333333343</v>
      </c>
      <c r="HA182" s="59">
        <f t="shared" si="160"/>
        <v>-18.333333333333343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0.20908957556922012</v>
      </c>
      <c r="HH182" s="21">
        <f>EXP(-LN(2)/25)*HH181+(1-EXP(-LN(2)/25))/(LN(2)/25)*Calculateur!HC182*Calculateur!HE182*VLOOKUP('Données projet'!$B$18,Paramètres!$A$1:$I$89,3,0)*0.475*44/12</f>
        <v>0.41775305291661657</v>
      </c>
      <c r="HI182" s="21">
        <f>EXP(-LN(2)/2)*HI181+(1-EXP(-LN(2)/2))/(LN(2)/2)*HC182*HF182*VLOOKUP('Données projet'!$B$18,Paramètres!$A$1:$I$89,3,0)*0.475*44/12</f>
        <v>1.3011781508891308E-21</v>
      </c>
      <c r="HJ182" s="22">
        <f t="shared" si="190"/>
        <v>0.62684262848583672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376.11581547534814</v>
      </c>
      <c r="T183" s="59">
        <f t="shared" si="142"/>
        <v>300.91675649863294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0.16071300714153328</v>
      </c>
      <c r="AA183" s="21">
        <f>EXP(-LN(2)/25)*AA182+(1-EXP(-LN(2)/25))/(LN(2)/25)*Calculateur!V183*Calculateur!X183*VLOOKUP('Données projet'!$B$9,Paramètres!$A$1:$I$89,3,0)*0.475*44/12</f>
        <v>0.12274163053114419</v>
      </c>
      <c r="AB183" s="21">
        <f>EXP(-LN(2)/2)*AB182+(1-EXP(-LN(2)/2))/(LN(2)/2)*V183*Y183*VLOOKUP('Données projet'!$B$9,Paramètres!$A$1:$I$89,3,0)*0.475*44/12</f>
        <v>2.6025554443842273E-22</v>
      </c>
      <c r="AC183" s="22">
        <f t="shared" si="163"/>
        <v>0.28345463767267748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-5.6843418860808015E-13</v>
      </c>
      <c r="AJ183" s="13">
        <f>AI183*VLOOKUP('Données projet'!$B$10,Paramètres!$A$1:$I$89,3,0)*VLOOKUP('Données projet'!$B$10,Paramètres!$A$1:$I$89,5,0)</f>
        <v>-5.1431925385259092E-13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505.38595282220405</v>
      </c>
      <c r="AO183" s="59">
        <f t="shared" si="144"/>
        <v>351.72130415456365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0.12348881752940673</v>
      </c>
      <c r="AV183" s="21">
        <f>EXP(-LN(2)/25)*AV182+(1-EXP(-LN(2)/25))/(LN(2)/25)*Calculateur!AQ183*Calculateur!AS183*VLOOKUP('Données projet'!$B$10,Paramètres!$A$1:$I$89,3,0)*0.475*44/12</f>
        <v>0.17629403750796507</v>
      </c>
      <c r="AW183" s="21">
        <f>EXP(-LN(2)/2)*AW182+(1-EXP(-LN(2)/2))/(LN(2)/2)*AQ183*AT183*VLOOKUP('Données projet'!$B$10,Paramètres!$A$1:$I$89,3,0)*0.475*44/12</f>
        <v>5.7051207409175242E-22</v>
      </c>
      <c r="AX183" s="21">
        <f t="shared" si="166"/>
        <v>0.29978285503737179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-4.0702161641092972E-13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394.14657090341535</v>
      </c>
      <c r="BJ183" s="59">
        <f t="shared" si="146"/>
        <v>424.06445894109982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0.16729664884822912</v>
      </c>
      <c r="BQ183" s="21">
        <f>EXP(-LN(2)/25)*BQ182+(1-EXP(-LN(2)/25))/(LN(2)/25)*Calculateur!BL183*Calculateur!BN183*VLOOKUP('Données projet'!$B$11,Paramètres!$A$1:$I$89,3,0)*0.475*44/12</f>
        <v>0.32061879257495313</v>
      </c>
      <c r="BR183" s="21">
        <f>EXP(-LN(2)/2)*BR182+(1-EXP(-LN(2)/2))/(LN(2)/2)*BL183*BO183*VLOOKUP('Données projet'!$B$11,Paramètres!$A$1:$I$89,3,0)*0.475*44/12</f>
        <v>6.3630793850812755E-22</v>
      </c>
      <c r="BS183" s="22">
        <f t="shared" si="169"/>
        <v>0.48791544142318222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3.1036506698001181E-13</v>
      </c>
      <c r="CA183" s="13">
        <f t="shared" si="170"/>
        <v>4.086682523110923E-12</v>
      </c>
      <c r="CB183" s="20">
        <f t="shared" si="171"/>
        <v>7.6581912194083782E-12</v>
      </c>
      <c r="CC183" s="59">
        <f t="shared" si="119"/>
        <v>289.40522170386231</v>
      </c>
      <c r="CD183" s="59">
        <f ca="1">AVERAGE(OFFSET($CC$3,0,0,'Données projet'!$E$12+1,1))-AVERAGE(OFFSET($H$3,0,0,'Données projet'!$E$12+1,1))</f>
        <v>382.09004346384319</v>
      </c>
      <c r="CE183" s="59">
        <f t="shared" si="148"/>
        <v>410.18893995284986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0.43671666824754102</v>
      </c>
      <c r="CL183" s="21">
        <f>EXP(-LN(2)/25)*CL182+(1-EXP(-LN(2)/25))/(LN(2)/25)*Calculateur!CG183*Calculateur!CI183*VLOOKUP('Données projet'!$B$12,Paramètres!$A$1:$I$89,3,0)*0.475*44/12</f>
        <v>0.53183968330670595</v>
      </c>
      <c r="CM183" s="21">
        <f>EXP(-LN(2)/2)*CM182+(1-EXP(-LN(2)/2))/(LN(2)/2)*CG183*CJ183*VLOOKUP('Données projet'!$B$12,Paramètres!$A$1:$I$89,3,0)*0.475*44/12</f>
        <v>6.6657326909652569E-22</v>
      </c>
      <c r="CN183" s="22">
        <f t="shared" si="172"/>
        <v>0.96855635155424702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363.02374534486341</v>
      </c>
      <c r="CZ183" s="59">
        <f t="shared" si="150"/>
        <v>489.00477393029598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0.37472468767544143</v>
      </c>
      <c r="DG183" s="21">
        <f>EXP(-LN(2)/25)*DG182+(1-EXP(-LN(2)/25))/(LN(2)/25)*Calculateur!DB183*Calculateur!DD183*VLOOKUP('Données projet'!$B$13,Paramètres!$A$1:$I$89,3,0)*0.475*44/12</f>
        <v>0.30253794584993987</v>
      </c>
      <c r="DH183" s="21">
        <f>EXP(-LN(2)/2)*DH182+(1-EXP(-LN(2)/2))/(LN(2)/2)*DB183*DE183*VLOOKUP('Données projet'!$B$13,Paramètres!$A$1:$I$89,3,0)*0.475*44/12</f>
        <v>7.7595998000954396E-22</v>
      </c>
      <c r="DI183" s="22">
        <f t="shared" si="175"/>
        <v>0.6772626335253813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-3.7509835237869992E-13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368.03281986807173</v>
      </c>
      <c r="DU183" s="59">
        <f t="shared" si="152"/>
        <v>395.83504504492248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0.1250856556871148</v>
      </c>
      <c r="EB183" s="21">
        <f>EXP(-LN(2)/25)*EB182+(1-EXP(-LN(2)/25))/(LN(2)/25)*Calculateur!DW183*Calculateur!DY183*VLOOKUP('Données projet'!$B$14,Paramètres!$A$1:$I$89,3,0)*0.475*44/12</f>
        <v>0.23972274502182087</v>
      </c>
      <c r="EC183" s="21">
        <f>EXP(-LN(2)/2)*EC182+(1-EXP(-LN(2)/2))/(LN(2)/2)*DW183*DZ183*VLOOKUP('Données projet'!$B$14,Paramètres!$A$1:$I$89,3,0)*0.475*44/12</f>
        <v>5.8640143352710492E-22</v>
      </c>
      <c r="ED183" s="22">
        <f t="shared" si="178"/>
        <v>0.36480840070893567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225.2264820414552</v>
      </c>
      <c r="EP183" s="59">
        <f t="shared" si="154"/>
        <v>249.91838548328681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0.11342667673873422</v>
      </c>
      <c r="EW183" s="21">
        <f>EXP(-LN(2)/25)*EW182+(1-EXP(-LN(2)/25))/(LN(2)/25)*Calculateur!ER183*Calculateur!ET183*VLOOKUP('Données projet'!$B$15,Paramètres!$A$1:$I$89,3,0)*0.475*44/12</f>
        <v>0.13524358129507144</v>
      </c>
      <c r="EX183" s="21">
        <f>EXP(-LN(2)/2)*EX182+(1-EXP(-LN(2)/2))/(LN(2)/2)*ER183*EU183*VLOOKUP('Données projet'!$B$15,Paramètres!$A$1:$I$89,3,0)*0.475*44/12</f>
        <v>1.070840918783E-22</v>
      </c>
      <c r="EY183" s="22">
        <f t="shared" si="181"/>
        <v>0.24867025803380566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-1.2505552149377763E-12</v>
      </c>
      <c r="FF183" s="17">
        <f>FE183*VLOOKUP('Données projet'!$B$16,Paramètres!$A$1:$I$89,3,0)*VLOOKUP('Données projet'!$B$16,Paramètres!$A$1:$I$89,5,0)</f>
        <v>-6.9906036515021697E-13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549.85684198202534</v>
      </c>
      <c r="FK183" s="59">
        <f t="shared" si="156"/>
        <v>539.63748606275431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0.58550732449287846</v>
      </c>
      <c r="FR183" s="21">
        <f>EXP(-LN(2)/25)*FR182+(1-EXP(-LN(2)/25))/(LN(2)/25)*Calculateur!FM183*Calculateur!FO183*VLOOKUP('Données projet'!$B$16,Paramètres!$A$1:$I$89,3,0)*0.475*44/12</f>
        <v>0.60561578289190243</v>
      </c>
      <c r="FS183" s="21">
        <f>EXP(-LN(2)/2)*FS182+(1-EXP(-LN(2)/2))/(LN(2)/2)*FM183*FP183*VLOOKUP('Données projet'!$B$16,Paramètres!$A$1:$I$89,3,0)*0.475*44/12</f>
        <v>9.6540292582478649E-22</v>
      </c>
      <c r="FT183" s="22">
        <f t="shared" si="184"/>
        <v>1.1911231073847808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-5.6843418860808015E-13</v>
      </c>
      <c r="GA183" s="17">
        <f>FZ183*VLOOKUP('Données projet'!$B$17,Paramètres!$A$1:$I$89,3,0)*VLOOKUP('Données projet'!$B$17,Paramètres!$A$1:$I$89,5,0)</f>
        <v>-3.39923644787632E-13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495.6641415122013</v>
      </c>
      <c r="GF183" s="59">
        <f t="shared" si="158"/>
        <v>488.90534169400757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0.20498945652435607</v>
      </c>
      <c r="GM183" s="21">
        <f>EXP(-LN(2)/25)*GM182+(1-EXP(-LN(2)/25))/(LN(2)/25)*Calculateur!GH183*Calculateur!GJ183*VLOOKUP('Données projet'!$B$17,Paramètres!$A$1:$I$89,3,0)*0.475*44/12</f>
        <v>0.40632957371593342</v>
      </c>
      <c r="GN183" s="21">
        <f>EXP(-LN(2)/2)*GN182+(1-EXP(-LN(2)/2))/(LN(2)/2)*GH183*GK183*VLOOKUP('Données projet'!$B$17,Paramètres!$A$1:$I$89,3,0)*0.475*44/12</f>
        <v>9.2007189402547715E-22</v>
      </c>
      <c r="GO183" s="21">
        <f t="shared" si="187"/>
        <v>0.61131903024028955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-5.6843418860808015E-13</v>
      </c>
      <c r="GV183" s="17">
        <f>GU183*VLOOKUP('Données projet'!$B$18,Paramètres!$A$1:$I$89,3,0)*VLOOKUP('Données projet'!$B$18,Paramètres!$A$1:$I$89,5,0)</f>
        <v>-3.39923644787632E-13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-18.333333333333343</v>
      </c>
      <c r="HA183" s="59">
        <f t="shared" si="160"/>
        <v>-18.333333333333343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0.20498945652435607</v>
      </c>
      <c r="HH183" s="21">
        <f>EXP(-LN(2)/25)*HH182+(1-EXP(-LN(2)/25))/(LN(2)/25)*Calculateur!HC183*Calculateur!HE183*VLOOKUP('Données projet'!$B$18,Paramètres!$A$1:$I$89,3,0)*0.475*44/12</f>
        <v>0.40632957371593342</v>
      </c>
      <c r="HI183" s="21">
        <f>EXP(-LN(2)/2)*HI182+(1-EXP(-LN(2)/2))/(LN(2)/2)*HC183*HF183*VLOOKUP('Données projet'!$B$18,Paramètres!$A$1:$I$89,3,0)*0.475*44/12</f>
        <v>9.2007189402547715E-22</v>
      </c>
      <c r="HJ183" s="22">
        <f t="shared" si="190"/>
        <v>0.61131903024028955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376.11581547534814</v>
      </c>
      <c r="T184" s="59">
        <f t="shared" si="142"/>
        <v>300.91675649863294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0.15756152309674298</v>
      </c>
      <c r="AA184" s="21">
        <f>EXP(-LN(2)/25)*AA183+(1-EXP(-LN(2)/25))/(LN(2)/25)*Calculateur!V184*Calculateur!X184*VLOOKUP('Données projet'!$B$9,Paramètres!$A$1:$I$89,3,0)*0.475*44/12</f>
        <v>0.11938525418956823</v>
      </c>
      <c r="AB184" s="21">
        <f>EXP(-LN(2)/2)*AB183+(1-EXP(-LN(2)/2))/(LN(2)/2)*V184*Y184*VLOOKUP('Données projet'!$B$9,Paramètres!$A$1:$I$89,3,0)*0.475*44/12</f>
        <v>1.8402846031380558E-22</v>
      </c>
      <c r="AC184" s="22">
        <f t="shared" si="163"/>
        <v>0.27694677728631123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-5.6843418860808015E-13</v>
      </c>
      <c r="AJ184" s="13">
        <f>AI184*VLOOKUP('Données projet'!$B$10,Paramètres!$A$1:$I$89,3,0)*VLOOKUP('Données projet'!$B$10,Paramètres!$A$1:$I$89,5,0)</f>
        <v>-5.1431925385259092E-13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505.38595282220405</v>
      </c>
      <c r="AO184" s="59">
        <f t="shared" si="144"/>
        <v>351.72130415456365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0.12106727713839645</v>
      </c>
      <c r="AV184" s="21">
        <f>EXP(-LN(2)/25)*AV183+(1-EXP(-LN(2)/25))/(LN(2)/25)*Calculateur!AQ184*Calculateur!AS184*VLOOKUP('Données projet'!$B$10,Paramètres!$A$1:$I$89,3,0)*0.475*44/12</f>
        <v>0.17147326778140926</v>
      </c>
      <c r="AW184" s="21">
        <f>EXP(-LN(2)/2)*AW183+(1-EXP(-LN(2)/2))/(LN(2)/2)*AQ184*AT184*VLOOKUP('Données projet'!$B$10,Paramètres!$A$1:$I$89,3,0)*0.475*44/12</f>
        <v>4.0341295633908017E-22</v>
      </c>
      <c r="AX184" s="21">
        <f t="shared" si="166"/>
        <v>0.29254054491980569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-4.0702161641092972E-13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394.14657090341535</v>
      </c>
      <c r="BJ184" s="59">
        <f t="shared" si="146"/>
        <v>424.06445894109982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0.16401606360519544</v>
      </c>
      <c r="BQ184" s="21">
        <f>EXP(-LN(2)/25)*BQ183+(1-EXP(-LN(2)/25))/(LN(2)/25)*Calculateur!BL184*Calculateur!BN184*VLOOKUP('Données projet'!$B$11,Paramètres!$A$1:$I$89,3,0)*0.475*44/12</f>
        <v>0.31185145483138149</v>
      </c>
      <c r="BR184" s="21">
        <f>EXP(-LN(2)/2)*BR183+(1-EXP(-LN(2)/2))/(LN(2)/2)*BL184*BO184*VLOOKUP('Données projet'!$B$11,Paramètres!$A$1:$I$89,3,0)*0.475*44/12</f>
        <v>4.4993765824192968E-22</v>
      </c>
      <c r="BS184" s="22">
        <f t="shared" si="169"/>
        <v>0.47586751843657693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3.1036506698001181E-13</v>
      </c>
      <c r="CA184" s="13">
        <f t="shared" si="170"/>
        <v>4.086682523110923E-12</v>
      </c>
      <c r="CB184" s="20">
        <f t="shared" si="171"/>
        <v>7.6581912194083782E-12</v>
      </c>
      <c r="CC184" s="59">
        <f t="shared" si="119"/>
        <v>289.47336565869176</v>
      </c>
      <c r="CD184" s="59">
        <f ca="1">AVERAGE(OFFSET($CC$3,0,0,'Données projet'!$E$12+1,1))-AVERAGE(OFFSET($H$3,0,0,'Données projet'!$E$12+1,1))</f>
        <v>382.09004346384319</v>
      </c>
      <c r="CE184" s="59">
        <f t="shared" si="148"/>
        <v>410.18893995284986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0.42815292075407241</v>
      </c>
      <c r="CL184" s="21">
        <f>EXP(-LN(2)/25)*CL183+(1-EXP(-LN(2)/25))/(LN(2)/25)*Calculateur!CG184*Calculateur!CI184*VLOOKUP('Données projet'!$B$12,Paramètres!$A$1:$I$89,3,0)*0.475*44/12</f>
        <v>0.51729649919845067</v>
      </c>
      <c r="CM184" s="21">
        <f>EXP(-LN(2)/2)*CM183+(1-EXP(-LN(2)/2))/(LN(2)/2)*CG184*CJ184*VLOOKUP('Données projet'!$B$12,Paramètres!$A$1:$I$89,3,0)*0.475*44/12</f>
        <v>4.7133847873583865E-22</v>
      </c>
      <c r="CN184" s="22">
        <f t="shared" si="172"/>
        <v>0.94544941995252307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363.02374534486341</v>
      </c>
      <c r="CZ184" s="59">
        <f t="shared" si="150"/>
        <v>489.00477393029598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0.36737656510961714</v>
      </c>
      <c r="DG184" s="21">
        <f>EXP(-LN(2)/25)*DG183+(1-EXP(-LN(2)/25))/(LN(2)/25)*Calculateur!DB184*Calculateur!DD184*VLOOKUP('Données projet'!$B$13,Paramètres!$A$1:$I$89,3,0)*0.475*44/12</f>
        <v>0.29426502981089414</v>
      </c>
      <c r="DH184" s="21">
        <f>EXP(-LN(2)/2)*DH183+(1-EXP(-LN(2)/2))/(LN(2)/2)*DB184*DE184*VLOOKUP('Données projet'!$B$13,Paramètres!$A$1:$I$89,3,0)*0.475*44/12</f>
        <v>5.4868656379412638E-22</v>
      </c>
      <c r="DI184" s="22">
        <f t="shared" si="175"/>
        <v>0.66164159492051122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-3.7509835237869992E-13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368.03281986807173</v>
      </c>
      <c r="DU184" s="59">
        <f t="shared" si="152"/>
        <v>395.83504504492248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0.12263280227380698</v>
      </c>
      <c r="EB184" s="21">
        <f>EXP(-LN(2)/25)*EB183+(1-EXP(-LN(2)/25))/(LN(2)/25)*Calculateur!DW184*Calculateur!DY184*VLOOKUP('Données projet'!$B$14,Paramètres!$A$1:$I$89,3,0)*0.475*44/12</f>
        <v>0.23316751395272792</v>
      </c>
      <c r="EC184" s="21">
        <f>EXP(-LN(2)/2)*EC183+(1-EXP(-LN(2)/2))/(LN(2)/2)*DW184*DZ184*VLOOKUP('Données projet'!$B$14,Paramètres!$A$1:$I$89,3,0)*0.475*44/12</f>
        <v>4.1464843014452841E-22</v>
      </c>
      <c r="ED184" s="22">
        <f t="shared" si="178"/>
        <v>0.35580031622653491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225.2264820414552</v>
      </c>
      <c r="EP184" s="59">
        <f t="shared" si="154"/>
        <v>249.91838548328681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0.11120244879132915</v>
      </c>
      <c r="EW184" s="21">
        <f>EXP(-LN(2)/25)*EW183+(1-EXP(-LN(2)/25))/(LN(2)/25)*Calculateur!ER184*Calculateur!ET184*VLOOKUP('Données projet'!$B$15,Paramètres!$A$1:$I$89,3,0)*0.475*44/12</f>
        <v>0.13154533845240687</v>
      </c>
      <c r="EX184" s="21">
        <f>EXP(-LN(2)/2)*EX183+(1-EXP(-LN(2)/2))/(LN(2)/2)*ER184*EU184*VLOOKUP('Données projet'!$B$15,Paramètres!$A$1:$I$89,3,0)*0.475*44/12</f>
        <v>7.5719887524349232E-23</v>
      </c>
      <c r="EY184" s="22">
        <f t="shared" si="181"/>
        <v>0.24274778724373602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-1.2505552149377763E-12</v>
      </c>
      <c r="FF184" s="17">
        <f>FE184*VLOOKUP('Données projet'!$B$16,Paramètres!$A$1:$I$89,3,0)*VLOOKUP('Données projet'!$B$16,Paramètres!$A$1:$I$89,5,0)</f>
        <v>-6.9906036515021697E-13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549.85684198202534</v>
      </c>
      <c r="FK184" s="59">
        <f t="shared" si="156"/>
        <v>539.63748606275431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0.57402588298377799</v>
      </c>
      <c r="FR184" s="21">
        <f>EXP(-LN(2)/25)*FR183+(1-EXP(-LN(2)/25))/(LN(2)/25)*Calculateur!FM184*Calculateur!FO184*VLOOKUP('Données projet'!$B$16,Paramètres!$A$1:$I$89,3,0)*0.475*44/12</f>
        <v>0.58905518746077346</v>
      </c>
      <c r="FS184" s="21">
        <f>EXP(-LN(2)/2)*FS183+(1-EXP(-LN(2)/2))/(LN(2)/2)*FM184*FP184*VLOOKUP('Données projet'!$B$16,Paramètres!$A$1:$I$89,3,0)*0.475*44/12</f>
        <v>6.8264295542804008E-22</v>
      </c>
      <c r="FT184" s="22">
        <f t="shared" si="184"/>
        <v>1.1630810704445516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-5.6843418860808015E-13</v>
      </c>
      <c r="GA184" s="17">
        <f>FZ184*VLOOKUP('Données projet'!$B$17,Paramètres!$A$1:$I$89,3,0)*VLOOKUP('Données projet'!$B$17,Paramètres!$A$1:$I$89,5,0)</f>
        <v>-3.39923644787632E-13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495.6641415122013</v>
      </c>
      <c r="GF184" s="59">
        <f t="shared" si="158"/>
        <v>488.90534169400757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0.20096973831313611</v>
      </c>
      <c r="GM184" s="21">
        <f>EXP(-LN(2)/25)*GM183+(1-EXP(-LN(2)/25))/(LN(2)/25)*Calculateur!GH184*Calculateur!GJ184*VLOOKUP('Données projet'!$B$17,Paramètres!$A$1:$I$89,3,0)*0.475*44/12</f>
        <v>0.39521847015472761</v>
      </c>
      <c r="GN184" s="21">
        <f>EXP(-LN(2)/2)*GN183+(1-EXP(-LN(2)/2))/(LN(2)/2)*GH184*GK184*VLOOKUP('Données projet'!$B$17,Paramètres!$A$1:$I$89,3,0)*0.475*44/12</f>
        <v>6.5058907544456542E-22</v>
      </c>
      <c r="GO184" s="21">
        <f t="shared" si="187"/>
        <v>0.59618820846786369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-5.6843418860808015E-13</v>
      </c>
      <c r="GV184" s="17">
        <f>GU184*VLOOKUP('Données projet'!$B$18,Paramètres!$A$1:$I$89,3,0)*VLOOKUP('Données projet'!$B$18,Paramètres!$A$1:$I$89,5,0)</f>
        <v>-3.39923644787632E-13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-18.333333333333343</v>
      </c>
      <c r="HA184" s="59">
        <f t="shared" si="160"/>
        <v>-18.333333333333343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0.20096973831313611</v>
      </c>
      <c r="HH184" s="21">
        <f>EXP(-LN(2)/25)*HH183+(1-EXP(-LN(2)/25))/(LN(2)/25)*Calculateur!HC184*Calculateur!HE184*VLOOKUP('Données projet'!$B$18,Paramètres!$A$1:$I$89,3,0)*0.475*44/12</f>
        <v>0.39521847015472761</v>
      </c>
      <c r="HI184" s="21">
        <f>EXP(-LN(2)/2)*HI183+(1-EXP(-LN(2)/2))/(LN(2)/2)*HC184*HF184*VLOOKUP('Données projet'!$B$18,Paramètres!$A$1:$I$89,3,0)*0.475*44/12</f>
        <v>6.5058907544456542E-22</v>
      </c>
      <c r="HJ184" s="22">
        <f t="shared" si="190"/>
        <v>0.59618820846786369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376.11581547534814</v>
      </c>
      <c r="T185" s="59">
        <f t="shared" si="142"/>
        <v>300.91675649863294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0.15447183773185555</v>
      </c>
      <c r="AA185" s="21">
        <f>EXP(-LN(2)/25)*AA184+(1-EXP(-LN(2)/25))/(LN(2)/25)*Calculateur!V185*Calculateur!X185*VLOOKUP('Données projet'!$B$9,Paramètres!$A$1:$I$89,3,0)*0.475*44/12</f>
        <v>0.11612065813555683</v>
      </c>
      <c r="AB185" s="21">
        <f>EXP(-LN(2)/2)*AB184+(1-EXP(-LN(2)/2))/(LN(2)/2)*V185*Y185*VLOOKUP('Données projet'!$B$9,Paramètres!$A$1:$I$89,3,0)*0.475*44/12</f>
        <v>1.3012777221921136E-22</v>
      </c>
      <c r="AC185" s="22">
        <f t="shared" si="163"/>
        <v>0.27059249586741241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-5.6843418860808015E-13</v>
      </c>
      <c r="AJ185" s="13">
        <f>AI185*VLOOKUP('Données projet'!$B$10,Paramètres!$A$1:$I$89,3,0)*VLOOKUP('Données projet'!$B$10,Paramètres!$A$1:$I$89,5,0)</f>
        <v>-5.1431925385259092E-13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505.38595282220405</v>
      </c>
      <c r="AO185" s="59">
        <f t="shared" si="144"/>
        <v>351.72130415456365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0.11869322167746009</v>
      </c>
      <c r="AV185" s="21">
        <f>EXP(-LN(2)/25)*AV184+(1-EXP(-LN(2)/25))/(LN(2)/25)*Calculateur!AQ185*Calculateur!AS185*VLOOKUP('Données projet'!$B$10,Paramètres!$A$1:$I$89,3,0)*0.475*44/12</f>
        <v>0.16678432225653939</v>
      </c>
      <c r="AW185" s="21">
        <f>EXP(-LN(2)/2)*AW184+(1-EXP(-LN(2)/2))/(LN(2)/2)*AQ185*AT185*VLOOKUP('Données projet'!$B$10,Paramètres!$A$1:$I$89,3,0)*0.475*44/12</f>
        <v>2.8525603704587621E-22</v>
      </c>
      <c r="AX185" s="21">
        <f t="shared" si="166"/>
        <v>0.28547754393399949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-4.0702161641092972E-13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394.14657090341535</v>
      </c>
      <c r="BJ185" s="59">
        <f t="shared" si="146"/>
        <v>424.06445894109982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0.16079980863781823</v>
      </c>
      <c r="BQ185" s="21">
        <f>EXP(-LN(2)/25)*BQ184+(1-EXP(-LN(2)/25))/(LN(2)/25)*Calculateur!BL185*Calculateur!BN185*VLOOKUP('Données projet'!$B$11,Paramètres!$A$1:$I$89,3,0)*0.475*44/12</f>
        <v>0.30332386039946208</v>
      </c>
      <c r="BR185" s="21">
        <f>EXP(-LN(2)/2)*BR184+(1-EXP(-LN(2)/2))/(LN(2)/2)*BL185*BO185*VLOOKUP('Données projet'!$B$11,Paramètres!$A$1:$I$89,3,0)*0.475*44/12</f>
        <v>3.1815396925406377E-22</v>
      </c>
      <c r="BS185" s="22">
        <f t="shared" si="169"/>
        <v>0.46412366903728031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3.1036506698001181E-13</v>
      </c>
      <c r="CA185" s="13">
        <f t="shared" si="170"/>
        <v>4.086682523110923E-12</v>
      </c>
      <c r="CB185" s="20">
        <f t="shared" si="171"/>
        <v>7.6581912194083782E-12</v>
      </c>
      <c r="CC185" s="59">
        <f t="shared" si="119"/>
        <v>289.54032746825209</v>
      </c>
      <c r="CD185" s="59">
        <f ca="1">AVERAGE(OFFSET($CC$3,0,0,'Données projet'!$E$12+1,1))-AVERAGE(OFFSET($H$3,0,0,'Données projet'!$E$12+1,1))</f>
        <v>382.09004346384319</v>
      </c>
      <c r="CE185" s="59">
        <f t="shared" si="148"/>
        <v>410.18893995284986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0.41975710312558051</v>
      </c>
      <c r="CL185" s="21">
        <f>EXP(-LN(2)/25)*CL184+(1-EXP(-LN(2)/25))/(LN(2)/25)*Calculateur!CG185*Calculateur!CI185*VLOOKUP('Données projet'!$B$12,Paramètres!$A$1:$I$89,3,0)*0.475*44/12</f>
        <v>0.50315099922442841</v>
      </c>
      <c r="CM185" s="21">
        <f>EXP(-LN(2)/2)*CM184+(1-EXP(-LN(2)/2))/(LN(2)/2)*CG185*CJ185*VLOOKUP('Données projet'!$B$12,Paramètres!$A$1:$I$89,3,0)*0.475*44/12</f>
        <v>3.3328663454826285E-22</v>
      </c>
      <c r="CN185" s="22">
        <f t="shared" si="172"/>
        <v>0.92290810235000897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363.02374534486341</v>
      </c>
      <c r="CZ185" s="59">
        <f t="shared" si="150"/>
        <v>489.00477393029598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0.36017253474539646</v>
      </c>
      <c r="DG185" s="21">
        <f>EXP(-LN(2)/25)*DG184+(1-EXP(-LN(2)/25))/(LN(2)/25)*Calculateur!DB185*Calculateur!DD185*VLOOKUP('Données projet'!$B$13,Paramètres!$A$1:$I$89,3,0)*0.475*44/12</f>
        <v>0.28621833709598987</v>
      </c>
      <c r="DH185" s="21">
        <f>EXP(-LN(2)/2)*DH184+(1-EXP(-LN(2)/2))/(LN(2)/2)*DB185*DE185*VLOOKUP('Données projet'!$B$13,Paramètres!$A$1:$I$89,3,0)*0.475*44/12</f>
        <v>3.8797999000477198E-22</v>
      </c>
      <c r="DI185" s="22">
        <f t="shared" si="175"/>
        <v>0.64639087184138633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-3.7509835237869992E-13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368.03281986807173</v>
      </c>
      <c r="DU185" s="59">
        <f t="shared" si="152"/>
        <v>395.83504504492248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0.12022804781984125</v>
      </c>
      <c r="EB185" s="21">
        <f>EXP(-LN(2)/25)*EB184+(1-EXP(-LN(2)/25))/(LN(2)/25)*Calculateur!DW185*Calculateur!DY185*VLOOKUP('Données projet'!$B$14,Paramètres!$A$1:$I$89,3,0)*0.475*44/12</f>
        <v>0.22679153602194393</v>
      </c>
      <c r="EC185" s="21">
        <f>EXP(-LN(2)/2)*EC184+(1-EXP(-LN(2)/2))/(LN(2)/2)*DW185*DZ185*VLOOKUP('Données projet'!$B$14,Paramètres!$A$1:$I$89,3,0)*0.475*44/12</f>
        <v>2.9320071676355251E-22</v>
      </c>
      <c r="ED185" s="22">
        <f t="shared" si="178"/>
        <v>0.34701958384178522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225.2264820414552</v>
      </c>
      <c r="EP185" s="59">
        <f t="shared" si="154"/>
        <v>249.91838548328681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0.10902183659732761</v>
      </c>
      <c r="EW185" s="21">
        <f>EXP(-LN(2)/25)*EW184+(1-EXP(-LN(2)/25))/(LN(2)/25)*Calculateur!ER185*Calculateur!ET185*VLOOKUP('Données projet'!$B$15,Paramètres!$A$1:$I$89,3,0)*0.475*44/12</f>
        <v>0.1279482242547571</v>
      </c>
      <c r="EX185" s="21">
        <f>EXP(-LN(2)/2)*EX184+(1-EXP(-LN(2)/2))/(LN(2)/2)*ER185*EU185*VLOOKUP('Données projet'!$B$15,Paramètres!$A$1:$I$89,3,0)*0.475*44/12</f>
        <v>5.3542045939150001E-23</v>
      </c>
      <c r="EY185" s="22">
        <f t="shared" si="181"/>
        <v>0.23697006085208472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-1.2505552149377763E-12</v>
      </c>
      <c r="FF185" s="17">
        <f>FE185*VLOOKUP('Données projet'!$B$16,Paramètres!$A$1:$I$89,3,0)*VLOOKUP('Données projet'!$B$16,Paramètres!$A$1:$I$89,5,0)</f>
        <v>-6.9906036515021697E-13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549.85684198202534</v>
      </c>
      <c r="FK185" s="59">
        <f t="shared" si="156"/>
        <v>539.63748606275431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0.56276958553968315</v>
      </c>
      <c r="FR185" s="21">
        <f>EXP(-LN(2)/25)*FR184+(1-EXP(-LN(2)/25))/(LN(2)/25)*Calculateur!FM185*Calculateur!FO185*VLOOKUP('Données projet'!$B$16,Paramètres!$A$1:$I$89,3,0)*0.475*44/12</f>
        <v>0.57294744238259265</v>
      </c>
      <c r="FS185" s="21">
        <f>EXP(-LN(2)/2)*FS184+(1-EXP(-LN(2)/2))/(LN(2)/2)*FM185*FP185*VLOOKUP('Données projet'!$B$16,Paramètres!$A$1:$I$89,3,0)*0.475*44/12</f>
        <v>4.8270146291239325E-22</v>
      </c>
      <c r="FT185" s="22">
        <f t="shared" si="184"/>
        <v>1.1357170279222757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-5.6843418860808015E-13</v>
      </c>
      <c r="GA185" s="17">
        <f>FZ185*VLOOKUP('Données projet'!$B$17,Paramètres!$A$1:$I$89,3,0)*VLOOKUP('Données projet'!$B$17,Paramètres!$A$1:$I$89,5,0)</f>
        <v>-3.39923644787632E-13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495.6641415122013</v>
      </c>
      <c r="GF185" s="59">
        <f t="shared" si="158"/>
        <v>488.90534169400757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0.19702884432425216</v>
      </c>
      <c r="GM185" s="21">
        <f>EXP(-LN(2)/25)*GM184+(1-EXP(-LN(2)/25))/(LN(2)/25)*Calculateur!GH185*Calculateur!GJ185*VLOOKUP('Données projet'!$B$17,Paramètres!$A$1:$I$89,3,0)*0.475*44/12</f>
        <v>0.38441120030471054</v>
      </c>
      <c r="GN185" s="21">
        <f>EXP(-LN(2)/2)*GN184+(1-EXP(-LN(2)/2))/(LN(2)/2)*GH185*GK185*VLOOKUP('Données projet'!$B$17,Paramètres!$A$1:$I$89,3,0)*0.475*44/12</f>
        <v>4.6003594701273857E-22</v>
      </c>
      <c r="GO185" s="21">
        <f t="shared" si="187"/>
        <v>0.5814400446289627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-5.6843418860808015E-13</v>
      </c>
      <c r="GV185" s="17">
        <f>GU185*VLOOKUP('Données projet'!$B$18,Paramètres!$A$1:$I$89,3,0)*VLOOKUP('Données projet'!$B$18,Paramètres!$A$1:$I$89,5,0)</f>
        <v>-3.39923644787632E-13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-18.333333333333343</v>
      </c>
      <c r="HA185" s="59">
        <f t="shared" si="160"/>
        <v>-18.333333333333343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0.19702884432425216</v>
      </c>
      <c r="HH185" s="21">
        <f>EXP(-LN(2)/25)*HH184+(1-EXP(-LN(2)/25))/(LN(2)/25)*Calculateur!HC185*Calculateur!HE185*VLOOKUP('Données projet'!$B$18,Paramètres!$A$1:$I$89,3,0)*0.475*44/12</f>
        <v>0.38441120030471054</v>
      </c>
      <c r="HI185" s="21">
        <f>EXP(-LN(2)/2)*HI184+(1-EXP(-LN(2)/2))/(LN(2)/2)*HC185*HF185*VLOOKUP('Données projet'!$B$18,Paramètres!$A$1:$I$89,3,0)*0.475*44/12</f>
        <v>4.6003594701273857E-22</v>
      </c>
      <c r="HJ185" s="22">
        <f t="shared" si="190"/>
        <v>0.5814400446289627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376.11581547534814</v>
      </c>
      <c r="T186" s="59">
        <f t="shared" si="142"/>
        <v>300.91675649863294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0.15144273921245158</v>
      </c>
      <c r="AA186" s="21">
        <f>EXP(-LN(2)/25)*AA185+(1-EXP(-LN(2)/25))/(LN(2)/25)*Calculateur!V186*Calculateur!X186*VLOOKUP('Données projet'!$B$9,Paramètres!$A$1:$I$89,3,0)*0.475*44/12</f>
        <v>0.11294533263232001</v>
      </c>
      <c r="AB186" s="21">
        <f>EXP(-LN(2)/2)*AB185+(1-EXP(-LN(2)/2))/(LN(2)/2)*V186*Y186*VLOOKUP('Données projet'!$B$9,Paramètres!$A$1:$I$89,3,0)*0.475*44/12</f>
        <v>9.2014230156902789E-23</v>
      </c>
      <c r="AC186" s="22">
        <f t="shared" si="163"/>
        <v>0.26438807184477159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-5.6843418860808015E-13</v>
      </c>
      <c r="AJ186" s="13">
        <f>AI186*VLOOKUP('Données projet'!$B$10,Paramètres!$A$1:$I$89,3,0)*VLOOKUP('Données projet'!$B$10,Paramètres!$A$1:$I$89,5,0)</f>
        <v>-5.1431925385259092E-13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505.38595282220405</v>
      </c>
      <c r="AO186" s="59">
        <f t="shared" si="144"/>
        <v>351.72130415456365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0.11636571999608183</v>
      </c>
      <c r="AV186" s="21">
        <f>EXP(-LN(2)/25)*AV185+(1-EXP(-LN(2)/25))/(LN(2)/25)*Calculateur!AQ186*Calculateur!AS186*VLOOKUP('Données projet'!$B$10,Paramètres!$A$1:$I$89,3,0)*0.475*44/12</f>
        <v>0.162223596193628</v>
      </c>
      <c r="AW186" s="21">
        <f>EXP(-LN(2)/2)*AW185+(1-EXP(-LN(2)/2))/(LN(2)/2)*AQ186*AT186*VLOOKUP('Données projet'!$B$10,Paramètres!$A$1:$I$89,3,0)*0.475*44/12</f>
        <v>2.0170647816954009E-22</v>
      </c>
      <c r="AX186" s="21">
        <f t="shared" si="166"/>
        <v>0.27858931618970983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-4.0702161641092972E-13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394.14657090341535</v>
      </c>
      <c r="BJ186" s="59">
        <f t="shared" si="146"/>
        <v>424.06445894109982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0.15764662246862945</v>
      </c>
      <c r="BQ186" s="21">
        <f>EXP(-LN(2)/25)*BQ185+(1-EXP(-LN(2)/25))/(LN(2)/25)*Calculateur!BL186*Calculateur!BN186*VLOOKUP('Données projet'!$B$11,Paramètres!$A$1:$I$89,3,0)*0.475*44/12</f>
        <v>0.29502945348573023</v>
      </c>
      <c r="BR186" s="21">
        <f>EXP(-LN(2)/2)*BR185+(1-EXP(-LN(2)/2))/(LN(2)/2)*BL186*BO186*VLOOKUP('Données projet'!$B$11,Paramètres!$A$1:$I$89,3,0)*0.475*44/12</f>
        <v>2.2496882912096484E-22</v>
      </c>
      <c r="BS186" s="22">
        <f t="shared" si="169"/>
        <v>0.45267607595435966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3.1036506698001181E-13</v>
      </c>
      <c r="CA186" s="13">
        <f t="shared" si="170"/>
        <v>4.086682523110923E-12</v>
      </c>
      <c r="CB186" s="20">
        <f t="shared" si="171"/>
        <v>7.6581912194083782E-12</v>
      </c>
      <c r="CC186" s="59">
        <f t="shared" si="119"/>
        <v>289.60612764012063</v>
      </c>
      <c r="CD186" s="59">
        <f ca="1">AVERAGE(OFFSET($CC$3,0,0,'Données projet'!$E$12+1,1))-AVERAGE(OFFSET($H$3,0,0,'Données projet'!$E$12+1,1))</f>
        <v>382.09004346384319</v>
      </c>
      <c r="CE186" s="59">
        <f t="shared" si="148"/>
        <v>410.18893995284986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0.41152592235984026</v>
      </c>
      <c r="CL186" s="21">
        <f>EXP(-LN(2)/25)*CL185+(1-EXP(-LN(2)/25))/(LN(2)/25)*Calculateur!CG186*Calculateur!CI186*VLOOKUP('Données projet'!$B$12,Paramètres!$A$1:$I$89,3,0)*0.475*44/12</f>
        <v>0.48939230869107531</v>
      </c>
      <c r="CM186" s="21">
        <f>EXP(-LN(2)/2)*CM185+(1-EXP(-LN(2)/2))/(LN(2)/2)*CG186*CJ186*VLOOKUP('Données projet'!$B$12,Paramètres!$A$1:$I$89,3,0)*0.475*44/12</f>
        <v>2.3566923936791933E-22</v>
      </c>
      <c r="CN186" s="22">
        <f t="shared" si="172"/>
        <v>0.90091823105091562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363.02374534486341</v>
      </c>
      <c r="CZ186" s="59">
        <f t="shared" si="150"/>
        <v>489.00477393029598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0.3531097710225935</v>
      </c>
      <c r="DG186" s="21">
        <f>EXP(-LN(2)/25)*DG185+(1-EXP(-LN(2)/25))/(LN(2)/25)*Calculateur!DB186*Calculateur!DD186*VLOOKUP('Données projet'!$B$13,Paramètres!$A$1:$I$89,3,0)*0.475*44/12</f>
        <v>0.27839168161653183</v>
      </c>
      <c r="DH186" s="21">
        <f>EXP(-LN(2)/2)*DH185+(1-EXP(-LN(2)/2))/(LN(2)/2)*DB186*DE186*VLOOKUP('Données projet'!$B$13,Paramètres!$A$1:$I$89,3,0)*0.475*44/12</f>
        <v>2.7434328189706319E-22</v>
      </c>
      <c r="DI186" s="22">
        <f t="shared" si="175"/>
        <v>0.63150145263912538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-3.7509835237869992E-13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368.03281986807173</v>
      </c>
      <c r="DU186" s="59">
        <f t="shared" si="152"/>
        <v>395.83504504492248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0.11787044913396241</v>
      </c>
      <c r="EB186" s="21">
        <f>EXP(-LN(2)/25)*EB185+(1-EXP(-LN(2)/25))/(LN(2)/25)*Calculateur!DW186*Calculateur!DY186*VLOOKUP('Données projet'!$B$14,Paramètres!$A$1:$I$89,3,0)*0.475*44/12</f>
        <v>0.22058990954297533</v>
      </c>
      <c r="EC186" s="21">
        <f>EXP(-LN(2)/2)*EC185+(1-EXP(-LN(2)/2))/(LN(2)/2)*DW186*DZ186*VLOOKUP('Données projet'!$B$14,Paramètres!$A$1:$I$89,3,0)*0.475*44/12</f>
        <v>2.0732421507226423E-22</v>
      </c>
      <c r="ED186" s="22">
        <f t="shared" si="178"/>
        <v>0.33846035867693774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225.2264820414552</v>
      </c>
      <c r="EP186" s="59">
        <f t="shared" si="154"/>
        <v>249.91838548328681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0.10688398487840833</v>
      </c>
      <c r="EW186" s="21">
        <f>EXP(-LN(2)/25)*EW185+(1-EXP(-LN(2)/25))/(LN(2)/25)*Calculateur!ER186*Calculateur!ET186*VLOOKUP('Données projet'!$B$15,Paramètres!$A$1:$I$89,3,0)*0.475*44/12</f>
        <v>0.12444947333400609</v>
      </c>
      <c r="EX186" s="21">
        <f>EXP(-LN(2)/2)*EX185+(1-EXP(-LN(2)/2))/(LN(2)/2)*ER186*EU186*VLOOKUP('Données projet'!$B$15,Paramètres!$A$1:$I$89,3,0)*0.475*44/12</f>
        <v>3.7859943762174616E-23</v>
      </c>
      <c r="EY186" s="22">
        <f t="shared" si="181"/>
        <v>0.23133345821241441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-1.2505552149377763E-12</v>
      </c>
      <c r="FF186" s="17">
        <f>FE186*VLOOKUP('Données projet'!$B$16,Paramètres!$A$1:$I$89,3,0)*VLOOKUP('Données projet'!$B$16,Paramètres!$A$1:$I$89,5,0)</f>
        <v>-6.9906036515021697E-13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549.85684198202534</v>
      </c>
      <c r="FK186" s="59">
        <f t="shared" si="156"/>
        <v>539.63748606275431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0.55173401722280346</v>
      </c>
      <c r="FR186" s="21">
        <f>EXP(-LN(2)/25)*FR185+(1-EXP(-LN(2)/25))/(LN(2)/25)*Calculateur!FM186*Calculateur!FO186*VLOOKUP('Données projet'!$B$16,Paramètres!$A$1:$I$89,3,0)*0.475*44/12</f>
        <v>0.5572801644406441</v>
      </c>
      <c r="FS186" s="21">
        <f>EXP(-LN(2)/2)*FS185+(1-EXP(-LN(2)/2))/(LN(2)/2)*FM186*FP186*VLOOKUP('Données projet'!$B$16,Paramètres!$A$1:$I$89,3,0)*0.475*44/12</f>
        <v>3.4132147771402004E-22</v>
      </c>
      <c r="FT186" s="22">
        <f t="shared" si="184"/>
        <v>1.1090141816634476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-5.6843418860808015E-13</v>
      </c>
      <c r="GA186" s="17">
        <f>FZ186*VLOOKUP('Données projet'!$B$17,Paramètres!$A$1:$I$89,3,0)*VLOOKUP('Données projet'!$B$17,Paramètres!$A$1:$I$89,5,0)</f>
        <v>-3.39923644787632E-13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495.6641415122013</v>
      </c>
      <c r="GF186" s="59">
        <f t="shared" si="158"/>
        <v>488.90534169400757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0.19316522886278226</v>
      </c>
      <c r="GM186" s="21">
        <f>EXP(-LN(2)/25)*GM185+(1-EXP(-LN(2)/25))/(LN(2)/25)*Calculateur!GH186*Calculateur!GJ186*VLOOKUP('Données projet'!$B$17,Paramètres!$A$1:$I$89,3,0)*0.475*44/12</f>
        <v>0.37389945581707179</v>
      </c>
      <c r="GN186" s="21">
        <f>EXP(-LN(2)/2)*GN185+(1-EXP(-LN(2)/2))/(LN(2)/2)*GH186*GK186*VLOOKUP('Données projet'!$B$17,Paramètres!$A$1:$I$89,3,0)*0.475*44/12</f>
        <v>3.2529453772228271E-22</v>
      </c>
      <c r="GO186" s="21">
        <f t="shared" si="187"/>
        <v>0.56706468467985405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-5.6843418860808015E-13</v>
      </c>
      <c r="GV186" s="17">
        <f>GU186*VLOOKUP('Données projet'!$B$18,Paramètres!$A$1:$I$89,3,0)*VLOOKUP('Données projet'!$B$18,Paramètres!$A$1:$I$89,5,0)</f>
        <v>-3.39923644787632E-13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-18.333333333333343</v>
      </c>
      <c r="HA186" s="59">
        <f t="shared" si="160"/>
        <v>-18.333333333333343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0.19316522886278226</v>
      </c>
      <c r="HH186" s="21">
        <f>EXP(-LN(2)/25)*HH185+(1-EXP(-LN(2)/25))/(LN(2)/25)*Calculateur!HC186*Calculateur!HE186*VLOOKUP('Données projet'!$B$18,Paramètres!$A$1:$I$89,3,0)*0.475*44/12</f>
        <v>0.37389945581707179</v>
      </c>
      <c r="HI186" s="21">
        <f>EXP(-LN(2)/2)*HI185+(1-EXP(-LN(2)/2))/(LN(2)/2)*HC186*HF186*VLOOKUP('Données projet'!$B$18,Paramètres!$A$1:$I$89,3,0)*0.475*44/12</f>
        <v>3.2529453772228271E-22</v>
      </c>
      <c r="HJ186" s="22">
        <f t="shared" si="190"/>
        <v>0.56706468467985405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376.11581547534814</v>
      </c>
      <c r="T187" s="59">
        <f t="shared" si="142"/>
        <v>300.91675649863294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0.14847303946744544</v>
      </c>
      <c r="AA187" s="21">
        <f>EXP(-LN(2)/25)*AA186+(1-EXP(-LN(2)/25))/(LN(2)/25)*Calculateur!V187*Calculateur!X187*VLOOKUP('Données projet'!$B$9,Paramètres!$A$1:$I$89,3,0)*0.475*44/12</f>
        <v>0.10985683657195232</v>
      </c>
      <c r="AB187" s="21">
        <f>EXP(-LN(2)/2)*AB186+(1-EXP(-LN(2)/2))/(LN(2)/2)*V187*Y187*VLOOKUP('Données projet'!$B$9,Paramètres!$A$1:$I$89,3,0)*0.475*44/12</f>
        <v>6.5063886109605682E-23</v>
      </c>
      <c r="AC187" s="22">
        <f t="shared" si="163"/>
        <v>0.25832987603939778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-5.6843418860808015E-13</v>
      </c>
      <c r="AJ187" s="13">
        <f>AI187*VLOOKUP('Données projet'!$B$10,Paramètres!$A$1:$I$89,3,0)*VLOOKUP('Données projet'!$B$10,Paramètres!$A$1:$I$89,5,0)</f>
        <v>-5.1431925385259092E-13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505.38595282220405</v>
      </c>
      <c r="AO187" s="59">
        <f t="shared" si="144"/>
        <v>351.72130415456365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0.11408385920303957</v>
      </c>
      <c r="AV187" s="21">
        <f>EXP(-LN(2)/25)*AV186+(1-EXP(-LN(2)/25))/(LN(2)/25)*Calculateur!AQ187*Calculateur!AS187*VLOOKUP('Données projet'!$B$10,Paramètres!$A$1:$I$89,3,0)*0.475*44/12</f>
        <v>0.15778758342474508</v>
      </c>
      <c r="AW187" s="21">
        <f>EXP(-LN(2)/2)*AW186+(1-EXP(-LN(2)/2))/(LN(2)/2)*AQ187*AT187*VLOOKUP('Données projet'!$B$10,Paramètres!$A$1:$I$89,3,0)*0.475*44/12</f>
        <v>1.4262801852293811E-22</v>
      </c>
      <c r="AX187" s="21">
        <f t="shared" si="166"/>
        <v>0.27187144262778462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-4.0702161641092972E-13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394.14657090341535</v>
      </c>
      <c r="BJ187" s="59">
        <f t="shared" si="146"/>
        <v>424.06445894109982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0.15455526835696481</v>
      </c>
      <c r="BQ187" s="21">
        <f>EXP(-LN(2)/25)*BQ186+(1-EXP(-LN(2)/25))/(LN(2)/25)*Calculateur!BL187*Calculateur!BN187*VLOOKUP('Données projet'!$B$11,Paramètres!$A$1:$I$89,3,0)*0.475*44/12</f>
        <v>0.28696185756523829</v>
      </c>
      <c r="BR187" s="21">
        <f>EXP(-LN(2)/2)*BR186+(1-EXP(-LN(2)/2))/(LN(2)/2)*BL187*BO187*VLOOKUP('Données projet'!$B$11,Paramètres!$A$1:$I$89,3,0)*0.475*44/12</f>
        <v>1.5907698462703189E-22</v>
      </c>
      <c r="BS187" s="22">
        <f t="shared" si="169"/>
        <v>0.4415171259222031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3.1036506698001181E-13</v>
      </c>
      <c r="CA187" s="13">
        <f t="shared" si="170"/>
        <v>4.086682523110923E-12</v>
      </c>
      <c r="CB187" s="20">
        <f t="shared" si="171"/>
        <v>7.6581912194083782E-12</v>
      </c>
      <c r="CC187" s="59">
        <f t="shared" si="119"/>
        <v>289.67078632611441</v>
      </c>
      <c r="CD187" s="59">
        <f ca="1">AVERAGE(OFFSET($CC$3,0,0,'Données projet'!$E$12+1,1))-AVERAGE(OFFSET($H$3,0,0,'Données projet'!$E$12+1,1))</f>
        <v>382.09004346384319</v>
      </c>
      <c r="CE187" s="59">
        <f t="shared" si="148"/>
        <v>410.18893995284986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0.40345615002839164</v>
      </c>
      <c r="CL187" s="21">
        <f>EXP(-LN(2)/25)*CL186+(1-EXP(-LN(2)/25))/(LN(2)/25)*Calculateur!CG187*Calculateur!CI187*VLOOKUP('Données projet'!$B$12,Paramètres!$A$1:$I$89,3,0)*0.475*44/12</f>
        <v>0.47600985027389486</v>
      </c>
      <c r="CM187" s="21">
        <f>EXP(-LN(2)/2)*CM186+(1-EXP(-LN(2)/2))/(LN(2)/2)*CG187*CJ187*VLOOKUP('Données projet'!$B$12,Paramètres!$A$1:$I$89,3,0)*0.475*44/12</f>
        <v>1.6664331727413142E-22</v>
      </c>
      <c r="CN187" s="22">
        <f t="shared" si="172"/>
        <v>0.8794660003022865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363.02374534486341</v>
      </c>
      <c r="CZ187" s="59">
        <f t="shared" si="150"/>
        <v>489.00477393029598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0.34618550378853419</v>
      </c>
      <c r="DG187" s="21">
        <f>EXP(-LN(2)/25)*DG186+(1-EXP(-LN(2)/25))/(LN(2)/25)*Calculateur!DB187*Calculateur!DD187*VLOOKUP('Données projet'!$B$13,Paramètres!$A$1:$I$89,3,0)*0.475*44/12</f>
        <v>0.27077904644274547</v>
      </c>
      <c r="DH187" s="21">
        <f>EXP(-LN(2)/2)*DH186+(1-EXP(-LN(2)/2))/(LN(2)/2)*DB187*DE187*VLOOKUP('Données projet'!$B$13,Paramètres!$A$1:$I$89,3,0)*0.475*44/12</f>
        <v>1.9398999500238599E-22</v>
      </c>
      <c r="DI187" s="22">
        <f t="shared" si="175"/>
        <v>0.61696455023127972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-3.7509835237869992E-13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368.03281986807173</v>
      </c>
      <c r="DU187" s="59">
        <f t="shared" si="152"/>
        <v>395.83504504492248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0.11555908152032045</v>
      </c>
      <c r="EB187" s="21">
        <f>EXP(-LN(2)/25)*EB186+(1-EXP(-LN(2)/25))/(LN(2)/25)*Calculateur!DW187*Calculateur!DY187*VLOOKUP('Données projet'!$B$14,Paramètres!$A$1:$I$89,3,0)*0.475*44/12</f>
        <v>0.21455786686620348</v>
      </c>
      <c r="EC187" s="21">
        <f>EXP(-LN(2)/2)*EC186+(1-EXP(-LN(2)/2))/(LN(2)/2)*DW187*DZ187*VLOOKUP('Données projet'!$B$14,Paramètres!$A$1:$I$89,3,0)*0.475*44/12</f>
        <v>1.4660035838177628E-22</v>
      </c>
      <c r="ED187" s="22">
        <f t="shared" si="178"/>
        <v>0.33011694838652395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225.2264820414552</v>
      </c>
      <c r="EP187" s="59">
        <f t="shared" si="154"/>
        <v>249.91838548328681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0.10478805512773627</v>
      </c>
      <c r="EW187" s="21">
        <f>EXP(-LN(2)/25)*EW186+(1-EXP(-LN(2)/25))/(LN(2)/25)*Calculateur!ER187*Calculateur!ET187*VLOOKUP('Données projet'!$B$15,Paramètres!$A$1:$I$89,3,0)*0.475*44/12</f>
        <v>0.12104639594117432</v>
      </c>
      <c r="EX187" s="21">
        <f>EXP(-LN(2)/2)*EX186+(1-EXP(-LN(2)/2))/(LN(2)/2)*ER187*EU187*VLOOKUP('Données projet'!$B$15,Paramètres!$A$1:$I$89,3,0)*0.475*44/12</f>
        <v>2.6771022969575001E-23</v>
      </c>
      <c r="EY187" s="22">
        <f t="shared" si="181"/>
        <v>0.22583445106891059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-1.2505552149377763E-12</v>
      </c>
      <c r="FF187" s="17">
        <f>FE187*VLOOKUP('Données projet'!$B$16,Paramètres!$A$1:$I$89,3,0)*VLOOKUP('Données projet'!$B$16,Paramètres!$A$1:$I$89,5,0)</f>
        <v>-6.9906036515021697E-13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549.85684198202534</v>
      </c>
      <c r="FK187" s="59">
        <f t="shared" si="156"/>
        <v>539.63748606275431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0.54091484966958581</v>
      </c>
      <c r="FR187" s="21">
        <f>EXP(-LN(2)/25)*FR186+(1-EXP(-LN(2)/25))/(LN(2)/25)*Calculateur!FM187*Calculateur!FO187*VLOOKUP('Données projet'!$B$16,Paramètres!$A$1:$I$89,3,0)*0.475*44/12</f>
        <v>0.54204130903792447</v>
      </c>
      <c r="FS187" s="21">
        <f>EXP(-LN(2)/2)*FS186+(1-EXP(-LN(2)/2))/(LN(2)/2)*FM187*FP187*VLOOKUP('Données projet'!$B$16,Paramètres!$A$1:$I$89,3,0)*0.475*44/12</f>
        <v>2.4135073145619662E-22</v>
      </c>
      <c r="FT187" s="22">
        <f t="shared" si="184"/>
        <v>1.0829561587075103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-5.6843418860808015E-13</v>
      </c>
      <c r="GA187" s="17">
        <f>FZ187*VLOOKUP('Données projet'!$B$17,Paramètres!$A$1:$I$89,3,0)*VLOOKUP('Données projet'!$B$17,Paramètres!$A$1:$I$89,5,0)</f>
        <v>-3.39923644787632E-13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495.6641415122013</v>
      </c>
      <c r="GF187" s="59">
        <f t="shared" si="158"/>
        <v>488.90534169400757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0.18937737654393902</v>
      </c>
      <c r="GM187" s="21">
        <f>EXP(-LN(2)/25)*GM186+(1-EXP(-LN(2)/25))/(LN(2)/25)*Calculateur!GH187*Calculateur!GJ187*VLOOKUP('Données projet'!$B$17,Paramètres!$A$1:$I$89,3,0)*0.475*44/12</f>
        <v>0.36367515553523616</v>
      </c>
      <c r="GN187" s="21">
        <f>EXP(-LN(2)/2)*GN186+(1-EXP(-LN(2)/2))/(LN(2)/2)*GH187*GK187*VLOOKUP('Données projet'!$B$17,Paramètres!$A$1:$I$89,3,0)*0.475*44/12</f>
        <v>2.3001797350636929E-22</v>
      </c>
      <c r="GO187" s="21">
        <f t="shared" si="187"/>
        <v>0.55305253207917515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-5.6843418860808015E-13</v>
      </c>
      <c r="GV187" s="17">
        <f>GU187*VLOOKUP('Données projet'!$B$18,Paramètres!$A$1:$I$89,3,0)*VLOOKUP('Données projet'!$B$18,Paramètres!$A$1:$I$89,5,0)</f>
        <v>-3.39923644787632E-13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-18.333333333333343</v>
      </c>
      <c r="HA187" s="59">
        <f t="shared" si="160"/>
        <v>-18.333333333333343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0.18937737654393902</v>
      </c>
      <c r="HH187" s="21">
        <f>EXP(-LN(2)/25)*HH186+(1-EXP(-LN(2)/25))/(LN(2)/25)*Calculateur!HC187*Calculateur!HE187*VLOOKUP('Données projet'!$B$18,Paramètres!$A$1:$I$89,3,0)*0.475*44/12</f>
        <v>0.36367515553523616</v>
      </c>
      <c r="HI187" s="21">
        <f>EXP(-LN(2)/2)*HI186+(1-EXP(-LN(2)/2))/(LN(2)/2)*HC187*HF187*VLOOKUP('Données projet'!$B$18,Paramètres!$A$1:$I$89,3,0)*0.475*44/12</f>
        <v>2.3001797350636929E-22</v>
      </c>
      <c r="HJ187" s="22">
        <f t="shared" si="190"/>
        <v>0.55305253207917515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376.11581547534814</v>
      </c>
      <c r="T188" s="59">
        <f t="shared" si="142"/>
        <v>300.91675649863294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0.14556157372310088</v>
      </c>
      <c r="AA188" s="21">
        <f>EXP(-LN(2)/25)*AA187+(1-EXP(-LN(2)/25))/(LN(2)/25)*Calculateur!V188*Calculateur!X188*VLOOKUP('Données projet'!$B$9,Paramètres!$A$1:$I$89,3,0)*0.475*44/12</f>
        <v>0.10685279559877232</v>
      </c>
      <c r="AB188" s="21">
        <f>EXP(-LN(2)/2)*AB187+(1-EXP(-LN(2)/2))/(LN(2)/2)*V188*Y188*VLOOKUP('Données projet'!$B$9,Paramètres!$A$1:$I$89,3,0)*0.475*44/12</f>
        <v>4.6007115078451394E-23</v>
      </c>
      <c r="AC188" s="22">
        <f t="shared" si="163"/>
        <v>0.25241436932187322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-5.6843418860808015E-13</v>
      </c>
      <c r="AJ188" s="13">
        <f>AI188*VLOOKUP('Données projet'!$B$10,Paramètres!$A$1:$I$89,3,0)*VLOOKUP('Données projet'!$B$10,Paramètres!$A$1:$I$89,5,0)</f>
        <v>-5.1431925385259092E-13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505.38595282220405</v>
      </c>
      <c r="AO188" s="59">
        <f t="shared" si="144"/>
        <v>351.72130415456365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0.1118467443083512</v>
      </c>
      <c r="AV188" s="21">
        <f>EXP(-LN(2)/25)*AV187+(1-EXP(-LN(2)/25))/(LN(2)/25)*Calculateur!AQ188*Calculateur!AS188*VLOOKUP('Données projet'!$B$10,Paramètres!$A$1:$I$89,3,0)*0.475*44/12</f>
        <v>0.15347287365830703</v>
      </c>
      <c r="AW188" s="21">
        <f>EXP(-LN(2)/2)*AW187+(1-EXP(-LN(2)/2))/(LN(2)/2)*AQ188*AT188*VLOOKUP('Données projet'!$B$10,Paramètres!$A$1:$I$89,3,0)*0.475*44/12</f>
        <v>1.0085323908477004E-22</v>
      </c>
      <c r="AX188" s="21">
        <f t="shared" si="166"/>
        <v>0.26531961796665826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-4.0702161641092972E-13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394.14657090341535</v>
      </c>
      <c r="BJ188" s="59">
        <f t="shared" si="146"/>
        <v>424.06445894109982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0.15152453381389011</v>
      </c>
      <c r="BQ188" s="21">
        <f>EXP(-LN(2)/25)*BQ187+(1-EXP(-LN(2)/25))/(LN(2)/25)*Calculateur!BL188*Calculateur!BN188*VLOOKUP('Données projet'!$B$11,Paramètres!$A$1:$I$89,3,0)*0.475*44/12</f>
        <v>0.27911487047944861</v>
      </c>
      <c r="BR188" s="21">
        <f>EXP(-LN(2)/2)*BR187+(1-EXP(-LN(2)/2))/(LN(2)/2)*BL188*BO188*VLOOKUP('Données projet'!$B$11,Paramètres!$A$1:$I$89,3,0)*0.475*44/12</f>
        <v>1.1248441456048242E-22</v>
      </c>
      <c r="BS188" s="22">
        <f t="shared" si="169"/>
        <v>0.43063940429333869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3.1036506698001181E-13</v>
      </c>
      <c r="CA188" s="13">
        <f t="shared" si="170"/>
        <v>4.086682523110923E-12</v>
      </c>
      <c r="CB188" s="20">
        <f t="shared" si="171"/>
        <v>7.6581912194083782E-12</v>
      </c>
      <c r="CC188" s="59">
        <f t="shared" si="119"/>
        <v>289.73432332846141</v>
      </c>
      <c r="CD188" s="59">
        <f ca="1">AVERAGE(OFFSET($CC$3,0,0,'Données projet'!$E$12+1,1))-AVERAGE(OFFSET($H$3,0,0,'Données projet'!$E$12+1,1))</f>
        <v>382.09004346384319</v>
      </c>
      <c r="CE188" s="59">
        <f t="shared" si="148"/>
        <v>410.18893995284986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0.39554462101028764</v>
      </c>
      <c r="CL188" s="21">
        <f>EXP(-LN(2)/25)*CL187+(1-EXP(-LN(2)/25))/(LN(2)/25)*Calculateur!CG188*Calculateur!CI188*VLOOKUP('Données projet'!$B$12,Paramètres!$A$1:$I$89,3,0)*0.475*44/12</f>
        <v>0.46299333588588509</v>
      </c>
      <c r="CM188" s="21">
        <f>EXP(-LN(2)/2)*CM187+(1-EXP(-LN(2)/2))/(LN(2)/2)*CG188*CJ188*VLOOKUP('Données projet'!$B$12,Paramètres!$A$1:$I$89,3,0)*0.475*44/12</f>
        <v>1.1783461968395966E-22</v>
      </c>
      <c r="CN188" s="22">
        <f t="shared" si="172"/>
        <v>0.85853795689617274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363.02374534486341</v>
      </c>
      <c r="CZ188" s="59">
        <f t="shared" si="150"/>
        <v>489.00477393029598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0.3393970172115488</v>
      </c>
      <c r="DG188" s="21">
        <f>EXP(-LN(2)/25)*DG187+(1-EXP(-LN(2)/25))/(LN(2)/25)*Calculateur!DB188*Calculateur!DD188*VLOOKUP('Données projet'!$B$13,Paramètres!$A$1:$I$89,3,0)*0.475*44/12</f>
        <v>0.26337457917811741</v>
      </c>
      <c r="DH188" s="21">
        <f>EXP(-LN(2)/2)*DH187+(1-EXP(-LN(2)/2))/(LN(2)/2)*DB188*DE188*VLOOKUP('Données projet'!$B$13,Paramètres!$A$1:$I$89,3,0)*0.475*44/12</f>
        <v>1.371716409485316E-22</v>
      </c>
      <c r="DI188" s="22">
        <f t="shared" si="175"/>
        <v>0.60277159638966626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-3.7509835237869992E-13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368.03281986807173</v>
      </c>
      <c r="DU188" s="59">
        <f t="shared" si="152"/>
        <v>395.83504504492248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0.11329303841578696</v>
      </c>
      <c r="EB188" s="21">
        <f>EXP(-LN(2)/25)*EB187+(1-EXP(-LN(2)/25))/(LN(2)/25)*Calculateur!DW188*Calculateur!DY188*VLOOKUP('Données projet'!$B$14,Paramètres!$A$1:$I$89,3,0)*0.475*44/12</f>
        <v>0.20869077071363931</v>
      </c>
      <c r="EC188" s="21">
        <f>EXP(-LN(2)/2)*EC187+(1-EXP(-LN(2)/2))/(LN(2)/2)*DW188*DZ188*VLOOKUP('Données projet'!$B$14,Paramètres!$A$1:$I$89,3,0)*0.475*44/12</f>
        <v>1.0366210753613214E-22</v>
      </c>
      <c r="ED188" s="22">
        <f t="shared" si="178"/>
        <v>0.32198380912942626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225.2264820414552</v>
      </c>
      <c r="EP188" s="59">
        <f t="shared" si="154"/>
        <v>249.91838548328681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0.10273322528108397</v>
      </c>
      <c r="EW188" s="21">
        <f>EXP(-LN(2)/25)*EW187+(1-EXP(-LN(2)/25))/(LN(2)/25)*Calculateur!ER188*Calculateur!ET188*VLOOKUP('Données projet'!$B$15,Paramètres!$A$1:$I$89,3,0)*0.475*44/12</f>
        <v>0.11773637587860961</v>
      </c>
      <c r="EX188" s="21">
        <f>EXP(-LN(2)/2)*EX187+(1-EXP(-LN(2)/2))/(LN(2)/2)*ER188*EU188*VLOOKUP('Données projet'!$B$15,Paramètres!$A$1:$I$89,3,0)*0.475*44/12</f>
        <v>1.8929971881087308E-23</v>
      </c>
      <c r="EY188" s="22">
        <f t="shared" si="181"/>
        <v>0.22046960115969358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-1.2505552149377763E-12</v>
      </c>
      <c r="FF188" s="17">
        <f>FE188*VLOOKUP('Données projet'!$B$16,Paramètres!$A$1:$I$89,3,0)*VLOOKUP('Données projet'!$B$16,Paramètres!$A$1:$I$89,5,0)</f>
        <v>-6.9906036515021697E-13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549.85684198202534</v>
      </c>
      <c r="FK188" s="59">
        <f t="shared" si="156"/>
        <v>539.63748606275431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0.53030783939304604</v>
      </c>
      <c r="FR188" s="21">
        <f>EXP(-LN(2)/25)*FR187+(1-EXP(-LN(2)/25))/(LN(2)/25)*Calculateur!FM188*Calculateur!FO188*VLOOKUP('Données projet'!$B$16,Paramètres!$A$1:$I$89,3,0)*0.475*44/12</f>
        <v>0.52721916093756882</v>
      </c>
      <c r="FS188" s="21">
        <f>EXP(-LN(2)/2)*FS187+(1-EXP(-LN(2)/2))/(LN(2)/2)*FM188*FP188*VLOOKUP('Données projet'!$B$16,Paramètres!$A$1:$I$89,3,0)*0.475*44/12</f>
        <v>1.7066073885701002E-22</v>
      </c>
      <c r="FT188" s="22">
        <f t="shared" si="184"/>
        <v>1.057527000330615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-5.6843418860808015E-13</v>
      </c>
      <c r="GA188" s="17">
        <f>FZ188*VLOOKUP('Données projet'!$B$17,Paramètres!$A$1:$I$89,3,0)*VLOOKUP('Données projet'!$B$17,Paramètres!$A$1:$I$89,5,0)</f>
        <v>-3.39923644787632E-13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495.6641415122013</v>
      </c>
      <c r="GF188" s="59">
        <f t="shared" si="158"/>
        <v>488.90534169400757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0.18566380169870653</v>
      </c>
      <c r="GM188" s="21">
        <f>EXP(-LN(2)/25)*GM187+(1-EXP(-LN(2)/25))/(LN(2)/25)*Calculateur!GH188*Calculateur!GJ188*VLOOKUP('Données projet'!$B$17,Paramètres!$A$1:$I$89,3,0)*0.475*44/12</f>
        <v>0.35373043928227987</v>
      </c>
      <c r="GN188" s="21">
        <f>EXP(-LN(2)/2)*GN187+(1-EXP(-LN(2)/2))/(LN(2)/2)*GH188*GK188*VLOOKUP('Données projet'!$B$17,Paramètres!$A$1:$I$89,3,0)*0.475*44/12</f>
        <v>1.6264726886114136E-22</v>
      </c>
      <c r="GO188" s="21">
        <f t="shared" si="187"/>
        <v>0.53939424098098643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-5.6843418860808015E-13</v>
      </c>
      <c r="GV188" s="17">
        <f>GU188*VLOOKUP('Données projet'!$B$18,Paramètres!$A$1:$I$89,3,0)*VLOOKUP('Données projet'!$B$18,Paramètres!$A$1:$I$89,5,0)</f>
        <v>-3.39923644787632E-13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-18.333333333333343</v>
      </c>
      <c r="HA188" s="59">
        <f t="shared" si="160"/>
        <v>-18.333333333333343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0.18566380169870653</v>
      </c>
      <c r="HH188" s="21">
        <f>EXP(-LN(2)/25)*HH187+(1-EXP(-LN(2)/25))/(LN(2)/25)*Calculateur!HC188*Calculateur!HE188*VLOOKUP('Données projet'!$B$18,Paramètres!$A$1:$I$89,3,0)*0.475*44/12</f>
        <v>0.35373043928227987</v>
      </c>
      <c r="HI188" s="21">
        <f>EXP(-LN(2)/2)*HI187+(1-EXP(-LN(2)/2))/(LN(2)/2)*HC188*HF188*VLOOKUP('Données projet'!$B$18,Paramètres!$A$1:$I$89,3,0)*0.475*44/12</f>
        <v>1.6264726886114136E-22</v>
      </c>
      <c r="HJ188" s="22">
        <f t="shared" si="190"/>
        <v>0.53939424098098643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376.11581547534814</v>
      </c>
      <c r="T189" s="59">
        <f t="shared" si="142"/>
        <v>300.91675649863294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0.14270720004618417</v>
      </c>
      <c r="AA189" s="21">
        <f>EXP(-LN(2)/25)*AA188+(1-EXP(-LN(2)/25))/(LN(2)/25)*Calculateur!V189*Calculateur!X189*VLOOKUP('Données projet'!$B$9,Paramètres!$A$1:$I$89,3,0)*0.475*44/12</f>
        <v>0.10393090028397958</v>
      </c>
      <c r="AB189" s="21">
        <f>EXP(-LN(2)/2)*AB188+(1-EXP(-LN(2)/2))/(LN(2)/2)*V189*Y189*VLOOKUP('Données projet'!$B$9,Paramètres!$A$1:$I$89,3,0)*0.475*44/12</f>
        <v>3.2531943054802841E-23</v>
      </c>
      <c r="AC189" s="22">
        <f t="shared" si="163"/>
        <v>0.24663810033016376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-5.6843418860808015E-13</v>
      </c>
      <c r="AJ189" s="13">
        <f>AI189*VLOOKUP('Données projet'!$B$10,Paramètres!$A$1:$I$89,3,0)*VLOOKUP('Données projet'!$B$10,Paramètres!$A$1:$I$89,5,0)</f>
        <v>-5.1431925385259092E-13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505.38595282220405</v>
      </c>
      <c r="AO189" s="59">
        <f t="shared" si="144"/>
        <v>351.72130415456365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0.10965349787224232</v>
      </c>
      <c r="AV189" s="21">
        <f>EXP(-LN(2)/25)*AV188+(1-EXP(-LN(2)/25))/(LN(2)/25)*Calculateur!AQ189*Calculateur!AS189*VLOOKUP('Données projet'!$B$10,Paramètres!$A$1:$I$89,3,0)*0.475*44/12</f>
        <v>0.14927614985733295</v>
      </c>
      <c r="AW189" s="21">
        <f>EXP(-LN(2)/2)*AW188+(1-EXP(-LN(2)/2))/(LN(2)/2)*AQ189*AT189*VLOOKUP('Données projet'!$B$10,Paramètres!$A$1:$I$89,3,0)*0.475*44/12</f>
        <v>7.1314009261469053E-23</v>
      </c>
      <c r="AX189" s="21">
        <f t="shared" si="166"/>
        <v>0.25892964772957527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-4.0702161641092972E-13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394.14657090341535</v>
      </c>
      <c r="BJ189" s="59">
        <f t="shared" si="146"/>
        <v>424.06445894109982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0.14855323012663954</v>
      </c>
      <c r="BQ189" s="21">
        <f>EXP(-LN(2)/25)*BQ188+(1-EXP(-LN(2)/25))/(LN(2)/25)*Calculateur!BL189*Calculateur!BN189*VLOOKUP('Données projet'!$B$11,Paramètres!$A$1:$I$89,3,0)*0.475*44/12</f>
        <v>0.27148245966817497</v>
      </c>
      <c r="BR189" s="21">
        <f>EXP(-LN(2)/2)*BR188+(1-EXP(-LN(2)/2))/(LN(2)/2)*BL189*BO189*VLOOKUP('Données projet'!$B$11,Paramètres!$A$1:$I$89,3,0)*0.475*44/12</f>
        <v>7.9538492313515944E-23</v>
      </c>
      <c r="BS189" s="22">
        <f t="shared" si="169"/>
        <v>0.42003568979481454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3.1036506698001181E-13</v>
      </c>
      <c r="CA189" s="13">
        <f t="shared" si="170"/>
        <v>4.086682523110923E-12</v>
      </c>
      <c r="CB189" s="20">
        <f t="shared" si="171"/>
        <v>7.6581912194083782E-12</v>
      </c>
      <c r="CC189" s="59">
        <f t="shared" si="119"/>
        <v>289.79675810586508</v>
      </c>
      <c r="CD189" s="59">
        <f ca="1">AVERAGE(OFFSET($CC$3,0,0,'Données projet'!$E$12+1,1))-AVERAGE(OFFSET($H$3,0,0,'Données projet'!$E$12+1,1))</f>
        <v>382.09004346384319</v>
      </c>
      <c r="CE189" s="59">
        <f t="shared" si="148"/>
        <v>410.18893995284986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0.38778823225067244</v>
      </c>
      <c r="CL189" s="21">
        <f>EXP(-LN(2)/25)*CL188+(1-EXP(-LN(2)/25))/(LN(2)/25)*Calculateur!CG189*Calculateur!CI189*VLOOKUP('Données projet'!$B$12,Paramètres!$A$1:$I$89,3,0)*0.475*44/12</f>
        <v>0.45033275876832424</v>
      </c>
      <c r="CM189" s="21">
        <f>EXP(-LN(2)/2)*CM188+(1-EXP(-LN(2)/2))/(LN(2)/2)*CG189*CJ189*VLOOKUP('Données projet'!$B$12,Paramètres!$A$1:$I$89,3,0)*0.475*44/12</f>
        <v>8.3321658637065712E-23</v>
      </c>
      <c r="CN189" s="22">
        <f t="shared" si="172"/>
        <v>0.83812099101899662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363.02374534486341</v>
      </c>
      <c r="CZ189" s="59">
        <f t="shared" si="150"/>
        <v>489.00477393029598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0.33274164871577011</v>
      </c>
      <c r="DG189" s="21">
        <f>EXP(-LN(2)/25)*DG188+(1-EXP(-LN(2)/25))/(LN(2)/25)*Calculateur!DB189*Calculateur!DD189*VLOOKUP('Données projet'!$B$13,Paramètres!$A$1:$I$89,3,0)*0.475*44/12</f>
        <v>0.25617258746022464</v>
      </c>
      <c r="DH189" s="21">
        <f>EXP(-LN(2)/2)*DH188+(1-EXP(-LN(2)/2))/(LN(2)/2)*DB189*DE189*VLOOKUP('Données projet'!$B$13,Paramètres!$A$1:$I$89,3,0)*0.475*44/12</f>
        <v>9.6994997501192995E-23</v>
      </c>
      <c r="DI189" s="22">
        <f t="shared" si="175"/>
        <v>0.5889142361759947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-3.7509835237869992E-13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368.03281986807173</v>
      </c>
      <c r="DU189" s="59">
        <f t="shared" si="152"/>
        <v>395.83504504492248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0.11107143103438356</v>
      </c>
      <c r="EB189" s="21">
        <f>EXP(-LN(2)/25)*EB188+(1-EXP(-LN(2)/25))/(LN(2)/25)*Calculateur!DW189*Calculateur!DY189*VLOOKUP('Données projet'!$B$14,Paramètres!$A$1:$I$89,3,0)*0.475*44/12</f>
        <v>0.20298411061390417</v>
      </c>
      <c r="EC189" s="21">
        <f>EXP(-LN(2)/2)*EC188+(1-EXP(-LN(2)/2))/(LN(2)/2)*DW189*DZ189*VLOOKUP('Données projet'!$B$14,Paramètres!$A$1:$I$89,3,0)*0.475*44/12</f>
        <v>7.3300179190888151E-23</v>
      </c>
      <c r="ED189" s="22">
        <f t="shared" si="178"/>
        <v>0.31405554164828775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225.2264820414552</v>
      </c>
      <c r="EP189" s="59">
        <f t="shared" si="154"/>
        <v>249.91838548328681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0.10071868939440207</v>
      </c>
      <c r="EW189" s="21">
        <f>EXP(-LN(2)/25)*EW188+(1-EXP(-LN(2)/25))/(LN(2)/25)*Calculateur!ER189*Calculateur!ET189*VLOOKUP('Données projet'!$B$15,Paramètres!$A$1:$I$89,3,0)*0.475*44/12</f>
        <v>0.11451686848872211</v>
      </c>
      <c r="EX189" s="21">
        <f>EXP(-LN(2)/2)*EX188+(1-EXP(-LN(2)/2))/(LN(2)/2)*ER189*EU189*VLOOKUP('Données projet'!$B$15,Paramètres!$A$1:$I$89,3,0)*0.475*44/12</f>
        <v>1.33855114847875E-23</v>
      </c>
      <c r="EY189" s="22">
        <f t="shared" si="181"/>
        <v>0.21523555788312418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-1.2505552149377763E-12</v>
      </c>
      <c r="FF189" s="17">
        <f>FE189*VLOOKUP('Données projet'!$B$16,Paramètres!$A$1:$I$89,3,0)*VLOOKUP('Données projet'!$B$16,Paramètres!$A$1:$I$89,5,0)</f>
        <v>-6.9906036515021697E-13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549.85684198202534</v>
      </c>
      <c r="FK189" s="59">
        <f t="shared" si="156"/>
        <v>539.63748606275431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0.51990882611839184</v>
      </c>
      <c r="FR189" s="21">
        <f>EXP(-LN(2)/25)*FR188+(1-EXP(-LN(2)/25))/(LN(2)/25)*Calculateur!FM189*Calculateur!FO189*VLOOKUP('Données projet'!$B$16,Paramètres!$A$1:$I$89,3,0)*0.475*44/12</f>
        <v>0.51280232525648028</v>
      </c>
      <c r="FS189" s="21">
        <f>EXP(-LN(2)/2)*FS188+(1-EXP(-LN(2)/2))/(LN(2)/2)*FM189*FP189*VLOOKUP('Données projet'!$B$16,Paramètres!$A$1:$I$89,3,0)*0.475*44/12</f>
        <v>1.2067536572809831E-22</v>
      </c>
      <c r="FT189" s="22">
        <f t="shared" si="184"/>
        <v>1.0327111513748721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-5.6843418860808015E-13</v>
      </c>
      <c r="GA189" s="17">
        <f>FZ189*VLOOKUP('Données projet'!$B$17,Paramètres!$A$1:$I$89,3,0)*VLOOKUP('Données projet'!$B$17,Paramètres!$A$1:$I$89,5,0)</f>
        <v>-3.39923644787632E-13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495.6641415122013</v>
      </c>
      <c r="GF189" s="59">
        <f t="shared" si="158"/>
        <v>488.90534169400757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0.18202304779113204</v>
      </c>
      <c r="GM189" s="21">
        <f>EXP(-LN(2)/25)*GM188+(1-EXP(-LN(2)/25))/(LN(2)/25)*Calculateur!GH189*Calculateur!GJ189*VLOOKUP('Données projet'!$B$17,Paramètres!$A$1:$I$89,3,0)*0.475*44/12</f>
        <v>0.34405766181823061</v>
      </c>
      <c r="GN189" s="21">
        <f>EXP(-LN(2)/2)*GN188+(1-EXP(-LN(2)/2))/(LN(2)/2)*GH189*GK189*VLOOKUP('Données projet'!$B$17,Paramètres!$A$1:$I$89,3,0)*0.475*44/12</f>
        <v>1.1500898675318464E-22</v>
      </c>
      <c r="GO189" s="21">
        <f t="shared" si="187"/>
        <v>0.52608070960936271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-5.6843418860808015E-13</v>
      </c>
      <c r="GV189" s="17">
        <f>GU189*VLOOKUP('Données projet'!$B$18,Paramètres!$A$1:$I$89,3,0)*VLOOKUP('Données projet'!$B$18,Paramètres!$A$1:$I$89,5,0)</f>
        <v>-3.39923644787632E-13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-18.333333333333343</v>
      </c>
      <c r="HA189" s="59">
        <f t="shared" si="160"/>
        <v>-18.333333333333343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0.18202304779113204</v>
      </c>
      <c r="HH189" s="21">
        <f>EXP(-LN(2)/25)*HH188+(1-EXP(-LN(2)/25))/(LN(2)/25)*Calculateur!HC189*Calculateur!HE189*VLOOKUP('Données projet'!$B$18,Paramètres!$A$1:$I$89,3,0)*0.475*44/12</f>
        <v>0.34405766181823061</v>
      </c>
      <c r="HI189" s="21">
        <f>EXP(-LN(2)/2)*HI188+(1-EXP(-LN(2)/2))/(LN(2)/2)*HC189*HF189*VLOOKUP('Données projet'!$B$18,Paramètres!$A$1:$I$89,3,0)*0.475*44/12</f>
        <v>1.1500898675318464E-22</v>
      </c>
      <c r="HJ189" s="22">
        <f t="shared" si="190"/>
        <v>0.52608070960936271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376.11581547534814</v>
      </c>
      <c r="T190" s="59">
        <f t="shared" si="142"/>
        <v>300.91675649863294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0.13990879889607577</v>
      </c>
      <c r="AA190" s="21">
        <f>EXP(-LN(2)/25)*AA189+(1-EXP(-LN(2)/25))/(LN(2)/25)*Calculateur!V190*Calculateur!X190*VLOOKUP('Données projet'!$B$9,Paramètres!$A$1:$I$89,3,0)*0.475*44/12</f>
        <v>0.10108890435022565</v>
      </c>
      <c r="AB190" s="21">
        <f>EXP(-LN(2)/2)*AB189+(1-EXP(-LN(2)/2))/(LN(2)/2)*V190*Y190*VLOOKUP('Données projet'!$B$9,Paramètres!$A$1:$I$89,3,0)*0.475*44/12</f>
        <v>2.3003557539225697E-23</v>
      </c>
      <c r="AC190" s="22">
        <f t="shared" si="163"/>
        <v>0.24099770324630143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-5.6843418860808015E-13</v>
      </c>
      <c r="AJ190" s="13">
        <f>AI190*VLOOKUP('Données projet'!$B$10,Paramètres!$A$1:$I$89,3,0)*VLOOKUP('Données projet'!$B$10,Paramètres!$A$1:$I$89,5,0)</f>
        <v>-5.1431925385259092E-13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505.38595282220405</v>
      </c>
      <c r="AO190" s="59">
        <f t="shared" si="144"/>
        <v>351.72130415456365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0.1075032596609973</v>
      </c>
      <c r="AV190" s="21">
        <f>EXP(-LN(2)/25)*AV189+(1-EXP(-LN(2)/25))/(LN(2)/25)*Calculateur!AQ190*Calculateur!AS190*VLOOKUP('Données projet'!$B$10,Paramètres!$A$1:$I$89,3,0)*0.475*44/12</f>
        <v>0.14519418568939263</v>
      </c>
      <c r="AW190" s="21">
        <f>EXP(-LN(2)/2)*AW189+(1-EXP(-LN(2)/2))/(LN(2)/2)*AQ190*AT190*VLOOKUP('Données projet'!$B$10,Paramètres!$A$1:$I$89,3,0)*0.475*44/12</f>
        <v>5.0426619542385022E-23</v>
      </c>
      <c r="AX190" s="21">
        <f t="shared" si="166"/>
        <v>0.25269744535038996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-4.0702161641092972E-13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394.14657090341535</v>
      </c>
      <c r="BJ190" s="59">
        <f t="shared" si="146"/>
        <v>424.06445894109982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0.14564019189237967</v>
      </c>
      <c r="BQ190" s="21">
        <f>EXP(-LN(2)/25)*BQ189+(1-EXP(-LN(2)/25))/(LN(2)/25)*Calculateur!BL190*Calculateur!BN190*VLOOKUP('Données projet'!$B$11,Paramètres!$A$1:$I$89,3,0)*0.475*44/12</f>
        <v>0.26405875753190666</v>
      </c>
      <c r="BR190" s="21">
        <f>EXP(-LN(2)/2)*BR189+(1-EXP(-LN(2)/2))/(LN(2)/2)*BL190*BO190*VLOOKUP('Données projet'!$B$11,Paramètres!$A$1:$I$89,3,0)*0.475*44/12</f>
        <v>5.624220728024121E-23</v>
      </c>
      <c r="BS190" s="22">
        <f t="shared" si="169"/>
        <v>0.40969894942428631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3.1036506698001181E-13</v>
      </c>
      <c r="CA190" s="13">
        <f t="shared" si="170"/>
        <v>4.086682523110923E-12</v>
      </c>
      <c r="CB190" s="20">
        <f t="shared" si="171"/>
        <v>7.6581912194083782E-12</v>
      </c>
      <c r="CC190" s="59">
        <f t="shared" si="119"/>
        <v>289.85810977946409</v>
      </c>
      <c r="CD190" s="59">
        <f ca="1">AVERAGE(OFFSET($CC$3,0,0,'Données projet'!$E$12+1,1))-AVERAGE(OFFSET($H$3,0,0,'Données projet'!$E$12+1,1))</f>
        <v>382.09004346384319</v>
      </c>
      <c r="CE190" s="59">
        <f t="shared" si="148"/>
        <v>410.18893995284986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0.38018394154370327</v>
      </c>
      <c r="CL190" s="21">
        <f>EXP(-LN(2)/25)*CL189+(1-EXP(-LN(2)/25))/(LN(2)/25)*Calculateur!CG190*Calculateur!CI190*VLOOKUP('Données projet'!$B$12,Paramètres!$A$1:$I$89,3,0)*0.475*44/12</f>
        <v>0.43801838579783386</v>
      </c>
      <c r="CM190" s="21">
        <f>EXP(-LN(2)/2)*CM189+(1-EXP(-LN(2)/2))/(LN(2)/2)*CG190*CJ190*VLOOKUP('Données projet'!$B$12,Paramètres!$A$1:$I$89,3,0)*0.475*44/12</f>
        <v>5.8917309841979832E-23</v>
      </c>
      <c r="CN190" s="22">
        <f t="shared" si="172"/>
        <v>0.81820232734153708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363.02374534486341</v>
      </c>
      <c r="CZ190" s="59">
        <f t="shared" si="150"/>
        <v>489.00477393029598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0.32621678793681969</v>
      </c>
      <c r="DG190" s="21">
        <f>EXP(-LN(2)/25)*DG189+(1-EXP(-LN(2)/25))/(LN(2)/25)*Calculateur!DB190*Calculateur!DD190*VLOOKUP('Données projet'!$B$13,Paramètres!$A$1:$I$89,3,0)*0.475*44/12</f>
        <v>0.24916753458459392</v>
      </c>
      <c r="DH190" s="21">
        <f>EXP(-LN(2)/2)*DH189+(1-EXP(-LN(2)/2))/(LN(2)/2)*DB190*DE190*VLOOKUP('Données projet'!$B$13,Paramètres!$A$1:$I$89,3,0)*0.475*44/12</f>
        <v>6.8585820474265798E-23</v>
      </c>
      <c r="DI190" s="22">
        <f t="shared" si="175"/>
        <v>0.57538432252141358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-3.7509835237869992E-13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368.03281986807173</v>
      </c>
      <c r="DU190" s="59">
        <f t="shared" si="152"/>
        <v>395.83504504492248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0.10889338801868279</v>
      </c>
      <c r="EB190" s="21">
        <f>EXP(-LN(2)/25)*EB189+(1-EXP(-LN(2)/25))/(LN(2)/25)*Calculateur!DW190*Calculateur!DY190*VLOOKUP('Données projet'!$B$14,Paramètres!$A$1:$I$89,3,0)*0.475*44/12</f>
        <v>0.19743349943469651</v>
      </c>
      <c r="EC190" s="21">
        <f>EXP(-LN(2)/2)*EC189+(1-EXP(-LN(2)/2))/(LN(2)/2)*DW190*DZ190*VLOOKUP('Données projet'!$B$14,Paramètres!$A$1:$I$89,3,0)*0.475*44/12</f>
        <v>5.1831053768066074E-23</v>
      </c>
      <c r="ED190" s="22">
        <f t="shared" si="178"/>
        <v>0.30632688745337933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225.2264820414552</v>
      </c>
      <c r="EP190" s="59">
        <f t="shared" si="154"/>
        <v>249.91838548328681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9.8743657327712439E-2</v>
      </c>
      <c r="EW190" s="21">
        <f>EXP(-LN(2)/25)*EW189+(1-EXP(-LN(2)/25))/(LN(2)/25)*Calculateur!ER190*Calculateur!ET190*VLOOKUP('Données projet'!$B$15,Paramètres!$A$1:$I$89,3,0)*0.475*44/12</f>
        <v>0.11138539869771763</v>
      </c>
      <c r="EX190" s="21">
        <f>EXP(-LN(2)/2)*EX189+(1-EXP(-LN(2)/2))/(LN(2)/2)*ER190*EU190*VLOOKUP('Données projet'!$B$15,Paramètres!$A$1:$I$89,3,0)*0.475*44/12</f>
        <v>9.4649859405436539E-24</v>
      </c>
      <c r="EY190" s="22">
        <f t="shared" si="181"/>
        <v>0.21012905602543008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-1.2505552149377763E-12</v>
      </c>
      <c r="FF190" s="17">
        <f>FE190*VLOOKUP('Données projet'!$B$16,Paramètres!$A$1:$I$89,3,0)*VLOOKUP('Données projet'!$B$16,Paramètres!$A$1:$I$89,5,0)</f>
        <v>-6.9906036515021697E-13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549.85684198202534</v>
      </c>
      <c r="FK190" s="59">
        <f t="shared" si="156"/>
        <v>539.63748606275431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0.50971373115128182</v>
      </c>
      <c r="FR190" s="21">
        <f>EXP(-LN(2)/25)*FR189+(1-EXP(-LN(2)/25))/(LN(2)/25)*Calculateur!FM190*Calculateur!FO190*VLOOKUP('Données projet'!$B$16,Paramètres!$A$1:$I$89,3,0)*0.475*44/12</f>
        <v>0.49877971870523957</v>
      </c>
      <c r="FS190" s="21">
        <f>EXP(-LN(2)/2)*FS189+(1-EXP(-LN(2)/2))/(LN(2)/2)*FM190*FP190*VLOOKUP('Données projet'!$B$16,Paramètres!$A$1:$I$89,3,0)*0.475*44/12</f>
        <v>8.533036942850501E-23</v>
      </c>
      <c r="FT190" s="22">
        <f t="shared" si="184"/>
        <v>1.0084934498565215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-5.6843418860808015E-13</v>
      </c>
      <c r="GA190" s="17">
        <f>FZ190*VLOOKUP('Données projet'!$B$17,Paramètres!$A$1:$I$89,3,0)*VLOOKUP('Données projet'!$B$17,Paramètres!$A$1:$I$89,5,0)</f>
        <v>-3.39923644787632E-13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495.6641415122013</v>
      </c>
      <c r="GF190" s="59">
        <f t="shared" si="158"/>
        <v>488.90534169400757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0.17845368684704446</v>
      </c>
      <c r="GM190" s="21">
        <f>EXP(-LN(2)/25)*GM189+(1-EXP(-LN(2)/25))/(LN(2)/25)*Calculateur!GH190*Calculateur!GJ190*VLOOKUP('Données projet'!$B$17,Paramètres!$A$1:$I$89,3,0)*0.475*44/12</f>
        <v>0.33464938696260499</v>
      </c>
      <c r="GN190" s="21">
        <f>EXP(-LN(2)/2)*GN189+(1-EXP(-LN(2)/2))/(LN(2)/2)*GH190*GK190*VLOOKUP('Données projet'!$B$17,Paramètres!$A$1:$I$89,3,0)*0.475*44/12</f>
        <v>8.1323634430570678E-23</v>
      </c>
      <c r="GO190" s="21">
        <f t="shared" si="187"/>
        <v>0.51310307380964948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-5.6843418860808015E-13</v>
      </c>
      <c r="GV190" s="17">
        <f>GU190*VLOOKUP('Données projet'!$B$18,Paramètres!$A$1:$I$89,3,0)*VLOOKUP('Données projet'!$B$18,Paramètres!$A$1:$I$89,5,0)</f>
        <v>-3.39923644787632E-13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-18.333333333333343</v>
      </c>
      <c r="HA190" s="59">
        <f t="shared" si="160"/>
        <v>-18.333333333333343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0.17845368684704446</v>
      </c>
      <c r="HH190" s="21">
        <f>EXP(-LN(2)/25)*HH189+(1-EXP(-LN(2)/25))/(LN(2)/25)*Calculateur!HC190*Calculateur!HE190*VLOOKUP('Données projet'!$B$18,Paramètres!$A$1:$I$89,3,0)*0.475*44/12</f>
        <v>0.33464938696260499</v>
      </c>
      <c r="HI190" s="21">
        <f>EXP(-LN(2)/2)*HI189+(1-EXP(-LN(2)/2))/(LN(2)/2)*HC190*HF190*VLOOKUP('Données projet'!$B$18,Paramètres!$A$1:$I$89,3,0)*0.475*44/12</f>
        <v>8.1323634430570678E-23</v>
      </c>
      <c r="HJ190" s="22">
        <f t="shared" si="190"/>
        <v>0.51310307380964948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376.11581547534814</v>
      </c>
      <c r="T191" s="59">
        <f t="shared" si="142"/>
        <v>300.91675649863294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0.13716527268566484</v>
      </c>
      <c r="AA191" s="21">
        <f>EXP(-LN(2)/25)*AA190+(1-EXP(-LN(2)/25))/(LN(2)/25)*Calculateur!V191*Calculateur!X191*VLOOKUP('Données projet'!$B$9,Paramètres!$A$1:$I$89,3,0)*0.475*44/12</f>
        <v>9.8324622944734291E-2</v>
      </c>
      <c r="AB191" s="21">
        <f>EXP(-LN(2)/2)*AB190+(1-EXP(-LN(2)/2))/(LN(2)/2)*V191*Y191*VLOOKUP('Données projet'!$B$9,Paramètres!$A$1:$I$89,3,0)*0.475*44/12</f>
        <v>1.626597152740142E-23</v>
      </c>
      <c r="AC191" s="22">
        <f t="shared" si="163"/>
        <v>0.23548989563039913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-5.6843418860808015E-13</v>
      </c>
      <c r="AJ191" s="13">
        <f>AI191*VLOOKUP('Données projet'!$B$10,Paramètres!$A$1:$I$89,3,0)*VLOOKUP('Données projet'!$B$10,Paramètres!$A$1:$I$89,5,0)</f>
        <v>-5.1431925385259092E-13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505.38595282220405</v>
      </c>
      <c r="AO191" s="59">
        <f t="shared" si="144"/>
        <v>351.72130415456365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0.10539518630955899</v>
      </c>
      <c r="AV191" s="21">
        <f>EXP(-LN(2)/25)*AV190+(1-EXP(-LN(2)/25))/(LN(2)/25)*Calculateur!AQ191*Calculateur!AS191*VLOOKUP('Données projet'!$B$10,Paramètres!$A$1:$I$89,3,0)*0.475*44/12</f>
        <v>0.1412238430462858</v>
      </c>
      <c r="AW191" s="21">
        <f>EXP(-LN(2)/2)*AW190+(1-EXP(-LN(2)/2))/(LN(2)/2)*AQ191*AT191*VLOOKUP('Données projet'!$B$10,Paramètres!$A$1:$I$89,3,0)*0.475*44/12</f>
        <v>3.5657004630734526E-23</v>
      </c>
      <c r="AX191" s="21">
        <f t="shared" si="166"/>
        <v>0.24661902935584479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-4.0702161641092972E-13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394.14657090341535</v>
      </c>
      <c r="BJ191" s="59">
        <f t="shared" si="146"/>
        <v>424.06445894109982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0.14278427656111575</v>
      </c>
      <c r="BQ191" s="21">
        <f>EXP(-LN(2)/25)*BQ190+(1-EXP(-LN(2)/25))/(LN(2)/25)*Calculateur!BL191*Calculateur!BN191*VLOOKUP('Données projet'!$B$11,Paramètres!$A$1:$I$89,3,0)*0.475*44/12</f>
        <v>0.25683805692095013</v>
      </c>
      <c r="BR191" s="21">
        <f>EXP(-LN(2)/2)*BR190+(1-EXP(-LN(2)/2))/(LN(2)/2)*BL191*BO191*VLOOKUP('Données projet'!$B$11,Paramètres!$A$1:$I$89,3,0)*0.475*44/12</f>
        <v>3.9769246156757972E-23</v>
      </c>
      <c r="BS191" s="22">
        <f t="shared" si="169"/>
        <v>0.39962233348206588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3.1036506698001181E-13</v>
      </c>
      <c r="CA191" s="13">
        <f t="shared" si="170"/>
        <v>4.086682523110923E-12</v>
      </c>
      <c r="CB191" s="20">
        <f t="shared" si="171"/>
        <v>7.6581912194083782E-12</v>
      </c>
      <c r="CC191" s="59">
        <f t="shared" si="119"/>
        <v>289.91839713868791</v>
      </c>
      <c r="CD191" s="59">
        <f ca="1">AVERAGE(OFFSET($CC$3,0,0,'Données projet'!$E$12+1,1))-AVERAGE(OFFSET($H$3,0,0,'Données projet'!$E$12+1,1))</f>
        <v>382.09004346384319</v>
      </c>
      <c r="CE191" s="59">
        <f t="shared" si="148"/>
        <v>410.18893995284986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0.37272876633933844</v>
      </c>
      <c r="CL191" s="21">
        <f>EXP(-LN(2)/25)*CL190+(1-EXP(-LN(2)/25))/(LN(2)/25)*Calculateur!CG191*Calculateur!CI191*VLOOKUP('Données projet'!$B$12,Paramètres!$A$1:$I$89,3,0)*0.475*44/12</f>
        <v>0.42604075000380631</v>
      </c>
      <c r="CM191" s="21">
        <f>EXP(-LN(2)/2)*CM190+(1-EXP(-LN(2)/2))/(LN(2)/2)*CG191*CJ191*VLOOKUP('Données projet'!$B$12,Paramètres!$A$1:$I$89,3,0)*0.475*44/12</f>
        <v>4.1660829318532856E-23</v>
      </c>
      <c r="CN191" s="22">
        <f t="shared" si="172"/>
        <v>0.79876951634314475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363.02374534486341</v>
      </c>
      <c r="CZ191" s="59">
        <f t="shared" si="150"/>
        <v>489.00477393029598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0.31981987569797238</v>
      </c>
      <c r="DG191" s="21">
        <f>EXP(-LN(2)/25)*DG190+(1-EXP(-LN(2)/25))/(LN(2)/25)*Calculateur!DB191*Calculateur!DD191*VLOOKUP('Données projet'!$B$13,Paramètres!$A$1:$I$89,3,0)*0.475*44/12</f>
        <v>0.24235403524822705</v>
      </c>
      <c r="DH191" s="21">
        <f>EXP(-LN(2)/2)*DH190+(1-EXP(-LN(2)/2))/(LN(2)/2)*DB191*DE191*VLOOKUP('Données projet'!$B$13,Paramètres!$A$1:$I$89,3,0)*0.475*44/12</f>
        <v>4.8497498750596497E-23</v>
      </c>
      <c r="DI191" s="22">
        <f t="shared" si="175"/>
        <v>0.5621739109461994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-3.7509835237869992E-13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368.03281986807173</v>
      </c>
      <c r="DU191" s="59">
        <f t="shared" si="152"/>
        <v>395.83504504492248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0.10675805509804484</v>
      </c>
      <c r="EB191" s="21">
        <f>EXP(-LN(2)/25)*EB190+(1-EXP(-LN(2)/25))/(LN(2)/25)*Calculateur!DW191*Calculateur!DY191*VLOOKUP('Données projet'!$B$14,Paramètres!$A$1:$I$89,3,0)*0.475*44/12</f>
        <v>0.19203467001007823</v>
      </c>
      <c r="EC191" s="21">
        <f>EXP(-LN(2)/2)*EC190+(1-EXP(-LN(2)/2))/(LN(2)/2)*DW191*DZ191*VLOOKUP('Données projet'!$B$14,Paramètres!$A$1:$I$89,3,0)*0.475*44/12</f>
        <v>3.6650089595444081E-23</v>
      </c>
      <c r="ED191" s="22">
        <f t="shared" si="178"/>
        <v>0.29879272510812305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225.2264820414552</v>
      </c>
      <c r="EP191" s="59">
        <f t="shared" si="154"/>
        <v>249.91838548328681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9.6807354435199972E-2</v>
      </c>
      <c r="EW191" s="21">
        <f>EXP(-LN(2)/25)*EW190+(1-EXP(-LN(2)/25))/(LN(2)/25)*Calculateur!ER191*Calculateur!ET191*VLOOKUP('Données projet'!$B$15,Paramètres!$A$1:$I$89,3,0)*0.475*44/12</f>
        <v>0.108339559112825</v>
      </c>
      <c r="EX191" s="21">
        <f>EXP(-LN(2)/2)*EX190+(1-EXP(-LN(2)/2))/(LN(2)/2)*ER191*EU191*VLOOKUP('Données projet'!$B$15,Paramètres!$A$1:$I$89,3,0)*0.475*44/12</f>
        <v>6.6927557423937502E-24</v>
      </c>
      <c r="EY191" s="22">
        <f t="shared" si="181"/>
        <v>0.20514691354802497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-1.2505552149377763E-12</v>
      </c>
      <c r="FF191" s="17">
        <f>FE191*VLOOKUP('Données projet'!$B$16,Paramètres!$A$1:$I$89,3,0)*VLOOKUP('Données projet'!$B$16,Paramètres!$A$1:$I$89,5,0)</f>
        <v>-6.9906036515021697E-13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549.85684198202534</v>
      </c>
      <c r="FK191" s="59">
        <f t="shared" si="156"/>
        <v>539.63748606275431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0.49971855577808288</v>
      </c>
      <c r="FR191" s="21">
        <f>EXP(-LN(2)/25)*FR190+(1-EXP(-LN(2)/25))/(LN(2)/25)*Calculateur!FM191*Calculateur!FO191*VLOOKUP('Données projet'!$B$16,Paramètres!$A$1:$I$89,3,0)*0.475*44/12</f>
        <v>0.48514056106755937</v>
      </c>
      <c r="FS191" s="21">
        <f>EXP(-LN(2)/2)*FS190+(1-EXP(-LN(2)/2))/(LN(2)/2)*FM191*FP191*VLOOKUP('Données projet'!$B$16,Paramètres!$A$1:$I$89,3,0)*0.475*44/12</f>
        <v>6.0337682864049156E-23</v>
      </c>
      <c r="FT191" s="22">
        <f t="shared" si="184"/>
        <v>0.9848591168456422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-5.6843418860808015E-13</v>
      </c>
      <c r="GA191" s="17">
        <f>FZ191*VLOOKUP('Données projet'!$B$17,Paramètres!$A$1:$I$89,3,0)*VLOOKUP('Données projet'!$B$17,Paramètres!$A$1:$I$89,5,0)</f>
        <v>-3.39923644787632E-13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495.6641415122013</v>
      </c>
      <c r="GF191" s="59">
        <f t="shared" si="158"/>
        <v>488.90534169400757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0.17495431889397525</v>
      </c>
      <c r="GM191" s="21">
        <f>EXP(-LN(2)/25)*GM190+(1-EXP(-LN(2)/25))/(LN(2)/25)*Calculateur!GH191*Calculateur!GJ191*VLOOKUP('Données projet'!$B$17,Paramètres!$A$1:$I$89,3,0)*0.475*44/12</f>
        <v>0.32549838187766617</v>
      </c>
      <c r="GN191" s="21">
        <f>EXP(-LN(2)/2)*GN190+(1-EXP(-LN(2)/2))/(LN(2)/2)*GH191*GK191*VLOOKUP('Données projet'!$B$17,Paramètres!$A$1:$I$89,3,0)*0.475*44/12</f>
        <v>5.7504493376592322E-23</v>
      </c>
      <c r="GO191" s="21">
        <f t="shared" si="187"/>
        <v>0.50045270077164139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-5.6843418860808015E-13</v>
      </c>
      <c r="GV191" s="17">
        <f>GU191*VLOOKUP('Données projet'!$B$18,Paramètres!$A$1:$I$89,3,0)*VLOOKUP('Données projet'!$B$18,Paramètres!$A$1:$I$89,5,0)</f>
        <v>-3.39923644787632E-13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-18.333333333333343</v>
      </c>
      <c r="HA191" s="59">
        <f t="shared" si="160"/>
        <v>-18.333333333333343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0.17495431889397525</v>
      </c>
      <c r="HH191" s="21">
        <f>EXP(-LN(2)/25)*HH190+(1-EXP(-LN(2)/25))/(LN(2)/25)*Calculateur!HC191*Calculateur!HE191*VLOOKUP('Données projet'!$B$18,Paramètres!$A$1:$I$89,3,0)*0.475*44/12</f>
        <v>0.32549838187766617</v>
      </c>
      <c r="HI191" s="21">
        <f>EXP(-LN(2)/2)*HI190+(1-EXP(-LN(2)/2))/(LN(2)/2)*HC191*HF191*VLOOKUP('Données projet'!$B$18,Paramètres!$A$1:$I$89,3,0)*0.475*44/12</f>
        <v>5.7504493376592322E-23</v>
      </c>
      <c r="HJ191" s="22">
        <f t="shared" si="190"/>
        <v>0.50045270077164139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376.11581547534814</v>
      </c>
      <c r="T192" s="59">
        <f t="shared" si="142"/>
        <v>300.91675649863294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0.13447554535085429</v>
      </c>
      <c r="AA192" s="21">
        <f>EXP(-LN(2)/25)*AA191+(1-EXP(-LN(2)/25))/(LN(2)/25)*Calculateur!V192*Calculateur!X192*VLOOKUP('Données projet'!$B$9,Paramètres!$A$1:$I$89,3,0)*0.475*44/12</f>
        <v>9.5635930959643331E-2</v>
      </c>
      <c r="AB192" s="21">
        <f>EXP(-LN(2)/2)*AB191+(1-EXP(-LN(2)/2))/(LN(2)/2)*V192*Y192*VLOOKUP('Données projet'!$B$9,Paramètres!$A$1:$I$89,3,0)*0.475*44/12</f>
        <v>1.1501778769612849E-23</v>
      </c>
      <c r="AC192" s="22">
        <f t="shared" si="163"/>
        <v>0.23011147631049761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-5.6843418860808015E-13</v>
      </c>
      <c r="AJ192" s="13">
        <f>AI192*VLOOKUP('Données projet'!$B$10,Paramètres!$A$1:$I$89,3,0)*VLOOKUP('Données projet'!$B$10,Paramètres!$A$1:$I$89,5,0)</f>
        <v>-5.1431925385259092E-13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505.38595282220405</v>
      </c>
      <c r="AO192" s="59">
        <f t="shared" si="144"/>
        <v>351.72130415456365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0.1033284509907446</v>
      </c>
      <c r="AV192" s="21">
        <f>EXP(-LN(2)/25)*AV191+(1-EXP(-LN(2)/25))/(LN(2)/25)*Calculateur!AQ192*Calculateur!AS192*VLOOKUP('Données projet'!$B$10,Paramètres!$A$1:$I$89,3,0)*0.475*44/12</f>
        <v>0.13736206963154599</v>
      </c>
      <c r="AW192" s="21">
        <f>EXP(-LN(2)/2)*AW191+(1-EXP(-LN(2)/2))/(LN(2)/2)*AQ192*AT192*VLOOKUP('Données projet'!$B$10,Paramètres!$A$1:$I$89,3,0)*0.475*44/12</f>
        <v>2.5213309771192511E-23</v>
      </c>
      <c r="AX192" s="21">
        <f t="shared" si="166"/>
        <v>0.24069052062229057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-4.0702161641092972E-13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394.14657090341535</v>
      </c>
      <c r="BJ192" s="59">
        <f t="shared" si="146"/>
        <v>424.06445894109982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0.13998436398756156</v>
      </c>
      <c r="BQ192" s="21">
        <f>EXP(-LN(2)/25)*BQ191+(1-EXP(-LN(2)/25))/(LN(2)/25)*Calculateur!BL192*Calculateur!BN192*VLOOKUP('Données projet'!$B$11,Paramètres!$A$1:$I$89,3,0)*0.475*44/12</f>
        <v>0.24981480674792034</v>
      </c>
      <c r="BR192" s="21">
        <f>EXP(-LN(2)/2)*BR191+(1-EXP(-LN(2)/2))/(LN(2)/2)*BL192*BO192*VLOOKUP('Données projet'!$B$11,Paramètres!$A$1:$I$89,3,0)*0.475*44/12</f>
        <v>2.8121103640120605E-23</v>
      </c>
      <c r="BS192" s="22">
        <f t="shared" si="169"/>
        <v>0.38979917073548187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3.1036506698001181E-13</v>
      </c>
      <c r="CA192" s="13">
        <f t="shared" si="170"/>
        <v>4.086682523110923E-12</v>
      </c>
      <c r="CB192" s="20">
        <f t="shared" si="171"/>
        <v>7.6581912194083782E-12</v>
      </c>
      <c r="CC192" s="59">
        <f t="shared" si="119"/>
        <v>289.97763864701153</v>
      </c>
      <c r="CD192" s="59">
        <f ca="1">AVERAGE(OFFSET($CC$3,0,0,'Données projet'!$E$12+1,1))-AVERAGE(OFFSET($H$3,0,0,'Données projet'!$E$12+1,1))</f>
        <v>382.09004346384319</v>
      </c>
      <c r="CE192" s="59">
        <f t="shared" si="148"/>
        <v>410.18893995284986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0.36541978257352331</v>
      </c>
      <c r="CL192" s="21">
        <f>EXP(-LN(2)/25)*CL191+(1-EXP(-LN(2)/25))/(LN(2)/25)*Calculateur!CG192*Calculateur!CI192*VLOOKUP('Données projet'!$B$12,Paramètres!$A$1:$I$89,3,0)*0.475*44/12</f>
        <v>0.41439064329044289</v>
      </c>
      <c r="CM192" s="21">
        <f>EXP(-LN(2)/2)*CM191+(1-EXP(-LN(2)/2))/(LN(2)/2)*CG192*CJ192*VLOOKUP('Données projet'!$B$12,Paramètres!$A$1:$I$89,3,0)*0.475*44/12</f>
        <v>2.9458654920989916E-23</v>
      </c>
      <c r="CN192" s="22">
        <f t="shared" si="172"/>
        <v>0.77981042586396621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363.02374534486341</v>
      </c>
      <c r="CZ192" s="59">
        <f t="shared" si="150"/>
        <v>489.00477393029598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0.31354840300639769</v>
      </c>
      <c r="DG192" s="21">
        <f>EXP(-LN(2)/25)*DG191+(1-EXP(-LN(2)/25))/(LN(2)/25)*Calculateur!DB192*Calculateur!DD192*VLOOKUP('Données projet'!$B$13,Paramètres!$A$1:$I$89,3,0)*0.475*44/12</f>
        <v>0.23572685140951946</v>
      </c>
      <c r="DH192" s="21">
        <f>EXP(-LN(2)/2)*DH191+(1-EXP(-LN(2)/2))/(LN(2)/2)*DB192*DE192*VLOOKUP('Données projet'!$B$13,Paramètres!$A$1:$I$89,3,0)*0.475*44/12</f>
        <v>3.4292910237132899E-23</v>
      </c>
      <c r="DI192" s="22">
        <f t="shared" si="175"/>
        <v>0.54927525441591718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-3.7509835237869992E-13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368.03281986807173</v>
      </c>
      <c r="DU192" s="59">
        <f t="shared" si="152"/>
        <v>395.83504504492248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0.10466459475355612</v>
      </c>
      <c r="EB192" s="21">
        <f>EXP(-LN(2)/25)*EB191+(1-EXP(-LN(2)/25))/(LN(2)/25)*Calculateur!DW192*Calculateur!DY192*VLOOKUP('Données projet'!$B$14,Paramètres!$A$1:$I$89,3,0)*0.475*44/12</f>
        <v>0.18678347185998825</v>
      </c>
      <c r="EC192" s="21">
        <f>EXP(-LN(2)/2)*EC191+(1-EXP(-LN(2)/2))/(LN(2)/2)*DW192*DZ192*VLOOKUP('Données projet'!$B$14,Paramètres!$A$1:$I$89,3,0)*0.475*44/12</f>
        <v>2.5915526884033043E-23</v>
      </c>
      <c r="ED192" s="22">
        <f t="shared" si="178"/>
        <v>0.29144806661354439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225.2264820414552</v>
      </c>
      <c r="EP192" s="59">
        <f t="shared" si="154"/>
        <v>249.91838548328681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9.4909021261381538E-2</v>
      </c>
      <c r="EW192" s="21">
        <f>EXP(-LN(2)/25)*EW191+(1-EXP(-LN(2)/25))/(LN(2)/25)*Calculateur!ER192*Calculateur!ET192*VLOOKUP('Données projet'!$B$15,Paramètres!$A$1:$I$89,3,0)*0.475*44/12</f>
        <v>0.105377008171555</v>
      </c>
      <c r="EX192" s="21">
        <f>EXP(-LN(2)/2)*EX191+(1-EXP(-LN(2)/2))/(LN(2)/2)*ER192*EU192*VLOOKUP('Données projet'!$B$15,Paramètres!$A$1:$I$89,3,0)*0.475*44/12</f>
        <v>4.732492970271827E-24</v>
      </c>
      <c r="EY192" s="22">
        <f t="shared" si="181"/>
        <v>0.20028602943293655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-1.2505552149377763E-12</v>
      </c>
      <c r="FF192" s="17">
        <f>FE192*VLOOKUP('Données projet'!$B$16,Paramètres!$A$1:$I$89,3,0)*VLOOKUP('Données projet'!$B$16,Paramètres!$A$1:$I$89,5,0)</f>
        <v>-6.9906036515021697E-13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549.85684198202534</v>
      </c>
      <c r="FK192" s="59">
        <f t="shared" si="156"/>
        <v>539.63748606275431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0.48991937969749738</v>
      </c>
      <c r="FR192" s="21">
        <f>EXP(-LN(2)/25)*FR191+(1-EXP(-LN(2)/25))/(LN(2)/25)*Calculateur!FM192*Calculateur!FO192*VLOOKUP('Données projet'!$B$16,Paramètres!$A$1:$I$89,3,0)*0.475*44/12</f>
        <v>0.47187436691273366</v>
      </c>
      <c r="FS192" s="21">
        <f>EXP(-LN(2)/2)*FS191+(1-EXP(-LN(2)/2))/(LN(2)/2)*FM192*FP192*VLOOKUP('Données projet'!$B$16,Paramètres!$A$1:$I$89,3,0)*0.475*44/12</f>
        <v>4.2665184714252505E-23</v>
      </c>
      <c r="FT192" s="22">
        <f t="shared" si="184"/>
        <v>0.96179374661023109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-5.6843418860808015E-13</v>
      </c>
      <c r="GA192" s="17">
        <f>FZ192*VLOOKUP('Données projet'!$B$17,Paramètres!$A$1:$I$89,3,0)*VLOOKUP('Données projet'!$B$17,Paramètres!$A$1:$I$89,5,0)</f>
        <v>-3.39923644787632E-13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495.6641415122013</v>
      </c>
      <c r="GF192" s="59">
        <f t="shared" si="158"/>
        <v>488.90534169400757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0.17152357141206204</v>
      </c>
      <c r="GM192" s="21">
        <f>EXP(-LN(2)/25)*GM191+(1-EXP(-LN(2)/25))/(LN(2)/25)*Calculateur!GH192*Calculateur!GJ192*VLOOKUP('Données projet'!$B$17,Paramètres!$A$1:$I$89,3,0)*0.475*44/12</f>
        <v>0.31659761150800542</v>
      </c>
      <c r="GN192" s="21">
        <f>EXP(-LN(2)/2)*GN191+(1-EXP(-LN(2)/2))/(LN(2)/2)*GH192*GK192*VLOOKUP('Données projet'!$B$17,Paramètres!$A$1:$I$89,3,0)*0.475*44/12</f>
        <v>4.0661817215285339E-23</v>
      </c>
      <c r="GO192" s="21">
        <f t="shared" si="187"/>
        <v>0.48812118292006745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-5.6843418860808015E-13</v>
      </c>
      <c r="GV192" s="17">
        <f>GU192*VLOOKUP('Données projet'!$B$18,Paramètres!$A$1:$I$89,3,0)*VLOOKUP('Données projet'!$B$18,Paramètres!$A$1:$I$89,5,0)</f>
        <v>-3.39923644787632E-13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-18.333333333333343</v>
      </c>
      <c r="HA192" s="59">
        <f t="shared" si="160"/>
        <v>-18.333333333333343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0.17152357141206204</v>
      </c>
      <c r="HH192" s="21">
        <f>EXP(-LN(2)/25)*HH191+(1-EXP(-LN(2)/25))/(LN(2)/25)*Calculateur!HC192*Calculateur!HE192*VLOOKUP('Données projet'!$B$18,Paramètres!$A$1:$I$89,3,0)*0.475*44/12</f>
        <v>0.31659761150800542</v>
      </c>
      <c r="HI192" s="21">
        <f>EXP(-LN(2)/2)*HI191+(1-EXP(-LN(2)/2))/(LN(2)/2)*HC192*HF192*VLOOKUP('Données projet'!$B$18,Paramètres!$A$1:$I$89,3,0)*0.475*44/12</f>
        <v>4.0661817215285339E-23</v>
      </c>
      <c r="HJ192" s="22">
        <f t="shared" si="190"/>
        <v>0.48812118292006745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376.11581547534814</v>
      </c>
      <c r="T193" s="59">
        <f t="shared" si="142"/>
        <v>300.91675649863294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0.13183856192850771</v>
      </c>
      <c r="AA193" s="21">
        <f>EXP(-LN(2)/25)*AA192+(1-EXP(-LN(2)/25))/(LN(2)/25)*Calculateur!V193*Calculateur!X193*VLOOKUP('Données projet'!$B$9,Paramètres!$A$1:$I$89,3,0)*0.475*44/12</f>
        <v>9.3020761398276849E-2</v>
      </c>
      <c r="AB193" s="21">
        <f>EXP(-LN(2)/2)*AB192+(1-EXP(-LN(2)/2))/(LN(2)/2)*V193*Y193*VLOOKUP('Données projet'!$B$9,Paramètres!$A$1:$I$89,3,0)*0.475*44/12</f>
        <v>8.1329857637007102E-24</v>
      </c>
      <c r="AC193" s="22">
        <f t="shared" si="163"/>
        <v>0.22485932332678454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-5.6843418860808015E-13</v>
      </c>
      <c r="AJ193" s="13">
        <f>AI193*VLOOKUP('Données projet'!$B$10,Paramètres!$A$1:$I$89,3,0)*VLOOKUP('Données projet'!$B$10,Paramètres!$A$1:$I$89,5,0)</f>
        <v>-5.1431925385259092E-13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505.38595282220405</v>
      </c>
      <c r="AO193" s="59">
        <f t="shared" si="144"/>
        <v>351.72130415456365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0.10130224309094808</v>
      </c>
      <c r="AV193" s="21">
        <f>EXP(-LN(2)/25)*AV192+(1-EXP(-LN(2)/25))/(LN(2)/25)*Calculateur!AQ193*Calculateur!AS193*VLOOKUP('Données projet'!$B$10,Paramètres!$A$1:$I$89,3,0)*0.475*44/12</f>
        <v>0.13360589661391406</v>
      </c>
      <c r="AW193" s="21">
        <f>EXP(-LN(2)/2)*AW192+(1-EXP(-LN(2)/2))/(LN(2)/2)*AQ193*AT193*VLOOKUP('Données projet'!$B$10,Paramètres!$A$1:$I$89,3,0)*0.475*44/12</f>
        <v>1.7828502315367263E-23</v>
      </c>
      <c r="AX193" s="21">
        <f t="shared" si="166"/>
        <v>0.23490813970486213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-4.0702161641092972E-13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394.14657090341535</v>
      </c>
      <c r="BJ193" s="59">
        <f t="shared" si="146"/>
        <v>424.06445894109982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0.13723935599179674</v>
      </c>
      <c r="BQ193" s="21">
        <f>EXP(-LN(2)/25)*BQ192+(1-EXP(-LN(2)/25))/(LN(2)/25)*Calculateur!BL193*Calculateur!BN193*VLOOKUP('Données projet'!$B$11,Paramètres!$A$1:$I$89,3,0)*0.475*44/12</f>
        <v>0.24298360772020872</v>
      </c>
      <c r="BR193" s="21">
        <f>EXP(-LN(2)/2)*BR192+(1-EXP(-LN(2)/2))/(LN(2)/2)*BL193*BO193*VLOOKUP('Données projet'!$B$11,Paramètres!$A$1:$I$89,3,0)*0.475*44/12</f>
        <v>1.9884623078378986E-23</v>
      </c>
      <c r="BS193" s="22">
        <f t="shared" si="169"/>
        <v>0.38022296371200548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3.1036506698001181E-13</v>
      </c>
      <c r="CA193" s="13">
        <f t="shared" si="170"/>
        <v>4.086682523110923E-12</v>
      </c>
      <c r="CB193" s="20">
        <f t="shared" si="171"/>
        <v>7.6581912194083782E-12</v>
      </c>
      <c r="CC193" s="59">
        <f t="shared" si="119"/>
        <v>290.03585244760995</v>
      </c>
      <c r="CD193" s="59">
        <f ca="1">AVERAGE(OFFSET($CC$3,0,0,'Données projet'!$E$12+1,1))-AVERAGE(OFFSET($H$3,0,0,'Données projet'!$E$12+1,1))</f>
        <v>382.09004346384319</v>
      </c>
      <c r="CE193" s="59">
        <f t="shared" si="148"/>
        <v>410.18893995284986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0.35825412352131591</v>
      </c>
      <c r="CL193" s="21">
        <f>EXP(-LN(2)/25)*CL192+(1-EXP(-LN(2)/25))/(LN(2)/25)*Calculateur!CG193*Calculateur!CI193*VLOOKUP('Données projet'!$B$12,Paramètres!$A$1:$I$89,3,0)*0.475*44/12</f>
        <v>0.40305910935780892</v>
      </c>
      <c r="CM193" s="21">
        <f>EXP(-LN(2)/2)*CM192+(1-EXP(-LN(2)/2))/(LN(2)/2)*CG193*CJ193*VLOOKUP('Données projet'!$B$12,Paramètres!$A$1:$I$89,3,0)*0.475*44/12</f>
        <v>2.0830414659266428E-23</v>
      </c>
      <c r="CN193" s="22">
        <f t="shared" si="172"/>
        <v>0.76131323287912478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363.02374534486341</v>
      </c>
      <c r="CZ193" s="59">
        <f t="shared" si="150"/>
        <v>489.00477393029598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0.30739991006908413</v>
      </c>
      <c r="DG193" s="21">
        <f>EXP(-LN(2)/25)*DG192+(1-EXP(-LN(2)/25))/(LN(2)/25)*Calculateur!DB193*Calculateur!DD193*VLOOKUP('Données projet'!$B$13,Paramètres!$A$1:$I$89,3,0)*0.475*44/12</f>
        <v>0.22928088826138979</v>
      </c>
      <c r="DH193" s="21">
        <f>EXP(-LN(2)/2)*DH192+(1-EXP(-LN(2)/2))/(LN(2)/2)*DB193*DE193*VLOOKUP('Données projet'!$B$13,Paramètres!$A$1:$I$89,3,0)*0.475*44/12</f>
        <v>2.4248749375298249E-23</v>
      </c>
      <c r="DI193" s="22">
        <f t="shared" si="175"/>
        <v>0.53668079833047388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-3.7509835237869992E-13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368.03281986807173</v>
      </c>
      <c r="DU193" s="59">
        <f t="shared" si="152"/>
        <v>395.83504504492248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0.10261218588953809</v>
      </c>
      <c r="EB193" s="21">
        <f>EXP(-LN(2)/25)*EB192+(1-EXP(-LN(2)/25))/(LN(2)/25)*Calculateur!DW193*Calculateur!DY193*VLOOKUP('Données projet'!$B$14,Paramètres!$A$1:$I$89,3,0)*0.475*44/12</f>
        <v>0.18167586799946098</v>
      </c>
      <c r="EC193" s="21">
        <f>EXP(-LN(2)/2)*EC192+(1-EXP(-LN(2)/2))/(LN(2)/2)*DW193*DZ193*VLOOKUP('Données projet'!$B$14,Paramètres!$A$1:$I$89,3,0)*0.475*44/12</f>
        <v>1.8325044797722044E-23</v>
      </c>
      <c r="ED193" s="22">
        <f t="shared" si="178"/>
        <v>0.28428805388899908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225.2264820414552</v>
      </c>
      <c r="EP193" s="59">
        <f t="shared" si="154"/>
        <v>249.91838548328681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9.3047913243232777E-2</v>
      </c>
      <c r="EW193" s="21">
        <f>EXP(-LN(2)/25)*EW192+(1-EXP(-LN(2)/25))/(LN(2)/25)*Calculateur!ER193*Calculateur!ET193*VLOOKUP('Données projet'!$B$15,Paramètres!$A$1:$I$89,3,0)*0.475*44/12</f>
        <v>0.10249546834156781</v>
      </c>
      <c r="EX193" s="21">
        <f>EXP(-LN(2)/2)*EX192+(1-EXP(-LN(2)/2))/(LN(2)/2)*ER193*EU193*VLOOKUP('Données projet'!$B$15,Paramètres!$A$1:$I$89,3,0)*0.475*44/12</f>
        <v>3.3463778711968751E-24</v>
      </c>
      <c r="EY193" s="22">
        <f t="shared" si="181"/>
        <v>0.19554338158480059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-1.2505552149377763E-12</v>
      </c>
      <c r="FF193" s="17">
        <f>FE193*VLOOKUP('Données projet'!$B$16,Paramètres!$A$1:$I$89,3,0)*VLOOKUP('Données projet'!$B$16,Paramètres!$A$1:$I$89,5,0)</f>
        <v>-6.9906036515021697E-13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549.85684198202534</v>
      </c>
      <c r="FK193" s="59">
        <f t="shared" si="156"/>
        <v>539.63748606275431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0.48031235948294493</v>
      </c>
      <c r="FR193" s="21">
        <f>EXP(-LN(2)/25)*FR192+(1-EXP(-LN(2)/25))/(LN(2)/25)*Calculateur!FM193*Calculateur!FO193*VLOOKUP('Données projet'!$B$16,Paramètres!$A$1:$I$89,3,0)*0.475*44/12</f>
        <v>0.45897093753471047</v>
      </c>
      <c r="FS193" s="21">
        <f>EXP(-LN(2)/2)*FS192+(1-EXP(-LN(2)/2))/(LN(2)/2)*FM193*FP193*VLOOKUP('Données projet'!$B$16,Paramètres!$A$1:$I$89,3,0)*0.475*44/12</f>
        <v>3.0168841432024578E-23</v>
      </c>
      <c r="FT193" s="22">
        <f t="shared" si="184"/>
        <v>0.93928329701765545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-5.6843418860808015E-13</v>
      </c>
      <c r="GA193" s="17">
        <f>FZ193*VLOOKUP('Données projet'!$B$17,Paramètres!$A$1:$I$89,3,0)*VLOOKUP('Données projet'!$B$17,Paramètres!$A$1:$I$89,5,0)</f>
        <v>-3.39923644787632E-13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495.6641415122013</v>
      </c>
      <c r="GF193" s="59">
        <f t="shared" si="158"/>
        <v>488.90534169400757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0.16816009879571978</v>
      </c>
      <c r="GM193" s="21">
        <f>EXP(-LN(2)/25)*GM192+(1-EXP(-LN(2)/25))/(LN(2)/25)*Calculateur!GH193*Calculateur!GJ193*VLOOKUP('Données projet'!$B$17,Paramètres!$A$1:$I$89,3,0)*0.475*44/12</f>
        <v>0.30794023317217423</v>
      </c>
      <c r="GN193" s="21">
        <f>EXP(-LN(2)/2)*GN192+(1-EXP(-LN(2)/2))/(LN(2)/2)*GH193*GK193*VLOOKUP('Données projet'!$B$17,Paramètres!$A$1:$I$89,3,0)*0.475*44/12</f>
        <v>2.8752246688296161E-23</v>
      </c>
      <c r="GO193" s="21">
        <f t="shared" si="187"/>
        <v>0.47610033196789403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-5.6843418860808015E-13</v>
      </c>
      <c r="GV193" s="17">
        <f>GU193*VLOOKUP('Données projet'!$B$18,Paramètres!$A$1:$I$89,3,0)*VLOOKUP('Données projet'!$B$18,Paramètres!$A$1:$I$89,5,0)</f>
        <v>-3.39923644787632E-13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-18.333333333333343</v>
      </c>
      <c r="HA193" s="59">
        <f t="shared" si="160"/>
        <v>-18.333333333333343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0.16816009879571978</v>
      </c>
      <c r="HH193" s="21">
        <f>EXP(-LN(2)/25)*HH192+(1-EXP(-LN(2)/25))/(LN(2)/25)*Calculateur!HC193*Calculateur!HE193*VLOOKUP('Données projet'!$B$18,Paramètres!$A$1:$I$89,3,0)*0.475*44/12</f>
        <v>0.30794023317217423</v>
      </c>
      <c r="HI193" s="21">
        <f>EXP(-LN(2)/2)*HI192+(1-EXP(-LN(2)/2))/(LN(2)/2)*HC193*HF193*VLOOKUP('Données projet'!$B$18,Paramètres!$A$1:$I$89,3,0)*0.475*44/12</f>
        <v>2.8752246688296161E-23</v>
      </c>
      <c r="HJ193" s="22">
        <f t="shared" si="190"/>
        <v>0.47610033196789403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376.11581547534814</v>
      </c>
      <c r="T194" s="59">
        <f t="shared" si="142"/>
        <v>300.91675649863294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0.12925328814267226</v>
      </c>
      <c r="AA194" s="21">
        <f>EXP(-LN(2)/25)*AA193+(1-EXP(-LN(2)/25))/(LN(2)/25)*Calculateur!V194*Calculateur!X194*VLOOKUP('Données projet'!$B$9,Paramètres!$A$1:$I$89,3,0)*0.475*44/12</f>
        <v>9.0477103786091723E-2</v>
      </c>
      <c r="AB194" s="21">
        <f>EXP(-LN(2)/2)*AB193+(1-EXP(-LN(2)/2))/(LN(2)/2)*V194*Y194*VLOOKUP('Données projet'!$B$9,Paramètres!$A$1:$I$89,3,0)*0.475*44/12</f>
        <v>5.7508893848064243E-24</v>
      </c>
      <c r="AC194" s="22">
        <f t="shared" si="163"/>
        <v>0.21973039192876398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-5.6843418860808015E-13</v>
      </c>
      <c r="AJ194" s="13">
        <f>AI194*VLOOKUP('Données projet'!$B$10,Paramètres!$A$1:$I$89,3,0)*VLOOKUP('Données projet'!$B$10,Paramètres!$A$1:$I$89,5,0)</f>
        <v>-5.1431925385259092E-13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505.38595282220405</v>
      </c>
      <c r="AO194" s="59">
        <f t="shared" si="144"/>
        <v>351.72130415456365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9.9315767892201798E-2</v>
      </c>
      <c r="AV194" s="21">
        <f>EXP(-LN(2)/25)*AV193+(1-EXP(-LN(2)/25))/(LN(2)/25)*Calculateur!AQ194*Calculateur!AS194*VLOOKUP('Données projet'!$B$10,Paramètres!$A$1:$I$89,3,0)*0.475*44/12</f>
        <v>0.12995243634497783</v>
      </c>
      <c r="AW194" s="21">
        <f>EXP(-LN(2)/2)*AW193+(1-EXP(-LN(2)/2))/(LN(2)/2)*AQ194*AT194*VLOOKUP('Données projet'!$B$10,Paramètres!$A$1:$I$89,3,0)*0.475*44/12</f>
        <v>1.2606654885596255E-23</v>
      </c>
      <c r="AX194" s="21">
        <f t="shared" si="166"/>
        <v>0.22926820423717964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-4.0702161641092972E-13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394.14657090341535</v>
      </c>
      <c r="BJ194" s="59">
        <f t="shared" si="146"/>
        <v>424.06445894109982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0.13454817592853929</v>
      </c>
      <c r="BQ194" s="21">
        <f>EXP(-LN(2)/25)*BQ193+(1-EXP(-LN(2)/25))/(LN(2)/25)*Calculateur!BL194*Calculateur!BN194*VLOOKUP('Données projet'!$B$11,Paramètres!$A$1:$I$89,3,0)*0.475*44/12</f>
        <v>0.23633920818914703</v>
      </c>
      <c r="BR194" s="21">
        <f>EXP(-LN(2)/2)*BR193+(1-EXP(-LN(2)/2))/(LN(2)/2)*BL194*BO194*VLOOKUP('Données projet'!$B$11,Paramètres!$A$1:$I$89,3,0)*0.475*44/12</f>
        <v>1.4060551820060303E-23</v>
      </c>
      <c r="BS194" s="22">
        <f t="shared" si="169"/>
        <v>0.37088738411768629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3.1036506698001181E-13</v>
      </c>
      <c r="CA194" s="13">
        <f t="shared" si="170"/>
        <v>4.086682523110923E-12</v>
      </c>
      <c r="CB194" s="20">
        <f t="shared" si="171"/>
        <v>7.6581912194083782E-12</v>
      </c>
      <c r="CC194" s="59">
        <f t="shared" si="119"/>
        <v>290.09305636891452</v>
      </c>
      <c r="CD194" s="59">
        <f ca="1">AVERAGE(OFFSET($CC$3,0,0,'Données projet'!$E$12+1,1))-AVERAGE(OFFSET($H$3,0,0,'Données projet'!$E$12+1,1))</f>
        <v>382.09004346384319</v>
      </c>
      <c r="CE194" s="59">
        <f t="shared" si="148"/>
        <v>410.18893995284986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0.35122897867250186</v>
      </c>
      <c r="CL194" s="21">
        <f>EXP(-LN(2)/25)*CL193+(1-EXP(-LN(2)/25))/(LN(2)/25)*Calculateur!CG194*Calculateur!CI194*VLOOKUP('Données projet'!$B$12,Paramètres!$A$1:$I$89,3,0)*0.475*44/12</f>
        <v>0.3920374368164623</v>
      </c>
      <c r="CM194" s="21">
        <f>EXP(-LN(2)/2)*CM193+(1-EXP(-LN(2)/2))/(LN(2)/2)*CG194*CJ194*VLOOKUP('Données projet'!$B$12,Paramètres!$A$1:$I$89,3,0)*0.475*44/12</f>
        <v>1.4729327460494958E-23</v>
      </c>
      <c r="CN194" s="22">
        <f t="shared" si="172"/>
        <v>0.74326641548896411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363.02374534486341</v>
      </c>
      <c r="CZ194" s="59">
        <f t="shared" si="150"/>
        <v>489.00477393029598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0.30137198532806087</v>
      </c>
      <c r="DG194" s="21">
        <f>EXP(-LN(2)/25)*DG193+(1-EXP(-LN(2)/25))/(LN(2)/25)*Calculateur!DB194*Calculateur!DD194*VLOOKUP('Données projet'!$B$13,Paramètres!$A$1:$I$89,3,0)*0.475*44/12</f>
        <v>0.22301119031452421</v>
      </c>
      <c r="DH194" s="21">
        <f>EXP(-LN(2)/2)*DH193+(1-EXP(-LN(2)/2))/(LN(2)/2)*DB194*DE194*VLOOKUP('Données projet'!$B$13,Paramètres!$A$1:$I$89,3,0)*0.475*44/12</f>
        <v>1.714645511856645E-23</v>
      </c>
      <c r="DI194" s="22">
        <f t="shared" si="175"/>
        <v>0.52438317564258508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-3.7509835237869992E-13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368.03281986807173</v>
      </c>
      <c r="DU194" s="59">
        <f t="shared" si="152"/>
        <v>395.83504504492248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0.10060002351149766</v>
      </c>
      <c r="EB194" s="21">
        <f>EXP(-LN(2)/25)*EB193+(1-EXP(-LN(2)/25))/(LN(2)/25)*Calculateur!DW194*Calculateur!DY194*VLOOKUP('Données projet'!$B$14,Paramètres!$A$1:$I$89,3,0)*0.475*44/12</f>
        <v>0.17670793183509703</v>
      </c>
      <c r="EC194" s="21">
        <f>EXP(-LN(2)/2)*EC193+(1-EXP(-LN(2)/2))/(LN(2)/2)*DW194*DZ194*VLOOKUP('Données projet'!$B$14,Paramètres!$A$1:$I$89,3,0)*0.475*44/12</f>
        <v>1.2957763442016523E-23</v>
      </c>
      <c r="ED194" s="22">
        <f t="shared" si="178"/>
        <v>0.27730795534659469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225.2264820414552</v>
      </c>
      <c r="EP194" s="59">
        <f t="shared" si="154"/>
        <v>249.91838548328681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9.12233004181561E-2</v>
      </c>
      <c r="EW194" s="21">
        <f>EXP(-LN(2)/25)*EW193+(1-EXP(-LN(2)/25))/(LN(2)/25)*Calculateur!ER194*Calculateur!ET194*VLOOKUP('Données projet'!$B$15,Paramètres!$A$1:$I$89,3,0)*0.475*44/12</f>
        <v>9.9692724369765215E-2</v>
      </c>
      <c r="EX194" s="21">
        <f>EXP(-LN(2)/2)*EX193+(1-EXP(-LN(2)/2))/(LN(2)/2)*ER194*EU194*VLOOKUP('Données projet'!$B$15,Paramètres!$A$1:$I$89,3,0)*0.475*44/12</f>
        <v>2.3662464851359135E-24</v>
      </c>
      <c r="EY194" s="22">
        <f t="shared" si="181"/>
        <v>0.1909160247879213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-1.2505552149377763E-12</v>
      </c>
      <c r="FF194" s="17">
        <f>FE194*VLOOKUP('Données projet'!$B$16,Paramètres!$A$1:$I$89,3,0)*VLOOKUP('Données projet'!$B$16,Paramètres!$A$1:$I$89,5,0)</f>
        <v>-6.9906036515021697E-13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549.85684198202534</v>
      </c>
      <c r="FK194" s="59">
        <f t="shared" si="156"/>
        <v>539.63748606275431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0.47089372707509608</v>
      </c>
      <c r="FR194" s="21">
        <f>EXP(-LN(2)/25)*FR193+(1-EXP(-LN(2)/25))/(LN(2)/25)*Calculateur!FM194*Calculateur!FO194*VLOOKUP('Données projet'!$B$16,Paramètres!$A$1:$I$89,3,0)*0.475*44/12</f>
        <v>0.44642035311159117</v>
      </c>
      <c r="FS194" s="21">
        <f>EXP(-LN(2)/2)*FS193+(1-EXP(-LN(2)/2))/(LN(2)/2)*FM194*FP194*VLOOKUP('Données projet'!$B$16,Paramètres!$A$1:$I$89,3,0)*0.475*44/12</f>
        <v>2.1332592357126253E-23</v>
      </c>
      <c r="FT194" s="22">
        <f t="shared" si="184"/>
        <v>0.91731408018668725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-5.6843418860808015E-13</v>
      </c>
      <c r="GA194" s="17">
        <f>FZ194*VLOOKUP('Données projet'!$B$17,Paramètres!$A$1:$I$89,3,0)*VLOOKUP('Données projet'!$B$17,Paramètres!$A$1:$I$89,5,0)</f>
        <v>-3.39923644787632E-13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495.6641415122013</v>
      </c>
      <c r="GF194" s="59">
        <f t="shared" si="158"/>
        <v>488.90534169400757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0.16486258182586827</v>
      </c>
      <c r="GM194" s="21">
        <f>EXP(-LN(2)/25)*GM193+(1-EXP(-LN(2)/25))/(LN(2)/25)*Calculateur!GH194*Calculateur!GJ194*VLOOKUP('Données projet'!$B$17,Paramètres!$A$1:$I$89,3,0)*0.475*44/12</f>
        <v>0.29951959130220807</v>
      </c>
      <c r="GN194" s="21">
        <f>EXP(-LN(2)/2)*GN193+(1-EXP(-LN(2)/2))/(LN(2)/2)*GH194*GK194*VLOOKUP('Données projet'!$B$17,Paramètres!$A$1:$I$89,3,0)*0.475*44/12</f>
        <v>2.033090860764267E-23</v>
      </c>
      <c r="GO194" s="21">
        <f t="shared" si="187"/>
        <v>0.46438217312807634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-5.6843418860808015E-13</v>
      </c>
      <c r="GV194" s="17">
        <f>GU194*VLOOKUP('Données projet'!$B$18,Paramètres!$A$1:$I$89,3,0)*VLOOKUP('Données projet'!$B$18,Paramètres!$A$1:$I$89,5,0)</f>
        <v>-3.39923644787632E-13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-18.333333333333343</v>
      </c>
      <c r="HA194" s="59">
        <f t="shared" si="160"/>
        <v>-18.333333333333343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0.16486258182586827</v>
      </c>
      <c r="HH194" s="21">
        <f>EXP(-LN(2)/25)*HH193+(1-EXP(-LN(2)/25))/(LN(2)/25)*Calculateur!HC194*Calculateur!HE194*VLOOKUP('Données projet'!$B$18,Paramètres!$A$1:$I$89,3,0)*0.475*44/12</f>
        <v>0.29951959130220807</v>
      </c>
      <c r="HI194" s="21">
        <f>EXP(-LN(2)/2)*HI193+(1-EXP(-LN(2)/2))/(LN(2)/2)*HC194*HF194*VLOOKUP('Données projet'!$B$18,Paramètres!$A$1:$I$89,3,0)*0.475*44/12</f>
        <v>2.033090860764267E-23</v>
      </c>
      <c r="HJ194" s="22">
        <f t="shared" si="190"/>
        <v>0.46438217312807634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376.11581547534814</v>
      </c>
      <c r="T195" s="59">
        <f t="shared" si="142"/>
        <v>300.91675649863294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0.12671870999891574</v>
      </c>
      <c r="AA195" s="21">
        <f>EXP(-LN(2)/25)*AA194+(1-EXP(-LN(2)/25))/(LN(2)/25)*Calculateur!V195*Calculateur!X195*VLOOKUP('Données projet'!$B$9,Paramètres!$A$1:$I$89,3,0)*0.475*44/12</f>
        <v>8.8003002625076945E-2</v>
      </c>
      <c r="AB195" s="21">
        <f>EXP(-LN(2)/2)*AB194+(1-EXP(-LN(2)/2))/(LN(2)/2)*V195*Y195*VLOOKUP('Données projet'!$B$9,Paramètres!$A$1:$I$89,3,0)*0.475*44/12</f>
        <v>4.0664928818503551E-24</v>
      </c>
      <c r="AC195" s="22">
        <f t="shared" si="163"/>
        <v>0.2147217126239927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-5.6843418860808015E-13</v>
      </c>
      <c r="AJ195" s="13">
        <f>AI195*VLOOKUP('Données projet'!$B$10,Paramètres!$A$1:$I$89,3,0)*VLOOKUP('Données projet'!$B$10,Paramètres!$A$1:$I$89,5,0)</f>
        <v>-5.1431925385259092E-13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505.38595282220405</v>
      </c>
      <c r="AO195" s="59">
        <f t="shared" si="144"/>
        <v>351.72130415456365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9.7368246260472691E-2</v>
      </c>
      <c r="AV195" s="21">
        <f>EXP(-LN(2)/25)*AV194+(1-EXP(-LN(2)/25))/(LN(2)/25)*Calculateur!AQ195*Calculateur!AS195*VLOOKUP('Données projet'!$B$10,Paramètres!$A$1:$I$89,3,0)*0.475*44/12</f>
        <v>0.12639888013922279</v>
      </c>
      <c r="AW195" s="21">
        <f>EXP(-LN(2)/2)*AW194+(1-EXP(-LN(2)/2))/(LN(2)/2)*AQ195*AT195*VLOOKUP('Données projet'!$B$10,Paramètres!$A$1:$I$89,3,0)*0.475*44/12</f>
        <v>8.9142511576836316E-24</v>
      </c>
      <c r="AX195" s="21">
        <f t="shared" si="166"/>
        <v>0.22376712639969548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-4.0702161641092972E-13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394.14657090341535</v>
      </c>
      <c r="BJ195" s="59">
        <f t="shared" si="146"/>
        <v>424.06445894109982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0.13190976826486459</v>
      </c>
      <c r="BQ195" s="21">
        <f>EXP(-LN(2)/25)*BQ194+(1-EXP(-LN(2)/25))/(LN(2)/25)*Calculateur!BL195*Calculateur!BN195*VLOOKUP('Données projet'!$B$11,Paramètres!$A$1:$I$89,3,0)*0.475*44/12</f>
        <v>0.22987650011267599</v>
      </c>
      <c r="BR195" s="21">
        <f>EXP(-LN(2)/2)*BR194+(1-EXP(-LN(2)/2))/(LN(2)/2)*BL195*BO195*VLOOKUP('Données projet'!$B$11,Paramètres!$A$1:$I$89,3,0)*0.475*44/12</f>
        <v>9.942311539189493E-24</v>
      </c>
      <c r="BS195" s="22">
        <f t="shared" si="169"/>
        <v>0.36178626837754058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3.1036506698001181E-13</v>
      </c>
      <c r="CA195" s="13">
        <f t="shared" si="170"/>
        <v>4.086682523110923E-12</v>
      </c>
      <c r="CB195" s="20">
        <f t="shared" si="171"/>
        <v>7.6581912194083782E-12</v>
      </c>
      <c r="CC195" s="59">
        <f t="shared" si="119"/>
        <v>290.14926793007334</v>
      </c>
      <c r="CD195" s="59">
        <f ca="1">AVERAGE(OFFSET($CC$3,0,0,'Données projet'!$E$12+1,1))-AVERAGE(OFFSET($H$3,0,0,'Données projet'!$E$12+1,1))</f>
        <v>382.09004346384319</v>
      </c>
      <c r="CE195" s="59">
        <f t="shared" si="148"/>
        <v>410.18893995284986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0.34434159262925779</v>
      </c>
      <c r="CL195" s="21">
        <f>EXP(-LN(2)/25)*CL194+(1-EXP(-LN(2)/25))/(LN(2)/25)*Calculateur!CG195*Calculateur!CI195*VLOOKUP('Données projet'!$B$12,Paramètres!$A$1:$I$89,3,0)*0.475*44/12</f>
        <v>0.38131715249036335</v>
      </c>
      <c r="CM195" s="21">
        <f>EXP(-LN(2)/2)*CM194+(1-EXP(-LN(2)/2))/(LN(2)/2)*CG195*CJ195*VLOOKUP('Données projet'!$B$12,Paramètres!$A$1:$I$89,3,0)*0.475*44/12</f>
        <v>1.0415207329633214E-23</v>
      </c>
      <c r="CN195" s="22">
        <f t="shared" si="172"/>
        <v>0.72565874511962114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363.02374534486341</v>
      </c>
      <c r="CZ195" s="59">
        <f t="shared" si="150"/>
        <v>489.00477393029598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0.29546226451453805</v>
      </c>
      <c r="DG195" s="21">
        <f>EXP(-LN(2)/25)*DG194+(1-EXP(-LN(2)/25))/(LN(2)/25)*Calculateur!DB195*Calculateur!DD195*VLOOKUP('Données projet'!$B$13,Paramètres!$A$1:$I$89,3,0)*0.475*44/12</f>
        <v>0.21691293758772476</v>
      </c>
      <c r="DH195" s="21">
        <f>EXP(-LN(2)/2)*DH194+(1-EXP(-LN(2)/2))/(LN(2)/2)*DB195*DE195*VLOOKUP('Données projet'!$B$13,Paramètres!$A$1:$I$89,3,0)*0.475*44/12</f>
        <v>1.2124374687649124E-23</v>
      </c>
      <c r="DI195" s="22">
        <f t="shared" si="175"/>
        <v>0.51237520210226284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-3.7509835237869992E-13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368.03281986807173</v>
      </c>
      <c r="DU195" s="59">
        <f t="shared" si="152"/>
        <v>395.83504504492248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9.8627318410392739E-2</v>
      </c>
      <c r="EB195" s="21">
        <f>EXP(-LN(2)/25)*EB194+(1-EXP(-LN(2)/25))/(LN(2)/25)*Calculateur!DW195*Calculateur!DY195*VLOOKUP('Données projet'!$B$14,Paramètres!$A$1:$I$89,3,0)*0.475*44/12</f>
        <v>0.17187584414640003</v>
      </c>
      <c r="EC195" s="21">
        <f>EXP(-LN(2)/2)*EC194+(1-EXP(-LN(2)/2))/(LN(2)/2)*DW195*DZ195*VLOOKUP('Données projet'!$B$14,Paramètres!$A$1:$I$89,3,0)*0.475*44/12</f>
        <v>9.1625223988610233E-24</v>
      </c>
      <c r="ED195" s="22">
        <f t="shared" si="178"/>
        <v>0.27050316255679274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225.2264820414552</v>
      </c>
      <c r="EP195" s="59">
        <f t="shared" si="154"/>
        <v>249.91838548328681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8.943446713767525E-2</v>
      </c>
      <c r="EW195" s="21">
        <f>EXP(-LN(2)/25)*EW194+(1-EXP(-LN(2)/25))/(LN(2)/25)*Calculateur!ER195*Calculateur!ET195*VLOOKUP('Données projet'!$B$15,Paramètres!$A$1:$I$89,3,0)*0.475*44/12</f>
        <v>9.6966621579261461E-2</v>
      </c>
      <c r="EX195" s="21">
        <f>EXP(-LN(2)/2)*EX194+(1-EXP(-LN(2)/2))/(LN(2)/2)*ER195*EU195*VLOOKUP('Données projet'!$B$15,Paramètres!$A$1:$I$89,3,0)*0.475*44/12</f>
        <v>1.6731889355984375E-24</v>
      </c>
      <c r="EY195" s="22">
        <f t="shared" si="181"/>
        <v>0.18640108871693672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-1.2505552149377763E-12</v>
      </c>
      <c r="FF195" s="17">
        <f>FE195*VLOOKUP('Données projet'!$B$16,Paramètres!$A$1:$I$89,3,0)*VLOOKUP('Données projet'!$B$16,Paramètres!$A$1:$I$89,5,0)</f>
        <v>-6.9906036515021697E-13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549.85684198202534</v>
      </c>
      <c r="FK195" s="59">
        <f t="shared" si="156"/>
        <v>539.63748606275431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0.46165978830396665</v>
      </c>
      <c r="FR195" s="21">
        <f>EXP(-LN(2)/25)*FR194+(1-EXP(-LN(2)/25))/(LN(2)/25)*Calculateur!FM195*Calculateur!FO195*VLOOKUP('Données projet'!$B$16,Paramètres!$A$1:$I$89,3,0)*0.475*44/12</f>
        <v>0.43421296507952867</v>
      </c>
      <c r="FS195" s="21">
        <f>EXP(-LN(2)/2)*FS194+(1-EXP(-LN(2)/2))/(LN(2)/2)*FM195*FP195*VLOOKUP('Données projet'!$B$16,Paramètres!$A$1:$I$89,3,0)*0.475*44/12</f>
        <v>1.5084420716012289E-23</v>
      </c>
      <c r="FT195" s="22">
        <f t="shared" si="184"/>
        <v>0.89587275338349537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-5.6843418860808015E-13</v>
      </c>
      <c r="GA195" s="17">
        <f>FZ195*VLOOKUP('Données projet'!$B$17,Paramètres!$A$1:$I$89,3,0)*VLOOKUP('Données projet'!$B$17,Paramètres!$A$1:$I$89,5,0)</f>
        <v>-3.39923644787632E-13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495.6641415122013</v>
      </c>
      <c r="GF195" s="59">
        <f t="shared" si="158"/>
        <v>488.90534169400757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0.16162972715250881</v>
      </c>
      <c r="GM195" s="21">
        <f>EXP(-LN(2)/25)*GM194+(1-EXP(-LN(2)/25))/(LN(2)/25)*Calculateur!GH195*Calculateur!GJ195*VLOOKUP('Données projet'!$B$17,Paramètres!$A$1:$I$89,3,0)*0.475*44/12</f>
        <v>0.29132921232699843</v>
      </c>
      <c r="GN195" s="21">
        <f>EXP(-LN(2)/2)*GN194+(1-EXP(-LN(2)/2))/(LN(2)/2)*GH195*GK195*VLOOKUP('Données projet'!$B$17,Paramètres!$A$1:$I$89,3,0)*0.475*44/12</f>
        <v>1.437612334414808E-23</v>
      </c>
      <c r="GO195" s="21">
        <f t="shared" si="187"/>
        <v>0.45295893947950727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-5.6843418860808015E-13</v>
      </c>
      <c r="GV195" s="17">
        <f>GU195*VLOOKUP('Données projet'!$B$18,Paramètres!$A$1:$I$89,3,0)*VLOOKUP('Données projet'!$B$18,Paramètres!$A$1:$I$89,5,0)</f>
        <v>-3.39923644787632E-13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-18.333333333333343</v>
      </c>
      <c r="HA195" s="59">
        <f t="shared" si="160"/>
        <v>-18.333333333333343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0.16162972715250881</v>
      </c>
      <c r="HH195" s="21">
        <f>EXP(-LN(2)/25)*HH194+(1-EXP(-LN(2)/25))/(LN(2)/25)*Calculateur!HC195*Calculateur!HE195*VLOOKUP('Données projet'!$B$18,Paramètres!$A$1:$I$89,3,0)*0.475*44/12</f>
        <v>0.29132921232699843</v>
      </c>
      <c r="HI195" s="21">
        <f>EXP(-LN(2)/2)*HI194+(1-EXP(-LN(2)/2))/(LN(2)/2)*HC195*HF195*VLOOKUP('Données projet'!$B$18,Paramètres!$A$1:$I$89,3,0)*0.475*44/12</f>
        <v>1.437612334414808E-23</v>
      </c>
      <c r="HJ195" s="22">
        <f t="shared" si="190"/>
        <v>0.45295893947950727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376.11581547534814</v>
      </c>
      <c r="T196" s="59">
        <f t="shared" si="142"/>
        <v>300.91675649863294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0.12423383338661827</v>
      </c>
      <c r="AA196" s="21">
        <f>EXP(-LN(2)/25)*AA195+(1-EXP(-LN(2)/25))/(LN(2)/25)*Calculateur!V196*Calculateur!X196*VLOOKUP('Données projet'!$B$9,Paramètres!$A$1:$I$89,3,0)*0.475*44/12</f>
        <v>8.5596555890417439E-2</v>
      </c>
      <c r="AB196" s="21">
        <f>EXP(-LN(2)/2)*AB195+(1-EXP(-LN(2)/2))/(LN(2)/2)*V196*Y196*VLOOKUP('Données projet'!$B$9,Paramètres!$A$1:$I$89,3,0)*0.475*44/12</f>
        <v>2.8754446924032122E-24</v>
      </c>
      <c r="AC196" s="22">
        <f t="shared" si="163"/>
        <v>0.20983038927703571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-5.6843418860808015E-13</v>
      </c>
      <c r="AJ196" s="13">
        <f>AI196*VLOOKUP('Données projet'!$B$10,Paramètres!$A$1:$I$89,3,0)*VLOOKUP('Données projet'!$B$10,Paramètres!$A$1:$I$89,5,0)</f>
        <v>-5.1431925385259092E-13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505.38595282220405</v>
      </c>
      <c r="AO196" s="59">
        <f t="shared" si="144"/>
        <v>351.72130415456365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9.545891434007088E-2</v>
      </c>
      <c r="AV196" s="21">
        <f>EXP(-LN(2)/25)*AV195+(1-EXP(-LN(2)/25))/(LN(2)/25)*Calculateur!AQ196*Calculateur!AS196*VLOOKUP('Données projet'!$B$10,Paramètres!$A$1:$I$89,3,0)*0.475*44/12</f>
        <v>0.12294249611478753</v>
      </c>
      <c r="AW196" s="21">
        <f>EXP(-LN(2)/2)*AW195+(1-EXP(-LN(2)/2))/(LN(2)/2)*AQ196*AT196*VLOOKUP('Données projet'!$B$10,Paramètres!$A$1:$I$89,3,0)*0.475*44/12</f>
        <v>6.3033274427981277E-24</v>
      </c>
      <c r="AX196" s="21">
        <f t="shared" si="166"/>
        <v>0.21840141045485839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-4.0702161641092972E-13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394.14657090341535</v>
      </c>
      <c r="BJ196" s="59">
        <f t="shared" si="146"/>
        <v>424.06445894109982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0.12932309816620477</v>
      </c>
      <c r="BQ196" s="21">
        <f>EXP(-LN(2)/25)*BQ195+(1-EXP(-LN(2)/25))/(LN(2)/25)*Calculateur!BL196*Calculateur!BN196*VLOOKUP('Données projet'!$B$11,Paramètres!$A$1:$I$89,3,0)*0.475*44/12</f>
        <v>0.2235905151284151</v>
      </c>
      <c r="BR196" s="21">
        <f>EXP(-LN(2)/2)*BR195+(1-EXP(-LN(2)/2))/(LN(2)/2)*BL196*BO196*VLOOKUP('Données projet'!$B$11,Paramètres!$A$1:$I$89,3,0)*0.475*44/12</f>
        <v>7.0302759100301513E-24</v>
      </c>
      <c r="BS196" s="22">
        <f t="shared" si="169"/>
        <v>0.3529136132946199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3.1036506698001181E-13</v>
      </c>
      <c r="CA196" s="13">
        <f t="shared" si="170"/>
        <v>4.086682523110923E-12</v>
      </c>
      <c r="CB196" s="20">
        <f t="shared" si="171"/>
        <v>7.6581912194083782E-12</v>
      </c>
      <c r="CC196" s="59">
        <f t="shared" ref="CC196:CC203" si="195">CB196+(BT196+BU196)*44/12</f>
        <v>290.20450434631618</v>
      </c>
      <c r="CD196" s="59">
        <f ca="1">AVERAGE(OFFSET($CC$3,0,0,'Données projet'!$E$12+1,1))-AVERAGE(OFFSET($H$3,0,0,'Données projet'!$E$12+1,1))</f>
        <v>382.09004346384319</v>
      </c>
      <c r="CE196" s="59">
        <f t="shared" si="148"/>
        <v>410.18893995284986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0.33758926402543105</v>
      </c>
      <c r="CL196" s="21">
        <f>EXP(-LN(2)/25)*CL195+(1-EXP(-LN(2)/25))/(LN(2)/25)*Calculateur!CG196*Calculateur!CI196*VLOOKUP('Données projet'!$B$12,Paramètres!$A$1:$I$89,3,0)*0.475*44/12</f>
        <v>0.37089001490291684</v>
      </c>
      <c r="CM196" s="21">
        <f>EXP(-LN(2)/2)*CM195+(1-EXP(-LN(2)/2))/(LN(2)/2)*CG196*CJ196*VLOOKUP('Données projet'!$B$12,Paramètres!$A$1:$I$89,3,0)*0.475*44/12</f>
        <v>7.3646637302474789E-24</v>
      </c>
      <c r="CN196" s="22">
        <f t="shared" si="172"/>
        <v>0.70847927892834783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363.02374534486341</v>
      </c>
      <c r="CZ196" s="59">
        <f t="shared" si="150"/>
        <v>489.00477393029598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0.28966842972159462</v>
      </c>
      <c r="DG196" s="21">
        <f>EXP(-LN(2)/25)*DG195+(1-EXP(-LN(2)/25))/(LN(2)/25)*Calculateur!DB196*Calculateur!DD196*VLOOKUP('Données projet'!$B$13,Paramètres!$A$1:$I$89,3,0)*0.475*44/12</f>
        <v>0.21098144190243279</v>
      </c>
      <c r="DH196" s="21">
        <f>EXP(-LN(2)/2)*DH195+(1-EXP(-LN(2)/2))/(LN(2)/2)*DB196*DE196*VLOOKUP('Données projet'!$B$13,Paramètres!$A$1:$I$89,3,0)*0.475*44/12</f>
        <v>8.5732275592832248E-24</v>
      </c>
      <c r="DI196" s="22">
        <f t="shared" si="175"/>
        <v>0.50064987162402741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-3.7509835237869992E-13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368.03281986807173</v>
      </c>
      <c r="DU196" s="59">
        <f t="shared" si="152"/>
        <v>395.83504504492248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9.6693296853089181E-2</v>
      </c>
      <c r="EB196" s="21">
        <f>EXP(-LN(2)/25)*EB195+(1-EXP(-LN(2)/25))/(LN(2)/25)*Calculateur!DW196*Calculateur!DY196*VLOOKUP('Données projet'!$B$14,Paramètres!$A$1:$I$89,3,0)*0.475*44/12</f>
        <v>0.16717589014965892</v>
      </c>
      <c r="EC196" s="21">
        <f>EXP(-LN(2)/2)*EC195+(1-EXP(-LN(2)/2))/(LN(2)/2)*DW196*DZ196*VLOOKUP('Données projet'!$B$14,Paramètres!$A$1:$I$89,3,0)*0.475*44/12</f>
        <v>6.4788817210082622E-24</v>
      </c>
      <c r="ED196" s="22">
        <f t="shared" si="178"/>
        <v>0.26386918700274808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225.2264820414552</v>
      </c>
      <c r="EP196" s="59">
        <f t="shared" si="154"/>
        <v>249.91838548328681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8.7680711786744067E-2</v>
      </c>
      <c r="EW196" s="21">
        <f>EXP(-LN(2)/25)*EW195+(1-EXP(-LN(2)/25))/(LN(2)/25)*Calculateur!ER196*Calculateur!ET196*VLOOKUP('Données projet'!$B$15,Paramètres!$A$1:$I$89,3,0)*0.475*44/12</f>
        <v>9.4315064212923544E-2</v>
      </c>
      <c r="EX196" s="21">
        <f>EXP(-LN(2)/2)*EX195+(1-EXP(-LN(2)/2))/(LN(2)/2)*ER196*EU196*VLOOKUP('Données projet'!$B$15,Paramètres!$A$1:$I$89,3,0)*0.475*44/12</f>
        <v>1.1831232425679567E-24</v>
      </c>
      <c r="EY196" s="22">
        <f t="shared" si="181"/>
        <v>0.1819957759996676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-1.2505552149377763E-12</v>
      </c>
      <c r="FF196" s="17">
        <f>FE196*VLOOKUP('Données projet'!$B$16,Paramètres!$A$1:$I$89,3,0)*VLOOKUP('Données projet'!$B$16,Paramètres!$A$1:$I$89,5,0)</f>
        <v>-6.9906036515021697E-13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549.85684198202534</v>
      </c>
      <c r="FK196" s="59">
        <f t="shared" si="156"/>
        <v>539.63748606275431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0.45260692143999254</v>
      </c>
      <c r="FR196" s="21">
        <f>EXP(-LN(2)/25)*FR195+(1-EXP(-LN(2)/25))/(LN(2)/25)*Calculateur!FM196*Calculateur!FO196*VLOOKUP('Données projet'!$B$16,Paramètres!$A$1:$I$89,3,0)*0.475*44/12</f>
        <v>0.42233938871516152</v>
      </c>
      <c r="FS196" s="21">
        <f>EXP(-LN(2)/2)*FS195+(1-EXP(-LN(2)/2))/(LN(2)/2)*FM196*FP196*VLOOKUP('Données projet'!$B$16,Paramètres!$A$1:$I$89,3,0)*0.475*44/12</f>
        <v>1.0666296178563126E-23</v>
      </c>
      <c r="FT196" s="22">
        <f t="shared" si="184"/>
        <v>0.87494631015515401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-5.6843418860808015E-13</v>
      </c>
      <c r="GA196" s="17">
        <f>FZ196*VLOOKUP('Données projet'!$B$17,Paramètres!$A$1:$I$89,3,0)*VLOOKUP('Données projet'!$B$17,Paramètres!$A$1:$I$89,5,0)</f>
        <v>-3.39923644787632E-13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495.6641415122013</v>
      </c>
      <c r="GF196" s="59">
        <f t="shared" si="158"/>
        <v>488.90534169400757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0.15846026678744726</v>
      </c>
      <c r="GM196" s="21">
        <f>EXP(-LN(2)/25)*GM195+(1-EXP(-LN(2)/25))/(LN(2)/25)*Calculateur!GH196*Calculateur!GJ196*VLOOKUP('Données projet'!$B$17,Paramètres!$A$1:$I$89,3,0)*0.475*44/12</f>
        <v>0.2833627996955792</v>
      </c>
      <c r="GN196" s="21">
        <f>EXP(-LN(2)/2)*GN195+(1-EXP(-LN(2)/2))/(LN(2)/2)*GH196*GK196*VLOOKUP('Données projet'!$B$17,Paramètres!$A$1:$I$89,3,0)*0.475*44/12</f>
        <v>1.0165454303821335E-23</v>
      </c>
      <c r="GO196" s="21">
        <f t="shared" si="187"/>
        <v>0.44182306648302649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-5.6843418860808015E-13</v>
      </c>
      <c r="GV196" s="17">
        <f>GU196*VLOOKUP('Données projet'!$B$18,Paramètres!$A$1:$I$89,3,0)*VLOOKUP('Données projet'!$B$18,Paramètres!$A$1:$I$89,5,0)</f>
        <v>-3.39923644787632E-13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-18.333333333333343</v>
      </c>
      <c r="HA196" s="59">
        <f t="shared" si="160"/>
        <v>-18.333333333333343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0.15846026678744726</v>
      </c>
      <c r="HH196" s="21">
        <f>EXP(-LN(2)/25)*HH195+(1-EXP(-LN(2)/25))/(LN(2)/25)*Calculateur!HC196*Calculateur!HE196*VLOOKUP('Données projet'!$B$18,Paramètres!$A$1:$I$89,3,0)*0.475*44/12</f>
        <v>0.2833627996955792</v>
      </c>
      <c r="HI196" s="21">
        <f>EXP(-LN(2)/2)*HI195+(1-EXP(-LN(2)/2))/(LN(2)/2)*HC196*HF196*VLOOKUP('Données projet'!$B$18,Paramètres!$A$1:$I$89,3,0)*0.475*44/12</f>
        <v>1.0165454303821335E-23</v>
      </c>
      <c r="HJ196" s="22">
        <f t="shared" si="190"/>
        <v>0.44182306648302649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376.11581547534814</v>
      </c>
      <c r="T197" s="59">
        <f t="shared" ref="T197:T203" si="204">$T$3</f>
        <v>300.91675649863294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0.12179768368906288</v>
      </c>
      <c r="AA197" s="21">
        <f>EXP(-LN(2)/25)*AA196+(1-EXP(-LN(2)/25))/(LN(2)/25)*Calculateur!V197*Calculateur!X197*VLOOKUP('Données projet'!$B$9,Paramètres!$A$1:$I$89,3,0)*0.475*44/12</f>
        <v>8.325591356826674E-2</v>
      </c>
      <c r="AB197" s="21">
        <f>EXP(-LN(2)/2)*AB196+(1-EXP(-LN(2)/2))/(LN(2)/2)*V197*Y197*VLOOKUP('Données projet'!$B$9,Paramètres!$A$1:$I$89,3,0)*0.475*44/12</f>
        <v>2.0332464409251776E-24</v>
      </c>
      <c r="AC197" s="22">
        <f t="shared" si="163"/>
        <v>0.20505359725732963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-5.6843418860808015E-13</v>
      </c>
      <c r="AJ197" s="13">
        <f>AI197*VLOOKUP('Données projet'!$B$10,Paramètres!$A$1:$I$89,3,0)*VLOOKUP('Données projet'!$B$10,Paramètres!$A$1:$I$89,5,0)</f>
        <v>-5.1431925385259092E-13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505.38595282220405</v>
      </c>
      <c r="AO197" s="59">
        <f t="shared" ref="AO197:AO203" si="205">$AO$3</f>
        <v>351.72130415456365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9.3587023254050675E-2</v>
      </c>
      <c r="AV197" s="21">
        <f>EXP(-LN(2)/25)*AV196+(1-EXP(-LN(2)/25))/(LN(2)/25)*Calculateur!AQ197*Calculateur!AS197*VLOOKUP('Données projet'!$B$10,Paramètres!$A$1:$I$89,3,0)*0.475*44/12</f>
        <v>0.11958062709326378</v>
      </c>
      <c r="AW197" s="21">
        <f>EXP(-LN(2)/2)*AW196+(1-EXP(-LN(2)/2))/(LN(2)/2)*AQ197*AT197*VLOOKUP('Données projet'!$B$10,Paramètres!$A$1:$I$89,3,0)*0.475*44/12</f>
        <v>4.4571255788418158E-24</v>
      </c>
      <c r="AX197" s="21">
        <f t="shared" si="166"/>
        <v>0.21316765034731444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-4.0702161641092972E-13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394.14657090341535</v>
      </c>
      <c r="BJ197" s="59">
        <f t="shared" ref="BJ197:BJ203" si="206">$BJ$3</f>
        <v>424.06445894109982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0.1267871510904667</v>
      </c>
      <c r="BQ197" s="21">
        <f>EXP(-LN(2)/25)*BQ196+(1-EXP(-LN(2)/25))/(LN(2)/25)*Calculateur!BL197*Calculateur!BN197*VLOOKUP('Données projet'!$B$11,Paramètres!$A$1:$I$89,3,0)*0.475*44/12</f>
        <v>0.21747642073411441</v>
      </c>
      <c r="BR197" s="21">
        <f>EXP(-LN(2)/2)*BR196+(1-EXP(-LN(2)/2))/(LN(2)/2)*BL197*BO197*VLOOKUP('Données projet'!$B$11,Paramètres!$A$1:$I$89,3,0)*0.475*44/12</f>
        <v>4.9711557695947465E-24</v>
      </c>
      <c r="BS197" s="22">
        <f t="shared" si="169"/>
        <v>0.34426357182458112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3.1036506698001181E-13</v>
      </c>
      <c r="CA197" s="13">
        <f t="shared" si="170"/>
        <v>4.086682523110923E-12</v>
      </c>
      <c r="CB197" s="20">
        <f t="shared" si="171"/>
        <v>7.6581912194083782E-12</v>
      </c>
      <c r="CC197" s="59">
        <f t="shared" si="195"/>
        <v>290.25878253422741</v>
      </c>
      <c r="CD197" s="59">
        <f ca="1">AVERAGE(OFFSET($CC$3,0,0,'Données projet'!$E$12+1,1))-AVERAGE(OFFSET($H$3,0,0,'Données projet'!$E$12+1,1))</f>
        <v>382.09004346384319</v>
      </c>
      <c r="CE197" s="59">
        <f t="shared" ref="CE197:CE203" si="207">$CE$3</f>
        <v>410.18893995284986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0.33096934446701154</v>
      </c>
      <c r="CL197" s="21">
        <f>EXP(-LN(2)/25)*CL196+(1-EXP(-LN(2)/25))/(LN(2)/25)*Calculateur!CG197*Calculateur!CI197*VLOOKUP('Données projet'!$B$12,Paramètres!$A$1:$I$89,3,0)*0.475*44/12</f>
        <v>0.36074800794113837</v>
      </c>
      <c r="CM197" s="21">
        <f>EXP(-LN(2)/2)*CM196+(1-EXP(-LN(2)/2))/(LN(2)/2)*CG197*CJ197*VLOOKUP('Données projet'!$B$12,Paramètres!$A$1:$I$89,3,0)*0.475*44/12</f>
        <v>5.207603664816607E-24</v>
      </c>
      <c r="CN197" s="22">
        <f t="shared" si="172"/>
        <v>0.69171735240814991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363.02374534486341</v>
      </c>
      <c r="CZ197" s="59">
        <f t="shared" ref="CZ197:CZ203" si="208">$CZ$3</f>
        <v>489.00477393029598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0.28398820849505058</v>
      </c>
      <c r="DG197" s="21">
        <f>EXP(-LN(2)/25)*DG196+(1-EXP(-LN(2)/25))/(LN(2)/25)*Calculateur!DB197*Calculateur!DD197*VLOOKUP('Données projet'!$B$13,Paramètres!$A$1:$I$89,3,0)*0.475*44/12</f>
        <v>0.20521214327857895</v>
      </c>
      <c r="DH197" s="21">
        <f>EXP(-LN(2)/2)*DH196+(1-EXP(-LN(2)/2))/(LN(2)/2)*DB197*DE197*VLOOKUP('Données projet'!$B$13,Paramètres!$A$1:$I$89,3,0)*0.475*44/12</f>
        <v>6.0621873438245622E-24</v>
      </c>
      <c r="DI197" s="22">
        <f t="shared" si="175"/>
        <v>0.48920035177362953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-3.7509835237869992E-13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368.03281986807173</v>
      </c>
      <c r="DU197" s="59">
        <f t="shared" ref="DU197:DU203" si="209">$DU$3</f>
        <v>395.83504504492248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9.4797200278887675E-2</v>
      </c>
      <c r="EB197" s="21">
        <f>EXP(-LN(2)/25)*EB196+(1-EXP(-LN(2)/25))/(LN(2)/25)*Calculateur!DW197*Calculateur!DY197*VLOOKUP('Données projet'!$B$14,Paramètres!$A$1:$I$89,3,0)*0.475*44/12</f>
        <v>0.16260445664211851</v>
      </c>
      <c r="EC197" s="21">
        <f>EXP(-LN(2)/2)*EC196+(1-EXP(-LN(2)/2))/(LN(2)/2)*DW197*DZ197*VLOOKUP('Données projet'!$B$14,Paramètres!$A$1:$I$89,3,0)*0.475*44/12</f>
        <v>4.5812611994305124E-24</v>
      </c>
      <c r="ED197" s="22">
        <f t="shared" si="178"/>
        <v>0.25740165692100619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225.2264820414552</v>
      </c>
      <c r="EP197" s="59">
        <f t="shared" ref="EP197:EP203" si="210">$EP$3</f>
        <v>249.91838548328681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8.5961346508559494E-2</v>
      </c>
      <c r="EW197" s="21">
        <f>EXP(-LN(2)/25)*EW196+(1-EXP(-LN(2)/25))/(LN(2)/25)*Calculateur!ER197*Calculateur!ET197*VLOOKUP('Données projet'!$B$15,Paramètres!$A$1:$I$89,3,0)*0.475*44/12</f>
        <v>9.1736013822207488E-2</v>
      </c>
      <c r="EX197" s="21">
        <f>EXP(-LN(2)/2)*EX196+(1-EXP(-LN(2)/2))/(LN(2)/2)*ER197*EU197*VLOOKUP('Données projet'!$B$15,Paramètres!$A$1:$I$89,3,0)*0.475*44/12</f>
        <v>8.3659446779921877E-25</v>
      </c>
      <c r="EY197" s="22">
        <f t="shared" si="181"/>
        <v>0.177697360330767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-1.2505552149377763E-12</v>
      </c>
      <c r="FF197" s="17">
        <f>FE197*VLOOKUP('Données projet'!$B$16,Paramètres!$A$1:$I$89,3,0)*VLOOKUP('Données projet'!$B$16,Paramètres!$A$1:$I$89,5,0)</f>
        <v>-6.9906036515021697E-13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549.85684198202534</v>
      </c>
      <c r="FK197" s="59">
        <f t="shared" ref="FK197:FK203" si="211">$FK$3</f>
        <v>539.63748606275431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0.44373157577351741</v>
      </c>
      <c r="FR197" s="21">
        <f>EXP(-LN(2)/25)*FR196+(1-EXP(-LN(2)/25))/(LN(2)/25)*Calculateur!FM197*Calculateur!FO197*VLOOKUP('Données projet'!$B$16,Paramètres!$A$1:$I$89,3,0)*0.475*44/12</f>
        <v>0.41079049592088224</v>
      </c>
      <c r="FS197" s="21">
        <f>EXP(-LN(2)/2)*FS196+(1-EXP(-LN(2)/2))/(LN(2)/2)*FM197*FP197*VLOOKUP('Données projet'!$B$16,Paramètres!$A$1:$I$89,3,0)*0.475*44/12</f>
        <v>7.5422103580061445E-24</v>
      </c>
      <c r="FT197" s="22">
        <f t="shared" si="184"/>
        <v>0.85452207169439964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-5.6843418860808015E-13</v>
      </c>
      <c r="GA197" s="17">
        <f>FZ197*VLOOKUP('Données projet'!$B$17,Paramètres!$A$1:$I$89,3,0)*VLOOKUP('Données projet'!$B$17,Paramètres!$A$1:$I$89,5,0)</f>
        <v>-3.39923644787632E-13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495.6641415122013</v>
      </c>
      <c r="GF197" s="59">
        <f t="shared" ref="GF197:GF203" si="212">$GF$3</f>
        <v>488.90534169400757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0.15535295760696466</v>
      </c>
      <c r="GM197" s="21">
        <f>EXP(-LN(2)/25)*GM196+(1-EXP(-LN(2)/25))/(LN(2)/25)*Calculateur!GH197*Calculateur!GJ197*VLOOKUP('Données projet'!$B$17,Paramètres!$A$1:$I$89,3,0)*0.475*44/12</f>
        <v>0.27561422903650157</v>
      </c>
      <c r="GN197" s="21">
        <f>EXP(-LN(2)/2)*GN196+(1-EXP(-LN(2)/2))/(LN(2)/2)*GH197*GK197*VLOOKUP('Données projet'!$B$17,Paramètres!$A$1:$I$89,3,0)*0.475*44/12</f>
        <v>7.1880616720740402E-24</v>
      </c>
      <c r="GO197" s="21">
        <f t="shared" si="187"/>
        <v>0.43096718664346623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-5.6843418860808015E-13</v>
      </c>
      <c r="GV197" s="17">
        <f>GU197*VLOOKUP('Données projet'!$B$18,Paramètres!$A$1:$I$89,3,0)*VLOOKUP('Données projet'!$B$18,Paramètres!$A$1:$I$89,5,0)</f>
        <v>-3.39923644787632E-13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-18.333333333333343</v>
      </c>
      <c r="HA197" s="59">
        <f t="shared" ref="HA197:HA203" si="213">$HA$3</f>
        <v>-18.333333333333343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0.15535295760696466</v>
      </c>
      <c r="HH197" s="21">
        <f>EXP(-LN(2)/25)*HH196+(1-EXP(-LN(2)/25))/(LN(2)/25)*Calculateur!HC197*Calculateur!HE197*VLOOKUP('Données projet'!$B$18,Paramètres!$A$1:$I$89,3,0)*0.475*44/12</f>
        <v>0.27561422903650157</v>
      </c>
      <c r="HI197" s="21">
        <f>EXP(-LN(2)/2)*HI196+(1-EXP(-LN(2)/2))/(LN(2)/2)*HC197*HF197*VLOOKUP('Données projet'!$B$18,Paramètres!$A$1:$I$89,3,0)*0.475*44/12</f>
        <v>7.1880616720740402E-24</v>
      </c>
      <c r="HJ197" s="22">
        <f t="shared" si="190"/>
        <v>0.43096718664346623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376.11581547534814</v>
      </c>
      <c r="T198" s="59">
        <f t="shared" si="204"/>
        <v>300.91675649863294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0.11940930540117195</v>
      </c>
      <c r="AA198" s="21">
        <f>EXP(-LN(2)/25)*AA197+(1-EXP(-LN(2)/25))/(LN(2)/25)*Calculateur!V198*Calculateur!X198*VLOOKUP('Données projet'!$B$9,Paramètres!$A$1:$I$89,3,0)*0.475*44/12</f>
        <v>8.0979276233504274E-2</v>
      </c>
      <c r="AB198" s="21">
        <f>EXP(-LN(2)/2)*AB197+(1-EXP(-LN(2)/2))/(LN(2)/2)*V198*Y198*VLOOKUP('Données projet'!$B$9,Paramètres!$A$1:$I$89,3,0)*0.475*44/12</f>
        <v>1.4377223462016061E-24</v>
      </c>
      <c r="AC198" s="22">
        <f t="shared" si="163"/>
        <v>0.20038858163467621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-5.6843418860808015E-13</v>
      </c>
      <c r="AJ198" s="13">
        <f>AI198*VLOOKUP('Données projet'!$B$10,Paramètres!$A$1:$I$89,3,0)*VLOOKUP('Données projet'!$B$10,Paramètres!$A$1:$I$89,5,0)</f>
        <v>-5.1431925385259092E-13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505.38595282220405</v>
      </c>
      <c r="AO198" s="59">
        <f t="shared" si="205"/>
        <v>351.72130415456365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9.17518388104865E-2</v>
      </c>
      <c r="AV198" s="21">
        <f>EXP(-LN(2)/25)*AV197+(1-EXP(-LN(2)/25))/(LN(2)/25)*Calculateur!AQ198*Calculateur!AS198*VLOOKUP('Données projet'!$B$10,Paramètres!$A$1:$I$89,3,0)*0.475*44/12</f>
        <v>0.11631068855692661</v>
      </c>
      <c r="AW198" s="21">
        <f>EXP(-LN(2)/2)*AW197+(1-EXP(-LN(2)/2))/(LN(2)/2)*AQ198*AT198*VLOOKUP('Données projet'!$B$10,Paramètres!$A$1:$I$89,3,0)*0.475*44/12</f>
        <v>3.1516637213990639E-24</v>
      </c>
      <c r="AX198" s="21">
        <f t="shared" si="166"/>
        <v>0.2080625273674131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-4.0702161641092972E-13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394.14657090341535</v>
      </c>
      <c r="BJ198" s="59">
        <f t="shared" si="206"/>
        <v>424.06445894109982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0.12430093239010886</v>
      </c>
      <c r="BQ198" s="21">
        <f>EXP(-LN(2)/25)*BQ197+(1-EXP(-LN(2)/25))/(LN(2)/25)*Calculateur!BL198*Calculateur!BN198*VLOOKUP('Données projet'!$B$11,Paramètres!$A$1:$I$89,3,0)*0.475*44/12</f>
        <v>0.21152951657255215</v>
      </c>
      <c r="BR198" s="21">
        <f>EXP(-LN(2)/2)*BR197+(1-EXP(-LN(2)/2))/(LN(2)/2)*BL198*BO198*VLOOKUP('Données projet'!$B$11,Paramètres!$A$1:$I$89,3,0)*0.475*44/12</f>
        <v>3.5151379550150756E-24</v>
      </c>
      <c r="BS198" s="22">
        <f t="shared" si="169"/>
        <v>0.33583044896266101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3.1036506698001181E-13</v>
      </c>
      <c r="CA198" s="13">
        <f t="shared" si="170"/>
        <v>4.086682523110923E-12</v>
      </c>
      <c r="CB198" s="20">
        <f t="shared" si="171"/>
        <v>7.6581912194083782E-12</v>
      </c>
      <c r="CC198" s="59">
        <f t="shared" si="195"/>
        <v>290.31211911692617</v>
      </c>
      <c r="CD198" s="59">
        <f ca="1">AVERAGE(OFFSET($CC$3,0,0,'Données projet'!$E$12+1,1))-AVERAGE(OFFSET($H$3,0,0,'Données projet'!$E$12+1,1))</f>
        <v>382.09004346384319</v>
      </c>
      <c r="CE198" s="59">
        <f t="shared" si="207"/>
        <v>410.18893995284986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0.32447923749338042</v>
      </c>
      <c r="CL198" s="21">
        <f>EXP(-LN(2)/25)*CL197+(1-EXP(-LN(2)/25))/(LN(2)/25)*Calculateur!CG198*Calculateur!CI198*VLOOKUP('Données projet'!$B$12,Paramètres!$A$1:$I$89,3,0)*0.475*44/12</f>
        <v>0.3508833346930747</v>
      </c>
      <c r="CM198" s="21">
        <f>EXP(-LN(2)/2)*CM197+(1-EXP(-LN(2)/2))/(LN(2)/2)*CG198*CJ198*VLOOKUP('Données projet'!$B$12,Paramètres!$A$1:$I$89,3,0)*0.475*44/12</f>
        <v>3.6823318651237395E-24</v>
      </c>
      <c r="CN198" s="22">
        <f t="shared" si="172"/>
        <v>0.67536257218645512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363.02374534486341</v>
      </c>
      <c r="CZ198" s="59">
        <f t="shared" si="208"/>
        <v>489.00477393029598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0.27841937294216618</v>
      </c>
      <c r="DG198" s="21">
        <f>EXP(-LN(2)/25)*DG197+(1-EXP(-LN(2)/25))/(LN(2)/25)*Calculateur!DB198*Calculateur!DD198*VLOOKUP('Données projet'!$B$13,Paramètres!$A$1:$I$89,3,0)*0.475*44/12</f>
        <v>0.19960060642898861</v>
      </c>
      <c r="DH198" s="21">
        <f>EXP(-LN(2)/2)*DH197+(1-EXP(-LN(2)/2))/(LN(2)/2)*DB198*DE198*VLOOKUP('Données projet'!$B$13,Paramètres!$A$1:$I$89,3,0)*0.475*44/12</f>
        <v>4.2866137796416124E-24</v>
      </c>
      <c r="DI198" s="22">
        <f t="shared" si="175"/>
        <v>0.47801997937115481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-3.7509835237869992E-13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368.03281986807173</v>
      </c>
      <c r="DU198" s="59">
        <f t="shared" si="209"/>
        <v>395.83504504492248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9.2938285002001547E-2</v>
      </c>
      <c r="EB198" s="21">
        <f>EXP(-LN(2)/25)*EB197+(1-EXP(-LN(2)/25))/(LN(2)/25)*Calculateur!DW198*Calculateur!DY198*VLOOKUP('Données projet'!$B$14,Paramètres!$A$1:$I$89,3,0)*0.475*44/12</f>
        <v>0.15815802922424305</v>
      </c>
      <c r="EC198" s="21">
        <f>EXP(-LN(2)/2)*EC197+(1-EXP(-LN(2)/2))/(LN(2)/2)*DW198*DZ198*VLOOKUP('Données projet'!$B$14,Paramètres!$A$1:$I$89,3,0)*0.475*44/12</f>
        <v>3.2394408605041318E-24</v>
      </c>
      <c r="ED198" s="22">
        <f t="shared" si="178"/>
        <v>0.25109631422624457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225.2264820414552</v>
      </c>
      <c r="EP198" s="59">
        <f t="shared" si="210"/>
        <v>249.91838548328681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8.4275696934770855E-2</v>
      </c>
      <c r="EW198" s="21">
        <f>EXP(-LN(2)/25)*EW197+(1-EXP(-LN(2)/25))/(LN(2)/25)*Calculateur!ER198*Calculateur!ET198*VLOOKUP('Données projet'!$B$15,Paramètres!$A$1:$I$89,3,0)*0.475*44/12</f>
        <v>8.9227487700051927E-2</v>
      </c>
      <c r="EX198" s="21">
        <f>EXP(-LN(2)/2)*EX197+(1-EXP(-LN(2)/2))/(LN(2)/2)*ER198*EU198*VLOOKUP('Données projet'!$B$15,Paramètres!$A$1:$I$89,3,0)*0.475*44/12</f>
        <v>5.9156162128397837E-25</v>
      </c>
      <c r="EY198" s="22">
        <f t="shared" si="181"/>
        <v>0.17350318463482278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-1.2505552149377763E-12</v>
      </c>
      <c r="FF198" s="17">
        <f>FE198*VLOOKUP('Données projet'!$B$16,Paramètres!$A$1:$I$89,3,0)*VLOOKUP('Données projet'!$B$16,Paramètres!$A$1:$I$89,5,0)</f>
        <v>-6.9906036515021697E-13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549.85684198202534</v>
      </c>
      <c r="FK198" s="59">
        <f t="shared" si="211"/>
        <v>539.63748606275431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0.43503027022213553</v>
      </c>
      <c r="FR198" s="21">
        <f>EXP(-LN(2)/25)*FR197+(1-EXP(-LN(2)/25))/(LN(2)/25)*Calculateur!FM198*Calculateur!FO198*VLOOKUP('Données projet'!$B$16,Paramètres!$A$1:$I$89,3,0)*0.475*44/12</f>
        <v>0.39955740820739238</v>
      </c>
      <c r="FS198" s="21">
        <f>EXP(-LN(2)/2)*FS197+(1-EXP(-LN(2)/2))/(LN(2)/2)*FM198*FP198*VLOOKUP('Données projet'!$B$16,Paramètres!$A$1:$I$89,3,0)*0.475*44/12</f>
        <v>5.3331480892815631E-24</v>
      </c>
      <c r="FT198" s="22">
        <f t="shared" si="184"/>
        <v>0.83458767842952786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-5.6843418860808015E-13</v>
      </c>
      <c r="GA198" s="17">
        <f>FZ198*VLOOKUP('Données projet'!$B$17,Paramètres!$A$1:$I$89,3,0)*VLOOKUP('Données projet'!$B$17,Paramètres!$A$1:$I$89,5,0)</f>
        <v>-3.39923644787632E-13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495.6641415122013</v>
      </c>
      <c r="GF198" s="59">
        <f t="shared" si="212"/>
        <v>488.90534169400757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0.15230658086423984</v>
      </c>
      <c r="GM198" s="21">
        <f>EXP(-LN(2)/25)*GM197+(1-EXP(-LN(2)/25))/(LN(2)/25)*Calculateur!GH198*Calculateur!GJ198*VLOOKUP('Données projet'!$B$17,Paramètres!$A$1:$I$89,3,0)*0.475*44/12</f>
        <v>0.26807754344957607</v>
      </c>
      <c r="GN198" s="21">
        <f>EXP(-LN(2)/2)*GN197+(1-EXP(-LN(2)/2))/(LN(2)/2)*GH198*GK198*VLOOKUP('Données projet'!$B$17,Paramètres!$A$1:$I$89,3,0)*0.475*44/12</f>
        <v>5.0827271519106674E-24</v>
      </c>
      <c r="GO198" s="21">
        <f t="shared" si="187"/>
        <v>0.42038412431381589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-5.6843418860808015E-13</v>
      </c>
      <c r="GV198" s="17">
        <f>GU198*VLOOKUP('Données projet'!$B$18,Paramètres!$A$1:$I$89,3,0)*VLOOKUP('Données projet'!$B$18,Paramètres!$A$1:$I$89,5,0)</f>
        <v>-3.39923644787632E-13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-18.333333333333343</v>
      </c>
      <c r="HA198" s="59">
        <f t="shared" si="213"/>
        <v>-18.333333333333343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0.15230658086423984</v>
      </c>
      <c r="HH198" s="21">
        <f>EXP(-LN(2)/25)*HH197+(1-EXP(-LN(2)/25))/(LN(2)/25)*Calculateur!HC198*Calculateur!HE198*VLOOKUP('Données projet'!$B$18,Paramètres!$A$1:$I$89,3,0)*0.475*44/12</f>
        <v>0.26807754344957607</v>
      </c>
      <c r="HI198" s="21">
        <f>EXP(-LN(2)/2)*HI197+(1-EXP(-LN(2)/2))/(LN(2)/2)*HC198*HF198*VLOOKUP('Données projet'!$B$18,Paramètres!$A$1:$I$89,3,0)*0.475*44/12</f>
        <v>5.0827271519106674E-24</v>
      </c>
      <c r="HJ198" s="22">
        <f t="shared" si="190"/>
        <v>0.42038412431381589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376.11581547534814</v>
      </c>
      <c r="T199" s="59">
        <f t="shared" si="204"/>
        <v>300.91675649863294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0.11706776175473965</v>
      </c>
      <c r="AA199" s="21">
        <f>EXP(-LN(2)/25)*AA198+(1-EXP(-LN(2)/25))/(LN(2)/25)*Calculateur!V199*Calculateur!X199*VLOOKUP('Données projet'!$B$9,Paramètres!$A$1:$I$89,3,0)*0.475*44/12</f>
        <v>7.8764893666384048E-2</v>
      </c>
      <c r="AB199" s="21">
        <f>EXP(-LN(2)/2)*AB198+(1-EXP(-LN(2)/2))/(LN(2)/2)*V199*Y199*VLOOKUP('Données projet'!$B$9,Paramètres!$A$1:$I$89,3,0)*0.475*44/12</f>
        <v>1.0166232204625888E-24</v>
      </c>
      <c r="AC199" s="22">
        <f t="shared" si="163"/>
        <v>0.19583265542112371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-5.6843418860808015E-13</v>
      </c>
      <c r="AJ199" s="13">
        <f>AI199*VLOOKUP('Données projet'!$B$10,Paramètres!$A$1:$I$89,3,0)*VLOOKUP('Données projet'!$B$10,Paramètres!$A$1:$I$89,5,0)</f>
        <v>-5.1431925385259092E-13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505.38595282220405</v>
      </c>
      <c r="AO199" s="59">
        <f t="shared" si="205"/>
        <v>351.72130415456365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8.9952641214508633E-2</v>
      </c>
      <c r="AV199" s="21">
        <f>EXP(-LN(2)/25)*AV198+(1-EXP(-LN(2)/25))/(LN(2)/25)*Calculateur!AQ199*Calculateur!AS199*VLOOKUP('Données projet'!$B$10,Paramètres!$A$1:$I$89,3,0)*0.475*44/12</f>
        <v>0.11313016666182417</v>
      </c>
      <c r="AW199" s="21">
        <f>EXP(-LN(2)/2)*AW198+(1-EXP(-LN(2)/2))/(LN(2)/2)*AQ199*AT199*VLOOKUP('Données projet'!$B$10,Paramètres!$A$1:$I$89,3,0)*0.475*44/12</f>
        <v>2.2285627894209079E-24</v>
      </c>
      <c r="AX199" s="21">
        <f t="shared" si="166"/>
        <v>0.20308280787633282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-4.0702161641092972E-13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394.14657090341535</v>
      </c>
      <c r="BJ199" s="59">
        <f t="shared" si="206"/>
        <v>424.06445894109982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0.12186346692202137</v>
      </c>
      <c r="BQ199" s="21">
        <f>EXP(-LN(2)/25)*BQ198+(1-EXP(-LN(2)/25))/(LN(2)/25)*Calculateur!BL199*Calculateur!BN199*VLOOKUP('Données projet'!$B$11,Paramètres!$A$1:$I$89,3,0)*0.475*44/12</f>
        <v>0.2057452308180219</v>
      </c>
      <c r="BR199" s="21">
        <f>EXP(-LN(2)/2)*BR198+(1-EXP(-LN(2)/2))/(LN(2)/2)*BL199*BO199*VLOOKUP('Données projet'!$B$11,Paramètres!$A$1:$I$89,3,0)*0.475*44/12</f>
        <v>2.4855778847973732E-24</v>
      </c>
      <c r="BS199" s="22">
        <f t="shared" si="169"/>
        <v>0.32760869774004325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3.1036506698001181E-13</v>
      </c>
      <c r="CA199" s="13">
        <f t="shared" si="170"/>
        <v>4.086682523110923E-12</v>
      </c>
      <c r="CB199" s="20">
        <f t="shared" si="171"/>
        <v>7.6581912194083782E-12</v>
      </c>
      <c r="CC199" s="59">
        <f t="shared" si="195"/>
        <v>290.36453042915787</v>
      </c>
      <c r="CD199" s="59">
        <f ca="1">AVERAGE(OFFSET($CC$3,0,0,'Données projet'!$E$12+1,1))-AVERAGE(OFFSET($H$3,0,0,'Données projet'!$E$12+1,1))</f>
        <v>382.09004346384319</v>
      </c>
      <c r="CE199" s="59">
        <f t="shared" si="207"/>
        <v>410.18893995284986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0.31811639755892784</v>
      </c>
      <c r="CL199" s="21">
        <f>EXP(-LN(2)/25)*CL198+(1-EXP(-LN(2)/25))/(LN(2)/25)*Calculateur!CG199*Calculateur!CI199*VLOOKUP('Données projet'!$B$12,Paramètres!$A$1:$I$89,3,0)*0.475*44/12</f>
        <v>0.34128841145373995</v>
      </c>
      <c r="CM199" s="21">
        <f>EXP(-LN(2)/2)*CM198+(1-EXP(-LN(2)/2))/(LN(2)/2)*CG199*CJ199*VLOOKUP('Données projet'!$B$12,Paramètres!$A$1:$I$89,3,0)*0.475*44/12</f>
        <v>2.6038018324083035E-24</v>
      </c>
      <c r="CN199" s="22">
        <f t="shared" si="172"/>
        <v>0.65940480901266785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363.02374534486341</v>
      </c>
      <c r="CZ199" s="59">
        <f t="shared" si="208"/>
        <v>489.00477393029598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0.27295973885781954</v>
      </c>
      <c r="DG199" s="21">
        <f>EXP(-LN(2)/25)*DG198+(1-EXP(-LN(2)/25))/(LN(2)/25)*Calculateur!DB199*Calculateur!DD199*VLOOKUP('Données projet'!$B$13,Paramètres!$A$1:$I$89,3,0)*0.475*44/12</f>
        <v>0.19414251734964821</v>
      </c>
      <c r="DH199" s="21">
        <f>EXP(-LN(2)/2)*DH198+(1-EXP(-LN(2)/2))/(LN(2)/2)*DB199*DE199*VLOOKUP('Données projet'!$B$13,Paramètres!$A$1:$I$89,3,0)*0.475*44/12</f>
        <v>3.0310936719122811E-24</v>
      </c>
      <c r="DI199" s="22">
        <f t="shared" si="175"/>
        <v>0.46710225620746776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-3.7509835237869992E-13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368.03281986807173</v>
      </c>
      <c r="DU199" s="59">
        <f t="shared" si="209"/>
        <v>395.83504504492248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9.1115821919868792E-2</v>
      </c>
      <c r="EB199" s="21">
        <f>EXP(-LN(2)/25)*EB198+(1-EXP(-LN(2)/25))/(LN(2)/25)*Calculateur!DW199*Calculateur!DY199*VLOOKUP('Données projet'!$B$14,Paramètres!$A$1:$I$89,3,0)*0.475*44/12</f>
        <v>0.15383318959793685</v>
      </c>
      <c r="EC199" s="21">
        <f>EXP(-LN(2)/2)*EC198+(1-EXP(-LN(2)/2))/(LN(2)/2)*DW199*DZ199*VLOOKUP('Données projet'!$B$14,Paramètres!$A$1:$I$89,3,0)*0.475*44/12</f>
        <v>2.2906305997152566E-24</v>
      </c>
      <c r="ED199" s="22">
        <f t="shared" si="178"/>
        <v>0.24494901151780563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225.2264820414552</v>
      </c>
      <c r="EP199" s="59">
        <f t="shared" si="210"/>
        <v>249.91838548328681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8.2623101920979491E-2</v>
      </c>
      <c r="EW199" s="21">
        <f>EXP(-LN(2)/25)*EW198+(1-EXP(-LN(2)/25))/(LN(2)/25)*Calculateur!ER199*Calculateur!ET199*VLOOKUP('Données projet'!$B$15,Paramètres!$A$1:$I$89,3,0)*0.475*44/12</f>
        <v>8.6787557356624356E-2</v>
      </c>
      <c r="EX199" s="21">
        <f>EXP(-LN(2)/2)*EX198+(1-EXP(-LN(2)/2))/(LN(2)/2)*ER199*EU199*VLOOKUP('Données projet'!$B$15,Paramètres!$A$1:$I$89,3,0)*0.475*44/12</f>
        <v>4.1829723389960939E-25</v>
      </c>
      <c r="EY199" s="22">
        <f t="shared" si="181"/>
        <v>0.16941065927760385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-1.2505552149377763E-12</v>
      </c>
      <c r="FF199" s="17">
        <f>FE199*VLOOKUP('Données projet'!$B$16,Paramètres!$A$1:$I$89,3,0)*VLOOKUP('Données projet'!$B$16,Paramètres!$A$1:$I$89,5,0)</f>
        <v>-6.9906036515021697E-13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549.85684198202534</v>
      </c>
      <c r="FK199" s="59">
        <f t="shared" si="211"/>
        <v>539.63748606275431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0.42649959196534393</v>
      </c>
      <c r="FR199" s="21">
        <f>EXP(-LN(2)/25)*FR198+(1-EXP(-LN(2)/25))/(LN(2)/25)*Calculateur!FM199*Calculateur!FO199*VLOOKUP('Données projet'!$B$16,Paramètres!$A$1:$I$89,3,0)*0.475*44/12</f>
        <v>0.38863148986815033</v>
      </c>
      <c r="FS199" s="21">
        <f>EXP(-LN(2)/2)*FS198+(1-EXP(-LN(2)/2))/(LN(2)/2)*FM199*FP199*VLOOKUP('Données projet'!$B$16,Paramètres!$A$1:$I$89,3,0)*0.475*44/12</f>
        <v>3.7711051790030722E-24</v>
      </c>
      <c r="FT199" s="22">
        <f t="shared" si="184"/>
        <v>0.81513108183349425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-5.6843418860808015E-13</v>
      </c>
      <c r="GA199" s="17">
        <f>FZ199*VLOOKUP('Données projet'!$B$17,Paramètres!$A$1:$I$89,3,0)*VLOOKUP('Données projet'!$B$17,Paramètres!$A$1:$I$89,5,0)</f>
        <v>-3.39923644787632E-13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495.6641415122013</v>
      </c>
      <c r="GF199" s="59">
        <f t="shared" si="212"/>
        <v>488.90534169400757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0.14931994171133353</v>
      </c>
      <c r="GM199" s="21">
        <f>EXP(-LN(2)/25)*GM198+(1-EXP(-LN(2)/25))/(LN(2)/25)*Calculateur!GH199*Calculateur!GJ199*VLOOKUP('Données projet'!$B$17,Paramètres!$A$1:$I$89,3,0)*0.475*44/12</f>
        <v>0.26074694892636208</v>
      </c>
      <c r="GN199" s="21">
        <f>EXP(-LN(2)/2)*GN198+(1-EXP(-LN(2)/2))/(LN(2)/2)*GH199*GK199*VLOOKUP('Données projet'!$B$17,Paramètres!$A$1:$I$89,3,0)*0.475*44/12</f>
        <v>3.5940308360370201E-24</v>
      </c>
      <c r="GO199" s="21">
        <f t="shared" si="187"/>
        <v>0.41006689063769564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-5.6843418860808015E-13</v>
      </c>
      <c r="GV199" s="17">
        <f>GU199*VLOOKUP('Données projet'!$B$18,Paramètres!$A$1:$I$89,3,0)*VLOOKUP('Données projet'!$B$18,Paramètres!$A$1:$I$89,5,0)</f>
        <v>-3.39923644787632E-13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-18.333333333333343</v>
      </c>
      <c r="HA199" s="59">
        <f t="shared" si="213"/>
        <v>-18.333333333333343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0.14931994171133353</v>
      </c>
      <c r="HH199" s="21">
        <f>EXP(-LN(2)/25)*HH198+(1-EXP(-LN(2)/25))/(LN(2)/25)*Calculateur!HC199*Calculateur!HE199*VLOOKUP('Données projet'!$B$18,Paramètres!$A$1:$I$89,3,0)*0.475*44/12</f>
        <v>0.26074694892636208</v>
      </c>
      <c r="HI199" s="21">
        <f>EXP(-LN(2)/2)*HI198+(1-EXP(-LN(2)/2))/(LN(2)/2)*HC199*HF199*VLOOKUP('Données projet'!$B$18,Paramètres!$A$1:$I$89,3,0)*0.475*44/12</f>
        <v>3.5940308360370201E-24</v>
      </c>
      <c r="HJ199" s="22">
        <f t="shared" si="190"/>
        <v>0.41006689063769564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376.11581547534814</v>
      </c>
      <c r="T200" s="59">
        <f t="shared" si="204"/>
        <v>300.91675649863294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0.11477213435101329</v>
      </c>
      <c r="AA200" s="21">
        <f>EXP(-LN(2)/25)*AA199+(1-EXP(-LN(2)/25))/(LN(2)/25)*Calculateur!V200*Calculateur!X200*VLOOKUP('Données projet'!$B$9,Paramètres!$A$1:$I$89,3,0)*0.475*44/12</f>
        <v>7.6611063507011037E-2</v>
      </c>
      <c r="AB200" s="21">
        <f>EXP(-LN(2)/2)*AB199+(1-EXP(-LN(2)/2))/(LN(2)/2)*V200*Y200*VLOOKUP('Données projet'!$B$9,Paramètres!$A$1:$I$89,3,0)*0.475*44/12</f>
        <v>7.1886117310080304E-25</v>
      </c>
      <c r="AC200" s="22">
        <f t="shared" si="163"/>
        <v>0.19138319785802432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-5.6843418860808015E-13</v>
      </c>
      <c r="AJ200" s="13">
        <f>AI200*VLOOKUP('Données projet'!$B$10,Paramètres!$A$1:$I$89,3,0)*VLOOKUP('Données projet'!$B$10,Paramètres!$A$1:$I$89,5,0)</f>
        <v>-5.1431925385259092E-13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505.38595282220405</v>
      </c>
      <c r="AO200" s="59">
        <f t="shared" si="205"/>
        <v>351.72130415456365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8.8188724785985717E-2</v>
      </c>
      <c r="AV200" s="21">
        <f>EXP(-LN(2)/25)*AV199+(1-EXP(-LN(2)/25))/(LN(2)/25)*Calculateur!AQ200*Calculateur!AS200*VLOOKUP('Données projet'!$B$10,Paramètres!$A$1:$I$89,3,0)*0.475*44/12</f>
        <v>0.11003661630519969</v>
      </c>
      <c r="AW200" s="21">
        <f>EXP(-LN(2)/2)*AW199+(1-EXP(-LN(2)/2))/(LN(2)/2)*AQ200*AT200*VLOOKUP('Données projet'!$B$10,Paramètres!$A$1:$I$89,3,0)*0.475*44/12</f>
        <v>1.5758318606995319E-24</v>
      </c>
      <c r="AX200" s="21">
        <f t="shared" si="166"/>
        <v>0.19822534109118539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-4.0702161641092972E-13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394.14657090341535</v>
      </c>
      <c r="BJ200" s="59">
        <f t="shared" si="206"/>
        <v>424.06445894109982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0.11947379866505593</v>
      </c>
      <c r="BQ200" s="21">
        <f>EXP(-LN(2)/25)*BQ199+(1-EXP(-LN(2)/25))/(LN(2)/25)*Calculateur!BL200*Calculateur!BN200*VLOOKUP('Données projet'!$B$11,Paramètres!$A$1:$I$89,3,0)*0.475*44/12</f>
        <v>0.20011911666163165</v>
      </c>
      <c r="BR200" s="21">
        <f>EXP(-LN(2)/2)*BR199+(1-EXP(-LN(2)/2))/(LN(2)/2)*BL200*BO200*VLOOKUP('Données projet'!$B$11,Paramètres!$A$1:$I$89,3,0)*0.475*44/12</f>
        <v>1.7575689775075378E-24</v>
      </c>
      <c r="BS200" s="22">
        <f t="shared" si="169"/>
        <v>0.3195929153266876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3.1036506698001181E-13</v>
      </c>
      <c r="CA200" s="13">
        <f t="shared" si="170"/>
        <v>4.086682523110923E-12</v>
      </c>
      <c r="CB200" s="20">
        <f t="shared" si="171"/>
        <v>7.6581912194083782E-12</v>
      </c>
      <c r="CC200" s="59">
        <f t="shared" si="195"/>
        <v>290.41603252229646</v>
      </c>
      <c r="CD200" s="59">
        <f ca="1">AVERAGE(OFFSET($CC$3,0,0,'Données projet'!$E$12+1,1))-AVERAGE(OFFSET($H$3,0,0,'Données projet'!$E$12+1,1))</f>
        <v>382.09004346384319</v>
      </c>
      <c r="CE200" s="59">
        <f t="shared" si="207"/>
        <v>410.18893995284986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0.31187832903464074</v>
      </c>
      <c r="CL200" s="21">
        <f>EXP(-LN(2)/25)*CL199+(1-EXP(-LN(2)/25))/(LN(2)/25)*Calculateur!CG200*Calculateur!CI200*VLOOKUP('Données projet'!$B$12,Paramètres!$A$1:$I$89,3,0)*0.475*44/12</f>
        <v>0.3319558618949599</v>
      </c>
      <c r="CM200" s="21">
        <f>EXP(-LN(2)/2)*CM199+(1-EXP(-LN(2)/2))/(LN(2)/2)*CG200*CJ200*VLOOKUP('Données projet'!$B$12,Paramètres!$A$1:$I$89,3,0)*0.475*44/12</f>
        <v>1.8411659325618697E-24</v>
      </c>
      <c r="CN200" s="22">
        <f t="shared" si="172"/>
        <v>0.64383419092960059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363.02374534486341</v>
      </c>
      <c r="CZ200" s="59">
        <f t="shared" si="208"/>
        <v>489.00477393029598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0.26760716486781899</v>
      </c>
      <c r="DG200" s="21">
        <f>EXP(-LN(2)/25)*DG199+(1-EXP(-LN(2)/25))/(LN(2)/25)*Calculateur!DB200*Calculateur!DD200*VLOOKUP('Données projet'!$B$13,Paramètres!$A$1:$I$89,3,0)*0.475*44/12</f>
        <v>0.18883368000321082</v>
      </c>
      <c r="DH200" s="21">
        <f>EXP(-LN(2)/2)*DH199+(1-EXP(-LN(2)/2))/(LN(2)/2)*DB200*DE200*VLOOKUP('Données projet'!$B$13,Paramètres!$A$1:$I$89,3,0)*0.475*44/12</f>
        <v>2.1433068898208062E-24</v>
      </c>
      <c r="DI200" s="22">
        <f t="shared" si="175"/>
        <v>0.45644084487102982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-3.7509835237869992E-13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368.03281986807173</v>
      </c>
      <c r="DU200" s="59">
        <f t="shared" si="209"/>
        <v>395.83504504492248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8.9329096227183949E-2</v>
      </c>
      <c r="EB200" s="21">
        <f>EXP(-LN(2)/25)*EB199+(1-EXP(-LN(2)/25))/(LN(2)/25)*Calculateur!DW200*Calculateur!DY200*VLOOKUP('Données projet'!$B$14,Paramètres!$A$1:$I$89,3,0)*0.475*44/12</f>
        <v>0.1496266129386454</v>
      </c>
      <c r="EC200" s="21">
        <f>EXP(-LN(2)/2)*EC199+(1-EXP(-LN(2)/2))/(LN(2)/2)*DW200*DZ200*VLOOKUP('Données projet'!$B$14,Paramètres!$A$1:$I$89,3,0)*0.475*44/12</f>
        <v>1.6197204302520661E-24</v>
      </c>
      <c r="ED200" s="22">
        <f t="shared" si="178"/>
        <v>0.23895570916582937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225.2264820414552</v>
      </c>
      <c r="EP200" s="59">
        <f t="shared" si="210"/>
        <v>249.91838548328681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8.1002913287425149E-2</v>
      </c>
      <c r="EW200" s="21">
        <f>EXP(-LN(2)/25)*EW199+(1-EXP(-LN(2)/25))/(LN(2)/25)*Calculateur!ER200*Calculateur!ET200*VLOOKUP('Données projet'!$B$15,Paramètres!$A$1:$I$89,3,0)*0.475*44/12</f>
        <v>8.4414347036748175E-2</v>
      </c>
      <c r="EX200" s="21">
        <f>EXP(-LN(2)/2)*EX199+(1-EXP(-LN(2)/2))/(LN(2)/2)*ER200*EU200*VLOOKUP('Données projet'!$B$15,Paramètres!$A$1:$I$89,3,0)*0.475*44/12</f>
        <v>2.9578081064198919E-25</v>
      </c>
      <c r="EY200" s="22">
        <f t="shared" si="181"/>
        <v>0.16541726032417331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-1.2505552149377763E-12</v>
      </c>
      <c r="FF200" s="17">
        <f>FE200*VLOOKUP('Données projet'!$B$16,Paramètres!$A$1:$I$89,3,0)*VLOOKUP('Données projet'!$B$16,Paramètres!$A$1:$I$89,5,0)</f>
        <v>-6.9906036515021697E-13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549.85684198202534</v>
      </c>
      <c r="FK200" s="59">
        <f t="shared" si="211"/>
        <v>539.63748606275431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0.41813619510596806</v>
      </c>
      <c r="FR200" s="21">
        <f>EXP(-LN(2)/25)*FR199+(1-EXP(-LN(2)/25))/(LN(2)/25)*Calculateur!FM200*Calculateur!FO200*VLOOKUP('Données projet'!$B$16,Paramètres!$A$1:$I$89,3,0)*0.475*44/12</f>
        <v>0.37800434134046396</v>
      </c>
      <c r="FS200" s="21">
        <f>EXP(-LN(2)/2)*FS199+(1-EXP(-LN(2)/2))/(LN(2)/2)*FM200*FP200*VLOOKUP('Données projet'!$B$16,Paramètres!$A$1:$I$89,3,0)*0.475*44/12</f>
        <v>2.6665740446407816E-24</v>
      </c>
      <c r="FT200" s="22">
        <f t="shared" si="184"/>
        <v>0.79614053644643201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-5.6843418860808015E-13</v>
      </c>
      <c r="GA200" s="17">
        <f>FZ200*VLOOKUP('Données projet'!$B$17,Paramètres!$A$1:$I$89,3,0)*VLOOKUP('Données projet'!$B$17,Paramètres!$A$1:$I$89,5,0)</f>
        <v>-3.39923644787632E-13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495.6641415122013</v>
      </c>
      <c r="GF200" s="59">
        <f t="shared" si="212"/>
        <v>488.90534169400757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0.14639186873054569</v>
      </c>
      <c r="GM200" s="21">
        <f>EXP(-LN(2)/25)*GM199+(1-EXP(-LN(2)/25))/(LN(2)/25)*Calculateur!GH200*Calculateur!GJ200*VLOOKUP('Données projet'!$B$17,Paramètres!$A$1:$I$89,3,0)*0.475*44/12</f>
        <v>0.25361680989588459</v>
      </c>
      <c r="GN200" s="21">
        <f>EXP(-LN(2)/2)*GN199+(1-EXP(-LN(2)/2))/(LN(2)/2)*GH200*GK200*VLOOKUP('Données projet'!$B$17,Paramètres!$A$1:$I$89,3,0)*0.475*44/12</f>
        <v>2.5413635759553337E-24</v>
      </c>
      <c r="GO200" s="21">
        <f t="shared" si="187"/>
        <v>0.4000086786264303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-5.6843418860808015E-13</v>
      </c>
      <c r="GV200" s="17">
        <f>GU200*VLOOKUP('Données projet'!$B$18,Paramètres!$A$1:$I$89,3,0)*VLOOKUP('Données projet'!$B$18,Paramètres!$A$1:$I$89,5,0)</f>
        <v>-3.39923644787632E-13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-18.333333333333343</v>
      </c>
      <c r="HA200" s="59">
        <f t="shared" si="213"/>
        <v>-18.333333333333343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0.14639186873054569</v>
      </c>
      <c r="HH200" s="21">
        <f>EXP(-LN(2)/25)*HH199+(1-EXP(-LN(2)/25))/(LN(2)/25)*Calculateur!HC200*Calculateur!HE200*VLOOKUP('Données projet'!$B$18,Paramètres!$A$1:$I$89,3,0)*0.475*44/12</f>
        <v>0.25361680989588459</v>
      </c>
      <c r="HI200" s="21">
        <f>EXP(-LN(2)/2)*HI199+(1-EXP(-LN(2)/2))/(LN(2)/2)*HC200*HF200*VLOOKUP('Données projet'!$B$18,Paramètres!$A$1:$I$89,3,0)*0.475*44/12</f>
        <v>2.5413635759553337E-24</v>
      </c>
      <c r="HJ200" s="22">
        <f t="shared" si="190"/>
        <v>0.4000086786264303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376.11581547534814</v>
      </c>
      <c r="T201" s="59">
        <f t="shared" si="204"/>
        <v>300.91675649863294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0.11252152280047954</v>
      </c>
      <c r="AA201" s="21">
        <f>EXP(-LN(2)/25)*AA200+(1-EXP(-LN(2)/25))/(LN(2)/25)*Calculateur!V201*Calculateur!X201*VLOOKUP('Données projet'!$B$9,Paramètres!$A$1:$I$89,3,0)*0.475*44/12</f>
        <v>7.4516129946611082E-2</v>
      </c>
      <c r="AB201" s="21">
        <f>EXP(-LN(2)/2)*AB200+(1-EXP(-LN(2)/2))/(LN(2)/2)*V201*Y201*VLOOKUP('Données projet'!$B$9,Paramètres!$A$1:$I$89,3,0)*0.475*44/12</f>
        <v>5.0831161023129439E-25</v>
      </c>
      <c r="AC201" s="22">
        <f t="shared" si="163"/>
        <v>0.18703765274709061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-5.6843418860808015E-13</v>
      </c>
      <c r="AJ201" s="13">
        <f>AI201*VLOOKUP('Données projet'!$B$10,Paramètres!$A$1:$I$89,3,0)*VLOOKUP('Données projet'!$B$10,Paramètres!$A$1:$I$89,5,0)</f>
        <v>-5.1431925385259092E-13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505.38595282220405</v>
      </c>
      <c r="AO201" s="59">
        <f t="shared" si="205"/>
        <v>351.72130415456365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8.6459397682743355E-2</v>
      </c>
      <c r="AV201" s="21">
        <f>EXP(-LN(2)/25)*AV200+(1-EXP(-LN(2)/25))/(LN(2)/25)*Calculateur!AQ201*Calculateur!AS201*VLOOKUP('Données projet'!$B$10,Paramètres!$A$1:$I$89,3,0)*0.475*44/12</f>
        <v>0.10702765924575984</v>
      </c>
      <c r="AW201" s="21">
        <f>EXP(-LN(2)/2)*AW200+(1-EXP(-LN(2)/2))/(LN(2)/2)*AQ201*AT201*VLOOKUP('Données projet'!$B$10,Paramètres!$A$1:$I$89,3,0)*0.475*44/12</f>
        <v>1.1142813947104539E-24</v>
      </c>
      <c r="AX201" s="21">
        <f t="shared" si="166"/>
        <v>0.19348705692850321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-4.0702161641092972E-13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394.14657090341535</v>
      </c>
      <c r="BJ201" s="59">
        <f t="shared" si="206"/>
        <v>424.06445894109982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0.11713099034505588</v>
      </c>
      <c r="BQ201" s="21">
        <f>EXP(-LN(2)/25)*BQ200+(1-EXP(-LN(2)/25))/(LN(2)/25)*Calculateur!BL201*Calculateur!BN201*VLOOKUP('Données projet'!$B$11,Paramètres!$A$1:$I$89,3,0)*0.475*44/12</f>
        <v>0.19464684889271236</v>
      </c>
      <c r="BR201" s="21">
        <f>EXP(-LN(2)/2)*BR200+(1-EXP(-LN(2)/2))/(LN(2)/2)*BL201*BO201*VLOOKUP('Données projet'!$B$11,Paramètres!$A$1:$I$89,3,0)*0.475*44/12</f>
        <v>1.2427889423986866E-24</v>
      </c>
      <c r="BS201" s="22">
        <f t="shared" si="169"/>
        <v>0.31177783923776825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3.1036506698001181E-13</v>
      </c>
      <c r="CA201" s="13">
        <f t="shared" si="170"/>
        <v>4.086682523110923E-12</v>
      </c>
      <c r="CB201" s="20">
        <f t="shared" si="171"/>
        <v>7.6581912194083782E-12</v>
      </c>
      <c r="CC201" s="59">
        <f t="shared" si="195"/>
        <v>290.46664116926058</v>
      </c>
      <c r="CD201" s="59">
        <f ca="1">AVERAGE(OFFSET($CC$3,0,0,'Données projet'!$E$12+1,1))-AVERAGE(OFFSET($H$3,0,0,'Données projet'!$E$12+1,1))</f>
        <v>382.09004346384319</v>
      </c>
      <c r="CE201" s="59">
        <f t="shared" si="207"/>
        <v>410.18893995284986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0.3057625852292688</v>
      </c>
      <c r="CL201" s="21">
        <f>EXP(-LN(2)/25)*CL200+(1-EXP(-LN(2)/25))/(LN(2)/25)*Calculateur!CG201*Calculateur!CI201*VLOOKUP('Données projet'!$B$12,Paramètres!$A$1:$I$89,3,0)*0.475*44/12</f>
        <v>0.32287851139464213</v>
      </c>
      <c r="CM201" s="21">
        <f>EXP(-LN(2)/2)*CM200+(1-EXP(-LN(2)/2))/(LN(2)/2)*CG201*CJ201*VLOOKUP('Données projet'!$B$12,Paramètres!$A$1:$I$89,3,0)*0.475*44/12</f>
        <v>1.3019009162041517E-24</v>
      </c>
      <c r="CN201" s="22">
        <f t="shared" si="172"/>
        <v>0.62864109662391088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363.02374534486341</v>
      </c>
      <c r="CZ201" s="59">
        <f t="shared" si="208"/>
        <v>489.00477393029598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0.26235955158901458</v>
      </c>
      <c r="DG201" s="21">
        <f>EXP(-LN(2)/25)*DG200+(1-EXP(-LN(2)/25))/(LN(2)/25)*Calculateur!DB201*Calculateur!DD201*VLOOKUP('Données projet'!$B$13,Paramètres!$A$1:$I$89,3,0)*0.475*44/12</f>
        <v>0.18367001309319136</v>
      </c>
      <c r="DH201" s="21">
        <f>EXP(-LN(2)/2)*DH200+(1-EXP(-LN(2)/2))/(LN(2)/2)*DB201*DE201*VLOOKUP('Données projet'!$B$13,Paramètres!$A$1:$I$89,3,0)*0.475*44/12</f>
        <v>1.5155468359561405E-24</v>
      </c>
      <c r="DI201" s="22">
        <f t="shared" si="175"/>
        <v>0.44602956468220595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-3.7509835237869992E-13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368.03281986807173</v>
      </c>
      <c r="DU201" s="59">
        <f t="shared" si="209"/>
        <v>395.83504504492248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8.7577407135537591E-2</v>
      </c>
      <c r="EB201" s="21">
        <f>EXP(-LN(2)/25)*EB200+(1-EXP(-LN(2)/25))/(LN(2)/25)*Calculateur!DW201*Calculateur!DY201*VLOOKUP('Données projet'!$B$14,Paramètres!$A$1:$I$89,3,0)*0.475*44/12</f>
        <v>0.14553506533931654</v>
      </c>
      <c r="EC201" s="21">
        <f>EXP(-LN(2)/2)*EC200+(1-EXP(-LN(2)/2))/(LN(2)/2)*DW201*DZ201*VLOOKUP('Données projet'!$B$14,Paramètres!$A$1:$I$89,3,0)*0.475*44/12</f>
        <v>1.1453152998576285E-24</v>
      </c>
      <c r="ED201" s="22">
        <f t="shared" si="178"/>
        <v>0.23311247247485412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225.2264820414552</v>
      </c>
      <c r="EP201" s="59">
        <f t="shared" si="210"/>
        <v>249.91838548328681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7.9414495564757326E-2</v>
      </c>
      <c r="EW201" s="21">
        <f>EXP(-LN(2)/25)*EW200+(1-EXP(-LN(2)/25))/(LN(2)/25)*Calculateur!ER201*Calculateur!ET201*VLOOKUP('Données projet'!$B$15,Paramètres!$A$1:$I$89,3,0)*0.475*44/12</f>
        <v>8.2106032277870722E-2</v>
      </c>
      <c r="EX201" s="21">
        <f>EXP(-LN(2)/2)*EX200+(1-EXP(-LN(2)/2))/(LN(2)/2)*ER201*EU201*VLOOKUP('Données projet'!$B$15,Paramètres!$A$1:$I$89,3,0)*0.475*44/12</f>
        <v>2.0914861694980469E-25</v>
      </c>
      <c r="EY201" s="22">
        <f t="shared" si="181"/>
        <v>0.16152052784262805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-1.2505552149377763E-12</v>
      </c>
      <c r="FF201" s="17">
        <f>FE201*VLOOKUP('Données projet'!$B$16,Paramètres!$A$1:$I$89,3,0)*VLOOKUP('Données projet'!$B$16,Paramètres!$A$1:$I$89,5,0)</f>
        <v>-6.9906036515021697E-13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549.85684198202534</v>
      </c>
      <c r="FK201" s="59">
        <f t="shared" si="211"/>
        <v>539.63748606275431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0.40993679935783611</v>
      </c>
      <c r="FR201" s="21">
        <f>EXP(-LN(2)/25)*FR200+(1-EXP(-LN(2)/25))/(LN(2)/25)*Calculateur!FM201*Calculateur!FO201*VLOOKUP('Données projet'!$B$16,Paramètres!$A$1:$I$89,3,0)*0.475*44/12</f>
        <v>0.36766779274812461</v>
      </c>
      <c r="FS201" s="21">
        <f>EXP(-LN(2)/2)*FS200+(1-EXP(-LN(2)/2))/(LN(2)/2)*FM201*FP201*VLOOKUP('Données projet'!$B$16,Paramètres!$A$1:$I$89,3,0)*0.475*44/12</f>
        <v>1.8855525895015361E-24</v>
      </c>
      <c r="FT201" s="22">
        <f t="shared" si="184"/>
        <v>0.77760459210596067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-5.6843418860808015E-13</v>
      </c>
      <c r="GA201" s="17">
        <f>FZ201*VLOOKUP('Données projet'!$B$17,Paramètres!$A$1:$I$89,3,0)*VLOOKUP('Données projet'!$B$17,Paramètres!$A$1:$I$89,5,0)</f>
        <v>-3.39923644787632E-13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495.6641415122013</v>
      </c>
      <c r="GF201" s="59">
        <f t="shared" si="212"/>
        <v>488.90534169400757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0.14352121347496294</v>
      </c>
      <c r="GM201" s="21">
        <f>EXP(-LN(2)/25)*GM200+(1-EXP(-LN(2)/25))/(LN(2)/25)*Calculateur!GH201*Calculateur!GJ201*VLOOKUP('Données projet'!$B$17,Paramètres!$A$1:$I$89,3,0)*0.475*44/12</f>
        <v>0.24668164489215325</v>
      </c>
      <c r="GN201" s="21">
        <f>EXP(-LN(2)/2)*GN200+(1-EXP(-LN(2)/2))/(LN(2)/2)*GH201*GK201*VLOOKUP('Données projet'!$B$17,Paramètres!$A$1:$I$89,3,0)*0.475*44/12</f>
        <v>1.7970154180185101E-24</v>
      </c>
      <c r="GO201" s="21">
        <f t="shared" si="187"/>
        <v>0.39020285836711621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-5.6843418860808015E-13</v>
      </c>
      <c r="GV201" s="17">
        <f>GU201*VLOOKUP('Données projet'!$B$18,Paramètres!$A$1:$I$89,3,0)*VLOOKUP('Données projet'!$B$18,Paramètres!$A$1:$I$89,5,0)</f>
        <v>-3.39923644787632E-13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-18.333333333333343</v>
      </c>
      <c r="HA201" s="59">
        <f t="shared" si="213"/>
        <v>-18.333333333333343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0.14352121347496294</v>
      </c>
      <c r="HH201" s="21">
        <f>EXP(-LN(2)/25)*HH200+(1-EXP(-LN(2)/25))/(LN(2)/25)*Calculateur!HC201*Calculateur!HE201*VLOOKUP('Données projet'!$B$18,Paramètres!$A$1:$I$89,3,0)*0.475*44/12</f>
        <v>0.24668164489215325</v>
      </c>
      <c r="HI201" s="21">
        <f>EXP(-LN(2)/2)*HI200+(1-EXP(-LN(2)/2))/(LN(2)/2)*HC201*HF201*VLOOKUP('Données projet'!$B$18,Paramètres!$A$1:$I$89,3,0)*0.475*44/12</f>
        <v>1.7970154180185101E-24</v>
      </c>
      <c r="HJ201" s="22">
        <f t="shared" si="190"/>
        <v>0.39020285836711621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376.11581547534814</v>
      </c>
      <c r="T202" s="59">
        <f t="shared" si="204"/>
        <v>300.91675649863294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0.11031504436971426</v>
      </c>
      <c r="AA202" s="21">
        <f>EXP(-LN(2)/25)*AA201+(1-EXP(-LN(2)/25))/(LN(2)/25)*Calculateur!V202*Calculateur!X202*VLOOKUP('Données projet'!$B$9,Paramètres!$A$1:$I$89,3,0)*0.475*44/12</f>
        <v>7.2478482454588031E-2</v>
      </c>
      <c r="AB202" s="21">
        <f>EXP(-LN(2)/2)*AB201+(1-EXP(-LN(2)/2))/(LN(2)/2)*V202*Y202*VLOOKUP('Données projet'!$B$9,Paramètres!$A$1:$I$89,3,0)*0.475*44/12</f>
        <v>3.5943058655040152E-25</v>
      </c>
      <c r="AC202" s="22">
        <f t="shared" si="163"/>
        <v>0.18279352682430228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-5.6843418860808015E-13</v>
      </c>
      <c r="AJ202" s="13">
        <f>AI202*VLOOKUP('Données projet'!$B$10,Paramètres!$A$1:$I$89,3,0)*VLOOKUP('Données projet'!$B$10,Paramètres!$A$1:$I$89,5,0)</f>
        <v>-5.1431925385259092E-13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505.38595282220405</v>
      </c>
      <c r="AO202" s="59">
        <f t="shared" si="205"/>
        <v>351.72130415456365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8.47639816292102E-2</v>
      </c>
      <c r="AV202" s="21">
        <f>EXP(-LN(2)/25)*AV201+(1-EXP(-LN(2)/25))/(LN(2)/25)*Calculateur!AQ202*Calculateur!AS202*VLOOKUP('Données projet'!$B$10,Paramètres!$A$1:$I$89,3,0)*0.475*44/12</f>
        <v>0.10410098227534455</v>
      </c>
      <c r="AW202" s="21">
        <f>EXP(-LN(2)/2)*AW201+(1-EXP(-LN(2)/2))/(LN(2)/2)*AQ202*AT202*VLOOKUP('Données projet'!$B$10,Paramètres!$A$1:$I$89,3,0)*0.475*44/12</f>
        <v>7.8791593034976596E-25</v>
      </c>
      <c r="AX202" s="21">
        <f t="shared" si="166"/>
        <v>0.18886496390455476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-4.0702161641092972E-13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394.14657090341535</v>
      </c>
      <c r="BJ202" s="59">
        <f t="shared" si="206"/>
        <v>424.06445894109982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0.11483412306723904</v>
      </c>
      <c r="BQ202" s="21">
        <f>EXP(-LN(2)/25)*BQ201+(1-EXP(-LN(2)/25))/(LN(2)/25)*Calculateur!BL202*Calculateur!BN202*VLOOKUP('Données projet'!$B$11,Paramètres!$A$1:$I$89,3,0)*0.475*44/12</f>
        <v>0.18932422057370824</v>
      </c>
      <c r="BR202" s="21">
        <f>EXP(-LN(2)/2)*BR201+(1-EXP(-LN(2)/2))/(LN(2)/2)*BL202*BO202*VLOOKUP('Données projet'!$B$11,Paramètres!$A$1:$I$89,3,0)*0.475*44/12</f>
        <v>8.7878448875376891E-25</v>
      </c>
      <c r="BS202" s="22">
        <f t="shared" si="169"/>
        <v>0.30415834364094729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3.1036506698001181E-13</v>
      </c>
      <c r="CA202" s="13">
        <f t="shared" si="170"/>
        <v>4.086682523110923E-12</v>
      </c>
      <c r="CB202" s="20">
        <f t="shared" si="171"/>
        <v>7.6581912194083782E-12</v>
      </c>
      <c r="CC202" s="59">
        <f t="shared" si="195"/>
        <v>290.5163718693438</v>
      </c>
      <c r="CD202" s="59">
        <f ca="1">AVERAGE(OFFSET($CC$3,0,0,'Données projet'!$E$12+1,1))-AVERAGE(OFFSET($H$3,0,0,'Données projet'!$E$12+1,1))</f>
        <v>382.09004346384319</v>
      </c>
      <c r="CE202" s="59">
        <f t="shared" si="207"/>
        <v>410.18893995284986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0.29976676742968478</v>
      </c>
      <c r="CL202" s="21">
        <f>EXP(-LN(2)/25)*CL201+(1-EXP(-LN(2)/25))/(LN(2)/25)*Calculateur!CG202*Calculateur!CI202*VLOOKUP('Données projet'!$B$12,Paramètres!$A$1:$I$89,3,0)*0.475*44/12</f>
        <v>0.31404938152111267</v>
      </c>
      <c r="CM202" s="21">
        <f>EXP(-LN(2)/2)*CM201+(1-EXP(-LN(2)/2))/(LN(2)/2)*CG202*CJ202*VLOOKUP('Données projet'!$B$12,Paramètres!$A$1:$I$89,3,0)*0.475*44/12</f>
        <v>9.2058296628093487E-25</v>
      </c>
      <c r="CN202" s="22">
        <f t="shared" si="172"/>
        <v>0.61381614895079739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363.02374534486341</v>
      </c>
      <c r="CZ202" s="59">
        <f t="shared" si="208"/>
        <v>489.00477393029598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0.25721484080587947</v>
      </c>
      <c r="DG202" s="21">
        <f>EXP(-LN(2)/25)*DG201+(1-EXP(-LN(2)/25))/(LN(2)/25)*Calculateur!DB202*Calculateur!DD202*VLOOKUP('Données projet'!$B$13,Paramètres!$A$1:$I$89,3,0)*0.475*44/12</f>
        <v>0.17864754692637183</v>
      </c>
      <c r="DH202" s="21">
        <f>EXP(-LN(2)/2)*DH201+(1-EXP(-LN(2)/2))/(LN(2)/2)*DB202*DE202*VLOOKUP('Données projet'!$B$13,Paramètres!$A$1:$I$89,3,0)*0.475*44/12</f>
        <v>1.0716534449104031E-24</v>
      </c>
      <c r="DI202" s="22">
        <f t="shared" si="175"/>
        <v>0.43586238773225128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-3.7509835237869992E-13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368.03281986807173</v>
      </c>
      <c r="DU202" s="59">
        <f t="shared" si="209"/>
        <v>395.83504504492248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8.5860067598553566E-2</v>
      </c>
      <c r="EB202" s="21">
        <f>EXP(-LN(2)/25)*EB201+(1-EXP(-LN(2)/25))/(LN(2)/25)*Calculateur!DW202*Calculateur!DY202*VLOOKUP('Données projet'!$B$14,Paramètres!$A$1:$I$89,3,0)*0.475*44/12</f>
        <v>0.14155540132425648</v>
      </c>
      <c r="EC202" s="21">
        <f>EXP(-LN(2)/2)*EC201+(1-EXP(-LN(2)/2))/(LN(2)/2)*DW202*DZ202*VLOOKUP('Données projet'!$B$14,Paramètres!$A$1:$I$89,3,0)*0.475*44/12</f>
        <v>8.0986021512603324E-25</v>
      </c>
      <c r="ED202" s="22">
        <f t="shared" si="178"/>
        <v>0.22741546892281006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225.2264820414552</v>
      </c>
      <c r="EP202" s="59">
        <f t="shared" si="210"/>
        <v>249.91838548328681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7.7857225744791869E-2</v>
      </c>
      <c r="EW202" s="21">
        <f>EXP(-LN(2)/25)*EW201+(1-EXP(-LN(2)/25))/(LN(2)/25)*Calculateur!ER202*Calculateur!ET202*VLOOKUP('Données projet'!$B$15,Paramètres!$A$1:$I$89,3,0)*0.475*44/12</f>
        <v>7.9860838507463769E-2</v>
      </c>
      <c r="EX202" s="21">
        <f>EXP(-LN(2)/2)*EX201+(1-EXP(-LN(2)/2))/(LN(2)/2)*ER202*EU202*VLOOKUP('Données projet'!$B$15,Paramètres!$A$1:$I$89,3,0)*0.475*44/12</f>
        <v>1.4789040532099459E-25</v>
      </c>
      <c r="EY202" s="22">
        <f t="shared" si="181"/>
        <v>0.15771806425225565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-1.2505552149377763E-12</v>
      </c>
      <c r="FF202" s="17">
        <f>FE202*VLOOKUP('Données projet'!$B$16,Paramètres!$A$1:$I$89,3,0)*VLOOKUP('Données projet'!$B$16,Paramètres!$A$1:$I$89,5,0)</f>
        <v>-6.9906036515021697E-13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549.85684198202534</v>
      </c>
      <c r="FK202" s="59">
        <f t="shared" si="211"/>
        <v>539.63748606275431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0.40189818875918748</v>
      </c>
      <c r="FR202" s="21">
        <f>EXP(-LN(2)/25)*FR201+(1-EXP(-LN(2)/25))/(LN(2)/25)*Calculateur!FM202*Calculateur!FO202*VLOOKUP('Données projet'!$B$16,Paramètres!$A$1:$I$89,3,0)*0.475*44/12</f>
        <v>0.35761389762061824</v>
      </c>
      <c r="FS202" s="21">
        <f>EXP(-LN(2)/2)*FS201+(1-EXP(-LN(2)/2))/(LN(2)/2)*FM202*FP202*VLOOKUP('Données projet'!$B$16,Paramètres!$A$1:$I$89,3,0)*0.475*44/12</f>
        <v>1.3332870223203908E-24</v>
      </c>
      <c r="FT202" s="22">
        <f t="shared" si="184"/>
        <v>0.75951208637980572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-5.6843418860808015E-13</v>
      </c>
      <c r="GA202" s="17">
        <f>FZ202*VLOOKUP('Données projet'!$B$17,Paramètres!$A$1:$I$89,3,0)*VLOOKUP('Données projet'!$B$17,Paramètres!$A$1:$I$89,5,0)</f>
        <v>-3.39923644787632E-13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495.6641415122013</v>
      </c>
      <c r="GF202" s="59">
        <f t="shared" si="212"/>
        <v>488.90534169400757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0.14070685001801536</v>
      </c>
      <c r="GM202" s="21">
        <f>EXP(-LN(2)/25)*GM201+(1-EXP(-LN(2)/25))/(LN(2)/25)*Calculateur!GH202*Calculateur!GJ202*VLOOKUP('Données projet'!$B$17,Paramètres!$A$1:$I$89,3,0)*0.475*44/12</f>
        <v>0.23993612234015341</v>
      </c>
      <c r="GN202" s="21">
        <f>EXP(-LN(2)/2)*GN201+(1-EXP(-LN(2)/2))/(LN(2)/2)*GH202*GK202*VLOOKUP('Données projet'!$B$17,Paramètres!$A$1:$I$89,3,0)*0.475*44/12</f>
        <v>1.2706817879776668E-24</v>
      </c>
      <c r="GO202" s="21">
        <f t="shared" si="187"/>
        <v>0.3806429723581688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-5.6843418860808015E-13</v>
      </c>
      <c r="GV202" s="17">
        <f>GU202*VLOOKUP('Données projet'!$B$18,Paramètres!$A$1:$I$89,3,0)*VLOOKUP('Données projet'!$B$18,Paramètres!$A$1:$I$89,5,0)</f>
        <v>-3.39923644787632E-13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-18.333333333333343</v>
      </c>
      <c r="HA202" s="59">
        <f t="shared" si="213"/>
        <v>-18.333333333333343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0.14070685001801536</v>
      </c>
      <c r="HH202" s="21">
        <f>EXP(-LN(2)/25)*HH201+(1-EXP(-LN(2)/25))/(LN(2)/25)*Calculateur!HC202*Calculateur!HE202*VLOOKUP('Données projet'!$B$18,Paramètres!$A$1:$I$89,3,0)*0.475*44/12</f>
        <v>0.23993612234015341</v>
      </c>
      <c r="HI202" s="21">
        <f>EXP(-LN(2)/2)*HI201+(1-EXP(-LN(2)/2))/(LN(2)/2)*HC202*HF202*VLOOKUP('Données projet'!$B$18,Paramètres!$A$1:$I$89,3,0)*0.475*44/12</f>
        <v>1.2706817879776668E-24</v>
      </c>
      <c r="HJ202" s="22">
        <f t="shared" si="190"/>
        <v>0.3806429723581688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376.11581547534814</v>
      </c>
      <c r="T203" s="59">
        <f t="shared" si="204"/>
        <v>300.91675649863294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0.10815183363515733</v>
      </c>
      <c r="AA203" s="21">
        <f>EXP(-LN(2)/25)*AA202+(1-EXP(-LN(2)/25))/(LN(2)/25)*Calculateur!V203*Calculateur!X203*VLOOKUP('Données projet'!$B$9,Paramètres!$A$1:$I$89,3,0)*0.475*44/12</f>
        <v>7.0496554540389583E-2</v>
      </c>
      <c r="AB203" s="21">
        <f>EXP(-LN(2)/2)*AB202+(1-EXP(-LN(2)/2))/(LN(2)/2)*V203*Y203*VLOOKUP('Données projet'!$B$9,Paramètres!$A$1:$I$89,3,0)*0.475*44/12</f>
        <v>2.5415580511564719E-25</v>
      </c>
      <c r="AC203" s="22">
        <f t="shared" si="163"/>
        <v>0.1786483881755469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-5.6843418860808015E-13</v>
      </c>
      <c r="AJ203" s="13">
        <f>AI203*VLOOKUP('Données projet'!$B$10,Paramètres!$A$1:$I$89,3,0)*VLOOKUP('Données projet'!$B$10,Paramètres!$A$1:$I$89,5,0)</f>
        <v>-5.1431925385259092E-13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505.38595282220405</v>
      </c>
      <c r="AO203" s="59">
        <f t="shared" si="205"/>
        <v>351.72130415456365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8.3101811650385146E-2</v>
      </c>
      <c r="AV203" s="21">
        <f>EXP(-LN(2)/25)*AV202+(1-EXP(-LN(2)/25))/(LN(2)/25)*Calculateur!AQ203*Calculateur!AS203*VLOOKUP('Données projet'!$B$10,Paramètres!$A$1:$I$89,3,0)*0.475*44/12</f>
        <v>0.10125433544059252</v>
      </c>
      <c r="AW203" s="21">
        <f>EXP(-LN(2)/2)*AW202+(1-EXP(-LN(2)/2))/(LN(2)/2)*AQ203*AT203*VLOOKUP('Données projet'!$B$10,Paramètres!$A$1:$I$89,3,0)*0.475*44/12</f>
        <v>5.5714069735522697E-25</v>
      </c>
      <c r="AX203" s="21">
        <f t="shared" si="166"/>
        <v>0.18435614709097767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-4.0702161641092972E-13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394.14657090341535</v>
      </c>
      <c r="BJ203" s="59">
        <f t="shared" si="206"/>
        <v>424.06445894109982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0.11258229595578949</v>
      </c>
      <c r="BQ203" s="21">
        <f>EXP(-LN(2)/25)*BQ202+(1-EXP(-LN(2)/25))/(LN(2)/25)*Calculateur!BL203*Calculateur!BN203*VLOOKUP('Données projet'!$B$11,Paramètres!$A$1:$I$89,3,0)*0.475*44/12</f>
        <v>0.18414713980599212</v>
      </c>
      <c r="BR203" s="21">
        <f>EXP(-LN(2)/2)*BR202+(1-EXP(-LN(2)/2))/(LN(2)/2)*BL203*BO203*VLOOKUP('Données projet'!$B$11,Paramètres!$A$1:$I$89,3,0)*0.475*44/12</f>
        <v>6.2139447119934331E-25</v>
      </c>
      <c r="BS203" s="22">
        <f t="shared" si="169"/>
        <v>0.29672943576178162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3.1036506698001181E-13</v>
      </c>
      <c r="CA203" s="13">
        <f t="shared" si="170"/>
        <v>4.086682523110923E-12</v>
      </c>
      <c r="CB203" s="20">
        <f t="shared" si="171"/>
        <v>7.6581912194083782E-12</v>
      </c>
      <c r="CC203" s="59">
        <f t="shared" si="195"/>
        <v>290.56523985296178</v>
      </c>
      <c r="CD203" s="59">
        <f ca="1">AVERAGE(OFFSET($CC$3,0,0,'Données projet'!$E$12+1,1))-AVERAGE(OFFSET($H$3,0,0,'Données projet'!$E$12+1,1))</f>
        <v>382.09004346384319</v>
      </c>
      <c r="CE203" s="59">
        <f t="shared" si="207"/>
        <v>410.18893995284986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0.29388852396006288</v>
      </c>
      <c r="CL203" s="21">
        <f>EXP(-LN(2)/25)*CL202+(1-EXP(-LN(2)/25))/(LN(2)/25)*Calculateur!CG203*Calculateur!CI203*VLOOKUP('Données projet'!$B$12,Paramètres!$A$1:$I$89,3,0)*0.475*44/12</f>
        <v>0.30546168466827867</v>
      </c>
      <c r="CM203" s="21">
        <f>EXP(-LN(2)/2)*CM202+(1-EXP(-LN(2)/2))/(LN(2)/2)*CG203*CJ203*VLOOKUP('Données projet'!$B$12,Paramètres!$A$1:$I$89,3,0)*0.475*44/12</f>
        <v>6.5095045810207587E-25</v>
      </c>
      <c r="CN203" s="22">
        <f t="shared" si="172"/>
        <v>0.59935020862834154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363.02374534486341</v>
      </c>
      <c r="CZ203" s="59">
        <f t="shared" si="208"/>
        <v>489.00477393029598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0.25217101466323788</v>
      </c>
      <c r="DG203" s="21">
        <f>EXP(-LN(2)/25)*DG202+(1-EXP(-LN(2)/25))/(LN(2)/25)*Calculateur!DB203*Calculateur!DD203*VLOOKUP('Données projet'!$B$13,Paramètres!$A$1:$I$89,3,0)*0.475*44/12</f>
        <v>0.17376242036100401</v>
      </c>
      <c r="DH203" s="21">
        <f>EXP(-LN(2)/2)*DH202+(1-EXP(-LN(2)/2))/(LN(2)/2)*DB203*DE203*VLOOKUP('Données projet'!$B$13,Paramètres!$A$1:$I$89,3,0)*0.475*44/12</f>
        <v>7.5777341797807027E-25</v>
      </c>
      <c r="DI203" s="22">
        <f t="shared" si="175"/>
        <v>0.42593343502424186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-3.7509835237869992E-13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368.03281986807173</v>
      </c>
      <c r="DU203" s="59">
        <f t="shared" si="209"/>
        <v>395.83504504492248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8.4176404042416109E-2</v>
      </c>
      <c r="EB203" s="21">
        <f>EXP(-LN(2)/25)*EB202+(1-EXP(-LN(2)/25))/(LN(2)/25)*Calculateur!DW203*Calculateur!DY203*VLOOKUP('Données projet'!$B$14,Paramètres!$A$1:$I$89,3,0)*0.475*44/12</f>
        <v>0.13768456143096966</v>
      </c>
      <c r="EC203" s="21">
        <f>EXP(-LN(2)/2)*EC202+(1-EXP(-LN(2)/2))/(LN(2)/2)*DW203*DZ203*VLOOKUP('Données projet'!$B$14,Paramètres!$A$1:$I$89,3,0)*0.475*44/12</f>
        <v>5.7265764992881432E-25</v>
      </c>
      <c r="ED203" s="22">
        <f t="shared" si="178"/>
        <v>0.22186096547338577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225.2264820414552</v>
      </c>
      <c r="EP203" s="59">
        <f t="shared" si="210"/>
        <v>249.91838548328681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7.6330493036155134E-2</v>
      </c>
      <c r="EW203" s="21">
        <f>EXP(-LN(2)/25)*EW202+(1-EXP(-LN(2)/25))/(LN(2)/25)*Calculateur!ER203*Calculateur!ET203*VLOOKUP('Données projet'!$B$15,Paramètres!$A$1:$I$89,3,0)*0.475*44/12</f>
        <v>7.7677039678778204E-2</v>
      </c>
      <c r="EX203" s="21">
        <f>EXP(-LN(2)/2)*EX202+(1-EXP(-LN(2)/2))/(LN(2)/2)*ER203*EU203*VLOOKUP('Données projet'!$B$15,Paramètres!$A$1:$I$89,3,0)*0.475*44/12</f>
        <v>1.0457430847490235E-25</v>
      </c>
      <c r="EY203" s="22">
        <f t="shared" si="181"/>
        <v>0.15400753271493334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-1.2505552149377763E-12</v>
      </c>
      <c r="FF203" s="17">
        <f>FE203*VLOOKUP('Données projet'!$B$16,Paramètres!$A$1:$I$89,3,0)*VLOOKUP('Données projet'!$B$16,Paramètres!$A$1:$I$89,5,0)</f>
        <v>-6.9906036515021697E-13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549.85684198202534</v>
      </c>
      <c r="FK203" s="59">
        <f t="shared" si="211"/>
        <v>539.63748606275431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0.39401721041130999</v>
      </c>
      <c r="FR203" s="21">
        <f>EXP(-LN(2)/25)*FR202+(1-EXP(-LN(2)/25))/(LN(2)/25)*Calculateur!FM203*Calculateur!FO203*VLOOKUP('Données projet'!$B$16,Paramètres!$A$1:$I$89,3,0)*0.475*44/12</f>
        <v>0.3478349267840849</v>
      </c>
      <c r="FS203" s="21">
        <f>EXP(-LN(2)/2)*FS202+(1-EXP(-LN(2)/2))/(LN(2)/2)*FM203*FP203*VLOOKUP('Données projet'!$B$16,Paramètres!$A$1:$I$89,3,0)*0.475*44/12</f>
        <v>9.4277629475076806E-25</v>
      </c>
      <c r="FT203" s="22">
        <f t="shared" si="184"/>
        <v>0.74185213719539489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-5.6843418860808015E-13</v>
      </c>
      <c r="GA203" s="17">
        <f>FZ203*VLOOKUP('Données projet'!$B$17,Paramètres!$A$1:$I$89,3,0)*VLOOKUP('Données projet'!$B$17,Paramètres!$A$1:$I$89,5,0)</f>
        <v>-3.39923644787632E-13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495.6641415122013</v>
      </c>
      <c r="GF203" s="59">
        <f t="shared" si="212"/>
        <v>488.90534169400757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0.13794767451186629</v>
      </c>
      <c r="GM203" s="21">
        <f>EXP(-LN(2)/25)*GM202+(1-EXP(-LN(2)/25))/(LN(2)/25)*Calculateur!GH203*Calculateur!GJ203*VLOOKUP('Données projet'!$B$17,Paramètres!$A$1:$I$89,3,0)*0.475*44/12</f>
        <v>0.23337505645706963</v>
      </c>
      <c r="GN203" s="21">
        <f>EXP(-LN(2)/2)*GN202+(1-EXP(-LN(2)/2))/(LN(2)/2)*GH203*GK203*VLOOKUP('Données projet'!$B$17,Paramètres!$A$1:$I$89,3,0)*0.475*44/12</f>
        <v>8.9850770900925503E-25</v>
      </c>
      <c r="GO203" s="21">
        <f t="shared" si="187"/>
        <v>0.37132273096893592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-5.6843418860808015E-13</v>
      </c>
      <c r="GV203" s="17">
        <f>GU203*VLOOKUP('Données projet'!$B$18,Paramètres!$A$1:$I$89,3,0)*VLOOKUP('Données projet'!$B$18,Paramètres!$A$1:$I$89,5,0)</f>
        <v>-3.39923644787632E-13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-18.333333333333343</v>
      </c>
      <c r="HA203" s="59">
        <f t="shared" si="213"/>
        <v>-18.333333333333343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0.13794767451186629</v>
      </c>
      <c r="HH203" s="21">
        <f>EXP(-LN(2)/25)*HH202+(1-EXP(-LN(2)/25))/(LN(2)/25)*Calculateur!HC203*Calculateur!HE203*VLOOKUP('Données projet'!$B$18,Paramètres!$A$1:$I$89,3,0)*0.475*44/12</f>
        <v>0.23337505645706963</v>
      </c>
      <c r="HI203" s="21">
        <f>EXP(-LN(2)/2)*HI202+(1-EXP(-LN(2)/2))/(LN(2)/2)*HC203*HF203*VLOOKUP('Données projet'!$B$18,Paramètres!$A$1:$I$89,3,0)*0.475*44/12</f>
        <v>8.9850770900925503E-25</v>
      </c>
      <c r="HJ203" s="22">
        <f t="shared" si="190"/>
        <v>0.37132273096893592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1.2709816152101407</v>
      </c>
      <c r="BV205" s="82">
        <f>EXP(LN('Données projet'!B114)/'Données projet'!A114)</f>
        <v>1.4816888666071193</v>
      </c>
      <c r="CQ205" s="82">
        <f>EXP(LN('Données projet'!B140)/'Données projet'!A140)</f>
        <v>1.3467943429205997</v>
      </c>
      <c r="DL205" s="82">
        <f>EXP(LN('Données projet'!B166)/'Données projet'!A166)</f>
        <v>1.2709816152101407</v>
      </c>
      <c r="EG205" s="82">
        <f>EXP(LN('Données projet'!B192)/'Données projet'!A192)</f>
        <v>1.3076604860118306</v>
      </c>
      <c r="FB205" s="82">
        <f>EXP(LN('Données projet'!B218)/'Données projet'!A218)</f>
        <v>1.3903891703159093</v>
      </c>
      <c r="FW205" s="82">
        <f>EXP(LN('Données projet'!B244)/'Données projet'!A244)</f>
        <v>1.297898980070181</v>
      </c>
      <c r="GR205" s="82">
        <f>EXP(LN('Données projet'!B270)/'Données projet'!A270)</f>
        <v>1.297898980070181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A10" sqref="A10:XFD1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0.87</v>
      </c>
      <c r="C6" s="147">
        <f ca="1">IF(OR('Données projet'!B9="",'Données projet'!C9="",'Données projet'!C9=0%),0,Calculateur!S3)</f>
        <v>376.11581547534814</v>
      </c>
      <c r="D6" s="147">
        <f>IF(OR('Données projet'!B9="",'Données projet'!C9="",'Données projet'!C9=0%),0,Calculateur!T3)</f>
        <v>300.91675649863294</v>
      </c>
      <c r="E6" s="147">
        <f ca="1">MIN(C6,D6)</f>
        <v>300.91675649863294</v>
      </c>
      <c r="F6" s="147">
        <f ca="1">E6*B6</f>
        <v>261.79757815381066</v>
      </c>
      <c r="G6" s="147">
        <f ca="1">F6*(100%-'Données projet'!$C$24)*(100%-'Données projet'!$C$25)*(100%-'Données projet'!$C$26)*(100%-'Données projet'!$C$27)</f>
        <v>235.6178203384296</v>
      </c>
      <c r="H6" s="148">
        <f>IF(OR('Données projet'!B9="",'Données projet'!C9="",'Données projet'!C9=0%),0,AVERAGE(Calculateur!$AC$3:$AC$33)*B6)</f>
        <v>1.4200431497215535</v>
      </c>
      <c r="I6" s="149">
        <f>H6*(100%-'Données projet'!$C$24)*(100%-'Données projet'!$C$25)*(100%-'Données projet'!$C$26)*(100%-'Données projet'!$C$27)</f>
        <v>1.2780388347493983</v>
      </c>
      <c r="J6" s="150">
        <f>IF(OR('Données projet'!B9="",'Données projet'!C9="",'Données projet'!C9=0%),0,SUM(Calculateur!$V$3:$V$33)*VLOOKUP('Données projet'!$B$9,Paramètres!$A$1:$I$89,9,0)*B6)</f>
        <v>21.847439999999999</v>
      </c>
      <c r="K6" s="151">
        <f>J6*(100%-'Données projet'!$C$24)*(100%-'Données projet'!$C$25)*(100%-'Données projet'!$C$26)*(100%-'Données projet'!$C$27)</f>
        <v>19.662696</v>
      </c>
      <c r="L6" s="152">
        <f ca="1">G6+I6+K6</f>
        <v>256.558555173179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2.871</v>
      </c>
      <c r="C7" s="147">
        <f ca="1">IF(OR('Données projet'!B10="",'Données projet'!C10="",'Données projet'!C10=0%),0,Calculateur!AN3)</f>
        <v>505.38595282220405</v>
      </c>
      <c r="D7" s="147">
        <f>IF(OR('Données projet'!B10="",'Données projet'!C10="",'Données projet'!C10=0%),0,Calculateur!AO3)</f>
        <v>351.72130415456365</v>
      </c>
      <c r="E7" s="147">
        <f t="shared" ref="E7:E15" ca="1" si="0">MIN(C7,D7)</f>
        <v>351.72130415456365</v>
      </c>
      <c r="F7" s="147">
        <f t="shared" ref="F7:F15" ca="1" si="1">E7*B7</f>
        <v>1009.7918642277523</v>
      </c>
      <c r="G7" s="147">
        <f ca="1">F7*(100%-'Données projet'!$C$24)*(100%-'Données projet'!$C$25)*(100%-'Données projet'!$C$26)*(100%-'Données projet'!$C$27)</f>
        <v>908.81267780497706</v>
      </c>
      <c r="H7" s="155">
        <f>IF(OR('Données projet'!B10="",'Données projet'!C10="",'Données projet'!C10=0%),0,AVERAGE(Calculateur!$AX$3:$AX$33)*B7)</f>
        <v>4.1833702713662886</v>
      </c>
      <c r="I7" s="149">
        <f>H7*(100%-'Données projet'!$C$24)*(100%-'Données projet'!$C$25)*(100%-'Données projet'!$C$26)*(100%-'Données projet'!$C$27)</f>
        <v>3.7650332442296599</v>
      </c>
      <c r="J7" s="150">
        <f>IF(OR('Données projet'!B10="",'Données projet'!C10="",'Données projet'!C10=0%),0,SUM(Calculateur!$AQ$3:$AQ$33)*VLOOKUP('Données projet'!$B$10,Paramètres!$A$1:$I$89,9,0)*B7)</f>
        <v>44.500500000000002</v>
      </c>
      <c r="K7" s="151">
        <f>J7*(100%-'Données projet'!$C$24)*(100%-'Données projet'!$C$25)*(100%-'Données projet'!$C$26)*(100%-'Données projet'!$C$27)</f>
        <v>40.050450000000005</v>
      </c>
      <c r="L7" s="152">
        <f t="shared" ref="L7:L15" ca="1" si="2">G7+I7+K7</f>
        <v>952.62816104920671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sycomore</v>
      </c>
      <c r="B8" s="154">
        <f>'Données projet'!D11</f>
        <v>0.69599999999999995</v>
      </c>
      <c r="C8" s="147">
        <f ca="1">IF(OR('Données projet'!B11="",'Données projet'!C11="",'Données projet'!C11=0%),0,Calculateur!BI3)</f>
        <v>394.14657090341535</v>
      </c>
      <c r="D8" s="147">
        <f>IF(OR('Données projet'!B11="",'Données projet'!C11="",'Données projet'!C11=0%),0,Calculateur!BJ3)</f>
        <v>424.06445894109982</v>
      </c>
      <c r="E8" s="147">
        <f t="shared" ca="1" si="0"/>
        <v>394.14657090341535</v>
      </c>
      <c r="F8" s="147">
        <f t="shared" ca="1" si="1"/>
        <v>274.32601334877705</v>
      </c>
      <c r="G8" s="147">
        <f ca="1">F8*(100%-'Données projet'!$C$24)*(100%-'Données projet'!$C$25)*(100%-'Données projet'!$C$26)*(100%-'Données projet'!$C$27)</f>
        <v>246.89341201389936</v>
      </c>
      <c r="H8" s="155">
        <f>IF(OR('Données projet'!B11="",'Données projet'!C11="",'Données projet'!C11=0%),0,AVERAGE(Calculateur!$BS$3:$BS$33)*B8)</f>
        <v>3.553557864796252</v>
      </c>
      <c r="I8" s="149">
        <f>H8*(100%-'Données projet'!$C$24)*(100%-'Données projet'!$C$25)*(100%-'Données projet'!$C$26)*(100%-'Données projet'!$C$27)</f>
        <v>3.1982020783166267</v>
      </c>
      <c r="J8" s="150">
        <f>IF(OR('Données projet'!B11="",'Données projet'!C11="",'Données projet'!C11=0%),0,SUM(Calculateur!$BL$3:$BL$33)*VLOOKUP('Données projet'!$B$11,Paramètres!$A$1:$I$89,9,0)*B8)</f>
        <v>23.837999999999997</v>
      </c>
      <c r="K8" s="151">
        <f>J8*(100%-'Données projet'!$C$24)*(100%-'Données projet'!$C$25)*(100%-'Données projet'!$C$26)*(100%-'Données projet'!$C$27)</f>
        <v>21.454199999999997</v>
      </c>
      <c r="L8" s="152">
        <f t="shared" ca="1" si="2"/>
        <v>271.54581409221601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Mélèze hybride</v>
      </c>
      <c r="B9" s="154">
        <f>'Données projet'!D12</f>
        <v>1.4790000000000001</v>
      </c>
      <c r="C9" s="147">
        <f ca="1">IF(OR('Données projet'!B12="",'Données projet'!C12="",'Données projet'!C12=0%),0,Calculateur!CD3)</f>
        <v>382.09004346384319</v>
      </c>
      <c r="D9" s="147">
        <f>IF(OR('Données projet'!B12="",'Données projet'!C12="",'Données projet'!C12=0%),0,Calculateur!CE3)</f>
        <v>410.18893995284986</v>
      </c>
      <c r="E9" s="147">
        <f t="shared" ca="1" si="0"/>
        <v>382.09004346384319</v>
      </c>
      <c r="F9" s="147">
        <f t="shared" ca="1" si="1"/>
        <v>565.11117428302407</v>
      </c>
      <c r="G9" s="147">
        <f ca="1">F9*(100%-'Données projet'!$C$24)*(100%-'Données projet'!$C$25)*(100%-'Données projet'!$C$26)*(100%-'Données projet'!$C$27)</f>
        <v>508.60005685472169</v>
      </c>
      <c r="H9" s="155">
        <f>IF(OR('Données projet'!B12="",'Données projet'!C12="",'Données projet'!C12=0%),0,AVERAGE(Calculateur!$CN$3:$CN$33)*B9)</f>
        <v>18.661010711329347</v>
      </c>
      <c r="I9" s="149">
        <f>H9*(100%-'Données projet'!$C$24)*(100%-'Données projet'!$C$25)*(100%-'Données projet'!$C$26)*(100%-'Données projet'!$C$27)</f>
        <v>16.794909640196412</v>
      </c>
      <c r="J9" s="150">
        <f>IF(OR('Données projet'!B12="",'Données projet'!C12="",'Données projet'!C12=0%),0,SUM(Calculateur!$CG$3:$CG$33)*VLOOKUP('Données projet'!$B$12,Paramètres!$A$1:$I$89,9,0)*B9)</f>
        <v>129.73788000000002</v>
      </c>
      <c r="K9" s="151">
        <f>J9*(100%-'Données projet'!$C$24)*(100%-'Données projet'!$C$25)*(100%-'Données projet'!$C$26)*(100%-'Données projet'!$C$27)</f>
        <v>116.76409200000002</v>
      </c>
      <c r="L9" s="152">
        <f t="shared" ca="1" si="2"/>
        <v>642.1590584949181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rouge d'Amérique</v>
      </c>
      <c r="B10" s="154">
        <f>'Données projet'!D13</f>
        <v>0.95699999999999996</v>
      </c>
      <c r="C10" s="147">
        <f ca="1">IF(OR('Données projet'!B13="",'Données projet'!C13="",'Données projet'!C13=0%),0,Calculateur!CY3)</f>
        <v>363.02374534486341</v>
      </c>
      <c r="D10" s="147">
        <f>IF(OR('Données projet'!B13="",'Données projet'!C13="",'Données projet'!C13=0%),0,Calculateur!CZ3)</f>
        <v>489.00477393029598</v>
      </c>
      <c r="E10" s="147">
        <f t="shared" ca="1" si="0"/>
        <v>363.02374534486341</v>
      </c>
      <c r="F10" s="147">
        <f t="shared" ca="1" si="1"/>
        <v>347.41372429503429</v>
      </c>
      <c r="G10" s="147">
        <f ca="1">F10*(100%-'Données projet'!$C$24)*(100%-'Données projet'!$C$25)*(100%-'Données projet'!$C$26)*(100%-'Données projet'!$C$27)</f>
        <v>312.67235186553086</v>
      </c>
      <c r="H10" s="155">
        <f>IF(OR('Données projet'!B13="",'Données projet'!C13="",'Données projet'!C13=0%),0,AVERAGE(Calculateur!$DI$3:$DI$33)*B10)</f>
        <v>5.1363469875914003</v>
      </c>
      <c r="I10" s="149">
        <f>H10*(100%-'Données projet'!$C$24)*(100%-'Données projet'!$C$25)*(100%-'Données projet'!$C$26)*(100%-'Données projet'!$C$27)</f>
        <v>4.6227122888322603</v>
      </c>
      <c r="J10" s="150">
        <f>IF(OR('Données projet'!B13="",'Données projet'!C13="",'Données projet'!C13=0%),0,SUM(Calculateur!$DB$3:$DB$33)*VLOOKUP('Données projet'!$B$13,Paramètres!$A$1:$I$89,9,0)*B10)</f>
        <v>36.366</v>
      </c>
      <c r="K10" s="151">
        <f>J10*(100%-'Données projet'!$C$24)*(100%-'Données projet'!$C$25)*(100%-'Données projet'!$C$26)*(100%-'Données projet'!$C$27)</f>
        <v>32.729399999999998</v>
      </c>
      <c r="L10" s="152">
        <f t="shared" ca="1" si="2"/>
        <v>350.0244641543631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Châtaignier</v>
      </c>
      <c r="B11" s="154">
        <f>'Données projet'!D14</f>
        <v>0.26099999999999995</v>
      </c>
      <c r="C11" s="147">
        <f ca="1">IF(OR('Données projet'!B14="",'Données projet'!C14="",'Données projet'!C14=0%),0,Calculateur!DT3)</f>
        <v>368.03281986807173</v>
      </c>
      <c r="D11" s="147">
        <f>IF(OR('Données projet'!B14="",'Données projet'!C14="",'Données projet'!C14=0%),0,Calculateur!DU3)</f>
        <v>395.83504504492248</v>
      </c>
      <c r="E11" s="147">
        <f t="shared" ca="1" si="0"/>
        <v>368.03281986807173</v>
      </c>
      <c r="F11" s="147">
        <f t="shared" ca="1" si="1"/>
        <v>96.056565985566706</v>
      </c>
      <c r="G11" s="147">
        <f ca="1">F11*(100%-'Données projet'!$C$24)*(100%-'Données projet'!$C$25)*(100%-'Données projet'!$C$26)*(100%-'Données projet'!$C$27)</f>
        <v>86.450909387010043</v>
      </c>
      <c r="H11" s="155">
        <f>IF(OR('Données projet'!B14="",'Données projet'!C14="",'Données projet'!C14=0%),0,AVERAGE(Calculateur!$ED$3:$ED$33)*B11)</f>
        <v>1.0924323071784705</v>
      </c>
      <c r="I11" s="149">
        <f>H11*(100%-'Données projet'!$C$24)*(100%-'Données projet'!$C$25)*(100%-'Données projet'!$C$26)*(100%-'Données projet'!$C$27)</f>
        <v>0.98318907646062348</v>
      </c>
      <c r="J11" s="150">
        <f>IF(OR('Données projet'!B14="",'Données projet'!C14="",'Données projet'!C14=0%),0,SUM(Calculateur!$DW$3:$DW$33)*VLOOKUP('Données projet'!$B$14,Paramètres!$A$1:$I$89,9,0)*B11)</f>
        <v>8.9392499999999977</v>
      </c>
      <c r="K11" s="151">
        <f>J11*(100%-'Données projet'!$C$24)*(100%-'Données projet'!$C$25)*(100%-'Données projet'!$C$26)*(100%-'Données projet'!$C$27)</f>
        <v>8.0453249999999983</v>
      </c>
      <c r="L11" s="152">
        <f t="shared" ca="1" si="2"/>
        <v>95.479423463470653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Pin maritime</v>
      </c>
      <c r="B12" s="154">
        <f>'Données projet'!D15</f>
        <v>0.26099999999999995</v>
      </c>
      <c r="C12" s="147">
        <f ca="1">IF(OR('Données projet'!B15="",'Données projet'!C15="",'Données projet'!C15=0%),0,Calculateur!EO3)</f>
        <v>225.2264820414552</v>
      </c>
      <c r="D12" s="147">
        <f>IF(OR('Données projet'!B15="",'Données projet'!C15="",'Données projet'!C15=0%),0,Calculateur!EP3)</f>
        <v>249.91838548328681</v>
      </c>
      <c r="E12" s="147">
        <f t="shared" ca="1" si="0"/>
        <v>225.2264820414552</v>
      </c>
      <c r="F12" s="147">
        <f t="shared" ca="1" si="1"/>
        <v>58.784111812819795</v>
      </c>
      <c r="G12" s="147">
        <f ca="1">F12*(100%-'Données projet'!$C$24)*(100%-'Données projet'!$C$25)*(100%-'Données projet'!$C$26)*(100%-'Données projet'!$C$27)</f>
        <v>52.905700631537819</v>
      </c>
      <c r="H12" s="155">
        <f>IF(OR('Données projet'!B15="",'Données projet'!C15="",'Données projet'!C15=0%),0,AVERAGE(Calculateur!$EY$3:$EY$33)*B12)</f>
        <v>1.1710840706822925</v>
      </c>
      <c r="I12" s="149">
        <f>H12*(100%-'Données projet'!$C$24)*(100%-'Données projet'!$C$25)*(100%-'Données projet'!$C$26)*(100%-'Données projet'!$C$27)</f>
        <v>1.0539756636140634</v>
      </c>
      <c r="J12" s="150">
        <f>IF(OR('Données projet'!B15="",'Données projet'!C15="",'Données projet'!C15=0%),0,SUM(Calculateur!$ER$3:$ER$33)*VLOOKUP('Données projet'!$B$15,Paramètres!$A$1:$I$89,9,0)*B12)</f>
        <v>10.009349999999998</v>
      </c>
      <c r="K12" s="151">
        <f>J12*(100%-'Données projet'!$C$24)*(100%-'Données projet'!$C$25)*(100%-'Données projet'!$C$26)*(100%-'Données projet'!$C$27)</f>
        <v>9.0084149999999976</v>
      </c>
      <c r="L12" s="152">
        <f t="shared" ca="1" si="2"/>
        <v>62.968091295151879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Douglas</v>
      </c>
      <c r="B13" s="154">
        <f>'Données projet'!D16</f>
        <v>0.30449999999999999</v>
      </c>
      <c r="C13" s="147">
        <f ca="1">IF(OR('Données projet'!B16="",'Données projet'!C16="",'Données projet'!C16=0%),0,Calculateur!FJ3)</f>
        <v>549.85684198202534</v>
      </c>
      <c r="D13" s="147">
        <f>IF(OR('Données projet'!B16="",'Données projet'!C16="",'Données projet'!C16=0%),0,Calculateur!FK3)</f>
        <v>539.63748606275431</v>
      </c>
      <c r="E13" s="147">
        <f t="shared" ca="1" si="0"/>
        <v>539.63748606275431</v>
      </c>
      <c r="F13" s="147">
        <f t="shared" ca="1" si="1"/>
        <v>164.31961450610868</v>
      </c>
      <c r="G13" s="147">
        <f ca="1">F13*(100%-'Données projet'!$C$24)*(100%-'Données projet'!$C$25)*(100%-'Données projet'!$C$26)*(100%-'Données projet'!$C$27)</f>
        <v>147.88765305549782</v>
      </c>
      <c r="H13" s="155">
        <f>IF(OR('Données projet'!B16="",'Données projet'!C16="",'Données projet'!C16=0%),0,AVERAGE(Calculateur!$FT$3:$FT$33)*B13)</f>
        <v>3.7578102817535548</v>
      </c>
      <c r="I13" s="149">
        <f>H13*(100%-'Données projet'!$C$24)*(100%-'Données projet'!$C$25)*(100%-'Données projet'!$C$26)*(100%-'Données projet'!$C$27)</f>
        <v>3.3820292535781995</v>
      </c>
      <c r="J13" s="150">
        <f>IF(OR('Données projet'!C16="",'Données projet'!C16=0%),0,SUM(Calculateur!$FM$3:$FM$33)*VLOOKUP('Données projet'!$B$16,Paramètres!$A$1:$I$89,9,0)*B13)</f>
        <v>31.948139999999999</v>
      </c>
      <c r="K13" s="151">
        <f>J13*(100%-'Données projet'!$C$24)*(100%-'Données projet'!$C$25)*(100%-'Données projet'!$C$26)*(100%-'Données projet'!$C$27)</f>
        <v>28.753325999999998</v>
      </c>
      <c r="L13" s="152">
        <f t="shared" ca="1" si="2"/>
        <v>180.023008309076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Pin laricio</v>
      </c>
      <c r="B14" s="154">
        <f>'Données projet'!D17</f>
        <v>0.69599999999999995</v>
      </c>
      <c r="C14" s="147">
        <f ca="1">IF(OR('Données projet'!B17="",'Données projet'!C17="",'Données projet'!C17=0%),0,Calculateur!GE3)</f>
        <v>495.6641415122013</v>
      </c>
      <c r="D14" s="147">
        <f>IF(OR('Données projet'!B17="",'Données projet'!C17="",'Données projet'!C17=0%),0,Calculateur!GF3)</f>
        <v>488.90534169400757</v>
      </c>
      <c r="E14" s="147">
        <f t="shared" ca="1" si="0"/>
        <v>488.90534169400757</v>
      </c>
      <c r="F14" s="147">
        <f t="shared" ca="1" si="1"/>
        <v>340.27811781902926</v>
      </c>
      <c r="G14" s="147">
        <f ca="1">F14*(100%-'Données projet'!$C$24)*(100%-'Données projet'!$C$25)*(100%-'Données projet'!$C$26)*(100%-'Données projet'!$C$27)</f>
        <v>306.25030603712634</v>
      </c>
      <c r="H14" s="155">
        <f>IF(OR('Données projet'!B17="",'Données projet'!C17="",'Données projet'!C17=0%),0,AVERAGE(Calculateur!$GO$3:$GO$33)*B14)</f>
        <v>5.0831391276861533</v>
      </c>
      <c r="I14" s="149">
        <f>H14*(100%-'Données projet'!$C$24)*(100%-'Données projet'!$C$25)*(100%-'Données projet'!$C$26)*(100%-'Données projet'!$C$27)</f>
        <v>4.5748252149175377</v>
      </c>
      <c r="J14" s="150">
        <f>IF(OR('Données projet'!B17="",'Données projet'!C17="",'Données projet'!C17=0%),0,SUM(Calculateur!$GH$3:$GH$33)*VLOOKUP('Données projet'!$B$17,Paramètres!$A$1:$I$89,9,0)*B14)</f>
        <v>51.476159999999993</v>
      </c>
      <c r="K14" s="151">
        <f>J14*(100%-'Données projet'!$C$24)*(100%-'Données projet'!$C$25)*(100%-'Données projet'!$C$26)*(100%-'Données projet'!$C$27)</f>
        <v>46.328543999999994</v>
      </c>
      <c r="L14" s="152">
        <f t="shared" ca="1" si="2"/>
        <v>357.15367525204385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Pin taeda</v>
      </c>
      <c r="B15" s="157">
        <f>'Données projet'!D18</f>
        <v>0.26099999999999995</v>
      </c>
      <c r="C15" s="158">
        <f ca="1">IF(OR('Données projet'!B18="",'Données projet'!C18="",'Données projet'!C18=0%),0,Calculateur!GZ3)</f>
        <v>-18.333333333333343</v>
      </c>
      <c r="D15" s="158">
        <f>IF(OR('Données projet'!B18="",'Données projet'!C18="",'Données projet'!C18=0%),0,Calculateur!HA3)</f>
        <v>-18.333333333333343</v>
      </c>
      <c r="E15" s="158">
        <f t="shared" ca="1" si="0"/>
        <v>-18.333333333333343</v>
      </c>
      <c r="F15" s="159">
        <f t="shared" ca="1" si="1"/>
        <v>-4.7850000000000019</v>
      </c>
      <c r="G15" s="159">
        <f ca="1">F15*(100%-'Données projet'!$C$24)*(100%-'Données projet'!$C$25)*(100%-'Données projet'!$C$26)*(100%-'Données projet'!$C$27)</f>
        <v>-4.3065000000000015</v>
      </c>
      <c r="H15" s="160">
        <f>IF(OR('Données projet'!B18="",'Données projet'!C18="",'Données projet'!C18=0%),0,AVERAGE(Calculateur!$HJ$3:$HJ$33)*B15)</f>
        <v>1.9061771728823074</v>
      </c>
      <c r="I15" s="161">
        <f>H15*(100%-'Données projet'!$C$24)*(100%-'Données projet'!$C$25)*(100%-'Données projet'!$C$26)*(100%-'Données projet'!$C$27)</f>
        <v>1.7155594555940767</v>
      </c>
      <c r="J15" s="162">
        <f>IF(OR('Données projet'!B18="",'Données projet'!C18="",'Données projet'!C18=0%),0,SUM(Calculateur!$HC$3:$HC$33)*VLOOKUP('Données projet'!$B$18,Paramètres!$A$1:$I$89,9,0)*B15)</f>
        <v>19.303559999999994</v>
      </c>
      <c r="K15" s="163">
        <f>J15*(100%-'Données projet'!$C$24)*(100%-'Données projet'!$C$25)*(100%-'Données projet'!$C$26)*(100%-'Données projet'!$C$27)</f>
        <v>17.373203999999994</v>
      </c>
      <c r="L15" s="164">
        <f t="shared" ca="1" si="2"/>
        <v>14.78226345559407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3113.0937644319229</v>
      </c>
      <c r="G16" s="166">
        <f t="shared" ca="1" si="3"/>
        <v>2801.7843879887309</v>
      </c>
      <c r="H16" s="167">
        <f t="shared" si="3"/>
        <v>45.964971944987617</v>
      </c>
      <c r="I16" s="167">
        <f t="shared" si="3"/>
        <v>41.368474750488858</v>
      </c>
      <c r="J16" s="168">
        <f t="shared" si="3"/>
        <v>377.96628000000004</v>
      </c>
      <c r="K16" s="168">
        <f t="shared" si="3"/>
        <v>340.16965199999993</v>
      </c>
      <c r="L16" s="169">
        <f t="shared" ca="1" si="3"/>
        <v>3183.3225147392191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rouge d'Amérique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Douglas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Pin laricio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Pin taeda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E297" sqref="E29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256.42470187421878</v>
      </c>
      <c r="U10" s="178">
        <f>'Données projet'!D9</f>
        <v>0.87</v>
      </c>
      <c r="V10" s="177">
        <f>U10*T10</f>
        <v>223.08949063057034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-111.87686938026053</v>
      </c>
      <c r="U11" s="178">
        <f>'Données projet'!D10</f>
        <v>2.871</v>
      </c>
      <c r="V11" s="177">
        <f t="shared" ref="V11" si="0">U11*T11</f>
        <v>-321.19849199072797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903.90890070817318</v>
      </c>
      <c r="U12" s="178">
        <f>'Données projet'!D11</f>
        <v>0.69599999999999995</v>
      </c>
      <c r="V12" s="177">
        <f t="shared" ref="V12:V19" si="1">U12*T12</f>
        <v>629.12059489288845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2857.9031457527412</v>
      </c>
      <c r="U13" s="178">
        <f>'Données projet'!D12</f>
        <v>1.4790000000000001</v>
      </c>
      <c r="V13" s="177">
        <f t="shared" si="1"/>
        <v>4226.8387525683047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rouge d'Amérique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2326.176112571502</v>
      </c>
      <c r="U14" s="178">
        <f>'Données projet'!D13</f>
        <v>0.95699999999999996</v>
      </c>
      <c r="V14" s="177">
        <f t="shared" si="1"/>
        <v>2226.1505397309274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1206.4751543162174</v>
      </c>
      <c r="U15" s="178">
        <f>'Données projet'!D14</f>
        <v>0.26099999999999995</v>
      </c>
      <c r="V15" s="177">
        <f t="shared" si="1"/>
        <v>314.89001527653267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1585.667019572591</v>
      </c>
      <c r="U16" s="178">
        <f>'Données projet'!D15</f>
        <v>0.26099999999999995</v>
      </c>
      <c r="V16" s="177">
        <f t="shared" si="1"/>
        <v>413.85909210844619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1950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Douglas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6532.1578944491939</v>
      </c>
      <c r="U17" s="178">
        <f>'Données projet'!D16</f>
        <v>0.30449999999999999</v>
      </c>
      <c r="V17" s="177">
        <f t="shared" si="1"/>
        <v>1989.0420788597794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>Pin laricio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3106.5759929097585</v>
      </c>
      <c r="U18" s="178">
        <f>'Données projet'!D17</f>
        <v>0.69599999999999995</v>
      </c>
      <c r="V18" s="177">
        <f t="shared" si="1"/>
        <v>2162.1768910651917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>Pin taeda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2437.97594949015</v>
      </c>
      <c r="U19" s="178">
        <f>'Données projet'!D18</f>
        <v>0.26099999999999995</v>
      </c>
      <c r="V19" s="177">
        <f t="shared" si="1"/>
        <v>636.31172281692909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715*0.3/8.7</f>
        <v>24.655172413793107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300</v>
      </c>
      <c r="J21" s="1" t="s">
        <v>328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1010</v>
      </c>
      <c r="J22" s="1" t="s">
        <v>326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12.5</v>
      </c>
      <c r="C23" s="193">
        <v>20</v>
      </c>
      <c r="D23" s="182">
        <f>B23*C23</f>
        <v>250</v>
      </c>
      <c r="E23" s="193"/>
      <c r="F23" s="230"/>
      <c r="H23" s="190">
        <v>0</v>
      </c>
      <c r="I23" s="191">
        <v>2675</v>
      </c>
      <c r="J23" s="1" t="s">
        <v>324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-40858.244391563145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45.9</v>
      </c>
      <c r="C24" s="193">
        <v>22</v>
      </c>
      <c r="D24" s="182">
        <f t="shared" ref="D24:D42" si="2">B24*C24</f>
        <v>1009.8</v>
      </c>
      <c r="E24" s="193"/>
      <c r="F24" s="233"/>
      <c r="H24" s="190">
        <v>0</v>
      </c>
      <c r="I24" s="191">
        <v>830</v>
      </c>
      <c r="J24" s="1" t="s">
        <v>325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35041.265729257393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83.4</v>
      </c>
      <c r="C25" s="193">
        <v>28</v>
      </c>
      <c r="D25" s="182">
        <f t="shared" si="2"/>
        <v>2335.2000000000003</v>
      </c>
      <c r="E25" s="193"/>
      <c r="F25" s="233"/>
      <c r="H25" s="190">
        <v>1</v>
      </c>
      <c r="I25" s="191">
        <v>650</v>
      </c>
      <c r="J25" s="1" t="s">
        <v>327</v>
      </c>
      <c r="K25" s="208"/>
      <c r="L25" s="130" t="s">
        <v>285</v>
      </c>
      <c r="M25" s="130"/>
      <c r="N25" s="130"/>
      <c r="O25" s="130"/>
      <c r="P25" s="192">
        <v>185</v>
      </c>
      <c r="Q25" s="234"/>
      <c r="R25" s="23"/>
      <c r="S25" s="186" t="s">
        <v>266</v>
      </c>
      <c r="T25" s="299">
        <f ca="1">T23-T24</f>
        <v>-75899.510120820545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83.4</v>
      </c>
      <c r="C26" s="193">
        <v>32</v>
      </c>
      <c r="D26" s="182">
        <f t="shared" si="2"/>
        <v>2668.8</v>
      </c>
      <c r="E26" s="193"/>
      <c r="F26" s="233"/>
      <c r="G26" s="229"/>
      <c r="H26" s="190">
        <v>3</v>
      </c>
      <c r="I26" s="191">
        <v>400</v>
      </c>
      <c r="J26" s="1" t="s">
        <v>329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83.4</v>
      </c>
      <c r="C27" s="193">
        <v>35</v>
      </c>
      <c r="D27" s="182">
        <f t="shared" si="2"/>
        <v>2919</v>
      </c>
      <c r="E27" s="193"/>
      <c r="F27" s="233"/>
      <c r="G27" s="229"/>
      <c r="H27" s="190">
        <v>5</v>
      </c>
      <c r="I27" s="191">
        <v>400</v>
      </c>
      <c r="J27" s="1" t="s">
        <v>329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83.4</v>
      </c>
      <c r="C28" s="193">
        <v>50</v>
      </c>
      <c r="D28" s="182">
        <f t="shared" si="2"/>
        <v>4170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83.4</v>
      </c>
      <c r="C29" s="193">
        <v>50</v>
      </c>
      <c r="D29" s="182">
        <f t="shared" si="2"/>
        <v>4170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83.4</v>
      </c>
      <c r="C30" s="193">
        <v>50</v>
      </c>
      <c r="D30" s="182">
        <f t="shared" si="2"/>
        <v>4170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4027.7316930180918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726.2</v>
      </c>
      <c r="C31" s="193">
        <v>60</v>
      </c>
      <c r="D31" s="182">
        <f t="shared" si="2"/>
        <v>43572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185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177.03349282296651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169.41004097891536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162.11487175015822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155.13384856474477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148.45344360262655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142.06071158146085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135.94326467125441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130.08924848923871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124.4873191284581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119.126621175558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113.99676667517512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109.08781500016761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104.39025358867713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99.894979510695848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1824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95.593281828417062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91.476824716188617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87.537631307357529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83.768068236705787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80.160830848522281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76.708929041648148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6</v>
      </c>
      <c r="C54" s="191">
        <v>15</v>
      </c>
      <c r="D54" s="179">
        <f>B54*C54</f>
        <v>90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73.405673724065196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>
        <v>20</v>
      </c>
      <c r="D55" s="179">
        <f t="shared" ref="D55:D73" si="4">B55*C55</f>
        <v>1120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70.244663850780114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>
        <v>24</v>
      </c>
      <c r="D56" s="179">
        <f t="shared" si="4"/>
        <v>1344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67.219774019885278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>
        <v>24</v>
      </c>
      <c r="D57" s="179">
        <f t="shared" si="4"/>
        <v>1344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64.325142602761048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>
        <v>35</v>
      </c>
      <c r="D58" s="179">
        <f t="shared" si="4"/>
        <v>1960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61.555160385417274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>
        <v>70</v>
      </c>
      <c r="D59" s="179">
        <f t="shared" si="4"/>
        <v>3920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58.904459698963912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>
        <v>100</v>
      </c>
      <c r="D60" s="179">
        <f t="shared" si="4"/>
        <v>5600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56.367904018147286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>
        <v>140</v>
      </c>
      <c r="D61" s="179">
        <f t="shared" si="4"/>
        <v>7840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53.940578007796454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>
        <v>180</v>
      </c>
      <c r="D62" s="179">
        <f t="shared" si="4"/>
        <v>9900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51.617777997891338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>
        <v>200</v>
      </c>
      <c r="D63" s="179">
        <f t="shared" si="4"/>
        <v>10200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49.395002868795558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361</v>
      </c>
      <c r="C64" s="191">
        <v>250</v>
      </c>
      <c r="D64" s="179">
        <f t="shared" si="4"/>
        <v>90250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47.267945328990955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45.23248356841242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43.284673271208064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41.420739972447912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39.637071743969294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37.930212195185938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36.296853775297549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34.733831363921105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33.238116137723544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31.806809701170863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30.437138470019967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29.126448296669832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27.872199326956775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26.67196107842754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25.52340773055267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1123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24.424313617753757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23.37254891651077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22.366075518192133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21.402943079609695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20.481285243645647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19.599316022627416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18.755326337442504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67</v>
      </c>
      <c r="C86" s="191">
        <v>15</v>
      </c>
      <c r="D86" s="179">
        <f t="shared" ref="D86:D104" si="6">B86*C86</f>
        <v>1005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17.947680705686608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70</v>
      </c>
      <c r="C87" s="191">
        <v>20</v>
      </c>
      <c r="D87" s="179">
        <f t="shared" si="6"/>
        <v>1400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17.174814072427381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40</v>
      </c>
      <c r="B88" s="181">
        <f>'Données projet'!D91</f>
        <v>70</v>
      </c>
      <c r="C88" s="191">
        <v>20</v>
      </c>
      <c r="D88" s="179">
        <f t="shared" si="6"/>
        <v>1400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16.435228777442468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43</v>
      </c>
      <c r="C89" s="191">
        <v>30</v>
      </c>
      <c r="D89" s="179">
        <f t="shared" si="6"/>
        <v>1290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15.727491653054997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30</v>
      </c>
      <c r="C90" s="191">
        <v>40</v>
      </c>
      <c r="D90" s="179">
        <f t="shared" si="6"/>
        <v>1200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15.050231246942584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26</v>
      </c>
      <c r="C91" s="191">
        <v>50</v>
      </c>
      <c r="D91" s="179">
        <f t="shared" si="6"/>
        <v>1300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14.402135164538361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342</v>
      </c>
      <c r="C92" s="191">
        <v>70</v>
      </c>
      <c r="D92" s="179">
        <f t="shared" si="6"/>
        <v>23940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13.781947525874029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13.188466531936873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12.620542135824756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12.077073814186376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1274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8</v>
      </c>
      <c r="C116" s="191">
        <v>5</v>
      </c>
      <c r="D116" s="179">
        <f>B116*C116</f>
        <v>40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98</v>
      </c>
      <c r="C117" s="191">
        <v>25</v>
      </c>
      <c r="D117" s="179">
        <f t="shared" ref="D117:D135" si="8">B117*C117</f>
        <v>2450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98</v>
      </c>
      <c r="C118" s="191">
        <v>32</v>
      </c>
      <c r="D118" s="179">
        <f t="shared" si="8"/>
        <v>3136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92</v>
      </c>
      <c r="C119" s="191">
        <v>35</v>
      </c>
      <c r="D119" s="179">
        <f t="shared" si="8"/>
        <v>3220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50</v>
      </c>
      <c r="B120" s="181">
        <f>'Données projet'!D118</f>
        <v>75</v>
      </c>
      <c r="C120" s="191">
        <v>40</v>
      </c>
      <c r="D120" s="179">
        <f t="shared" si="8"/>
        <v>3000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60</v>
      </c>
      <c r="B121" s="181">
        <f>'Données projet'!D119</f>
        <v>67</v>
      </c>
      <c r="C121" s="191">
        <v>45</v>
      </c>
      <c r="D121" s="179">
        <f t="shared" si="8"/>
        <v>3015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70</v>
      </c>
      <c r="B122" s="181">
        <f>'Données projet'!D120</f>
        <v>63</v>
      </c>
      <c r="C122" s="191">
        <v>50</v>
      </c>
      <c r="D122" s="179">
        <f t="shared" si="8"/>
        <v>3150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80</v>
      </c>
      <c r="B123" s="181">
        <f>'Données projet'!D121</f>
        <v>487</v>
      </c>
      <c r="C123" s="191">
        <v>70</v>
      </c>
      <c r="D123" s="179">
        <f t="shared" si="8"/>
        <v>34090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rouge d'Amérique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899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21</v>
      </c>
      <c r="C147" s="191">
        <v>12</v>
      </c>
      <c r="D147" s="182">
        <f t="shared" ref="D147:D153" si="10">B147*C147</f>
        <v>252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43</v>
      </c>
      <c r="C148" s="191">
        <v>20</v>
      </c>
      <c r="D148" s="182">
        <f t="shared" si="10"/>
        <v>860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88</v>
      </c>
      <c r="C149" s="191">
        <v>25</v>
      </c>
      <c r="D149" s="182">
        <f t="shared" si="10"/>
        <v>2200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40</v>
      </c>
      <c r="B150" s="175">
        <f>'Données projet'!D143</f>
        <v>81</v>
      </c>
      <c r="C150" s="191">
        <v>35</v>
      </c>
      <c r="D150" s="182">
        <f t="shared" si="10"/>
        <v>2835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50</v>
      </c>
      <c r="B151" s="175">
        <f>'Données projet'!D144</f>
        <v>69</v>
      </c>
      <c r="C151" s="191">
        <v>45</v>
      </c>
      <c r="D151" s="182">
        <f t="shared" si="10"/>
        <v>3105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60</v>
      </c>
      <c r="B152" s="175">
        <f>'Données projet'!D145</f>
        <v>55</v>
      </c>
      <c r="C152" s="191">
        <v>50</v>
      </c>
      <c r="D152" s="182">
        <f t="shared" si="10"/>
        <v>2750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70</v>
      </c>
      <c r="B153" s="175">
        <f>'Données projet'!D146</f>
        <v>272</v>
      </c>
      <c r="C153" s="191">
        <v>90</v>
      </c>
      <c r="D153" s="182">
        <f t="shared" si="10"/>
        <v>24480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ref="D154:D166" si="11">B154*C154</f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1365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0</v>
      </c>
      <c r="C178" s="193"/>
      <c r="D178" s="179">
        <f t="shared" ref="D178:D184" si="12"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67</v>
      </c>
      <c r="C179" s="193">
        <v>15</v>
      </c>
      <c r="D179" s="179">
        <f t="shared" si="12"/>
        <v>1005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30</v>
      </c>
      <c r="B180" s="181">
        <f>'Données projet'!D168</f>
        <v>70</v>
      </c>
      <c r="C180" s="193">
        <v>20</v>
      </c>
      <c r="D180" s="179">
        <f t="shared" si="12"/>
        <v>1400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40</v>
      </c>
      <c r="B181" s="181">
        <f>'Données projet'!D169</f>
        <v>70</v>
      </c>
      <c r="C181" s="193">
        <v>35</v>
      </c>
      <c r="D181" s="179">
        <f t="shared" si="12"/>
        <v>2450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50</v>
      </c>
      <c r="B182" s="181">
        <f>'Données projet'!D170</f>
        <v>43</v>
      </c>
      <c r="C182" s="193">
        <v>50</v>
      </c>
      <c r="D182" s="179">
        <f t="shared" si="12"/>
        <v>2150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60</v>
      </c>
      <c r="B183" s="181">
        <f>'Données projet'!D171</f>
        <v>30</v>
      </c>
      <c r="C183" s="193">
        <v>60</v>
      </c>
      <c r="D183" s="179">
        <f t="shared" si="12"/>
        <v>1800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70</v>
      </c>
      <c r="B184" s="181">
        <f>'Données projet'!D172</f>
        <v>26</v>
      </c>
      <c r="C184" s="193">
        <v>70</v>
      </c>
      <c r="D184" s="179">
        <f t="shared" si="12"/>
        <v>1820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80</v>
      </c>
      <c r="B185" s="181">
        <f>'Données projet'!D173</f>
        <v>342</v>
      </c>
      <c r="C185" s="193">
        <v>90</v>
      </c>
      <c r="D185" s="179">
        <f t="shared" ref="D185:D197" si="13">B185*C185</f>
        <v>30780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351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12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16</v>
      </c>
      <c r="B210" s="181">
        <f>'Données projet'!D193</f>
        <v>8</v>
      </c>
      <c r="C210" s="193">
        <v>12</v>
      </c>
      <c r="D210" s="179">
        <f t="shared" ref="D210:D228" si="14">B210*C210</f>
        <v>96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20</v>
      </c>
      <c r="B211" s="181">
        <f>'Données projet'!D194</f>
        <v>14</v>
      </c>
      <c r="C211" s="193">
        <v>20</v>
      </c>
      <c r="D211" s="179">
        <f t="shared" si="14"/>
        <v>280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24</v>
      </c>
      <c r="B212" s="181">
        <f>'Données projet'!D195</f>
        <v>20</v>
      </c>
      <c r="C212" s="193">
        <v>22</v>
      </c>
      <c r="D212" s="179">
        <f t="shared" si="14"/>
        <v>440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28</v>
      </c>
      <c r="B213" s="181">
        <f>'Données projet'!D196</f>
        <v>23</v>
      </c>
      <c r="C213" s="193">
        <v>25</v>
      </c>
      <c r="D213" s="179">
        <f t="shared" si="14"/>
        <v>575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34</v>
      </c>
      <c r="B214" s="181">
        <f>'Données projet'!D197</f>
        <v>38</v>
      </c>
      <c r="C214" s="193">
        <v>30</v>
      </c>
      <c r="D214" s="179">
        <f t="shared" si="14"/>
        <v>1140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40</v>
      </c>
      <c r="B215" s="181">
        <f>'Données projet'!D198</f>
        <v>31</v>
      </c>
      <c r="C215" s="193">
        <v>37</v>
      </c>
      <c r="D215" s="179">
        <f t="shared" si="14"/>
        <v>1147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46</v>
      </c>
      <c r="B216" s="181">
        <f>'Données projet'!D199</f>
        <v>23</v>
      </c>
      <c r="C216" s="193">
        <v>40</v>
      </c>
      <c r="D216" s="179">
        <f t="shared" si="14"/>
        <v>920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54</v>
      </c>
      <c r="B217" s="181">
        <f>'Données projet'!D200</f>
        <v>22</v>
      </c>
      <c r="C217" s="193">
        <v>45</v>
      </c>
      <c r="D217" s="179">
        <f t="shared" si="14"/>
        <v>990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62</v>
      </c>
      <c r="B218" s="181">
        <f>'Données projet'!D201</f>
        <v>241</v>
      </c>
      <c r="C218" s="193">
        <v>50</v>
      </c>
      <c r="D218" s="179">
        <f t="shared" si="14"/>
        <v>12050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Douglas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741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10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20</v>
      </c>
      <c r="B241" s="181">
        <f>'Données projet'!D219</f>
        <v>104</v>
      </c>
      <c r="C241" s="193">
        <v>25</v>
      </c>
      <c r="D241" s="179">
        <f t="shared" ref="D241:D259" si="15">B241*C241</f>
        <v>2600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30</v>
      </c>
      <c r="B242" s="181">
        <f>'Données projet'!D220</f>
        <v>140</v>
      </c>
      <c r="C242" s="193">
        <v>35</v>
      </c>
      <c r="D242" s="179">
        <f t="shared" si="15"/>
        <v>4900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40</v>
      </c>
      <c r="B243" s="181">
        <f>'Données projet'!D221</f>
        <v>140</v>
      </c>
      <c r="C243" s="193">
        <v>48</v>
      </c>
      <c r="D243" s="179">
        <f t="shared" si="15"/>
        <v>6720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50</v>
      </c>
      <c r="B244" s="181">
        <f>'Données projet'!D222</f>
        <v>129</v>
      </c>
      <c r="C244" s="193">
        <v>60</v>
      </c>
      <c r="D244" s="179">
        <f t="shared" si="15"/>
        <v>7740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60</v>
      </c>
      <c r="B245" s="181">
        <f>'Données projet'!D223</f>
        <v>96</v>
      </c>
      <c r="C245" s="193">
        <v>70</v>
      </c>
      <c r="D245" s="179">
        <f t="shared" si="15"/>
        <v>6720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70</v>
      </c>
      <c r="B246" s="181">
        <f>'Données projet'!D224</f>
        <v>80</v>
      </c>
      <c r="C246" s="193">
        <v>80</v>
      </c>
      <c r="D246" s="179">
        <f t="shared" si="15"/>
        <v>6400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80</v>
      </c>
      <c r="B247" s="181">
        <f>'Données projet'!D225</f>
        <v>790</v>
      </c>
      <c r="C247" s="193">
        <v>90</v>
      </c>
      <c r="D247" s="179">
        <f t="shared" si="15"/>
        <v>71100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Pin laricio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495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60</v>
      </c>
      <c r="C271" s="193">
        <v>15</v>
      </c>
      <c r="D271" s="179">
        <f>B271*C271</f>
        <v>900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30</v>
      </c>
      <c r="B272" s="181">
        <f>'Données projet'!D245</f>
        <v>112</v>
      </c>
      <c r="C272" s="193">
        <v>25</v>
      </c>
      <c r="D272" s="179">
        <f t="shared" ref="D272:D290" si="16">B272*C272</f>
        <v>2800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40</v>
      </c>
      <c r="B273" s="181">
        <f>'Données projet'!D246</f>
        <v>112</v>
      </c>
      <c r="C273" s="193">
        <v>28</v>
      </c>
      <c r="D273" s="179">
        <f t="shared" si="16"/>
        <v>3136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50</v>
      </c>
      <c r="B274" s="181">
        <f>'Données projet'!D247</f>
        <v>103</v>
      </c>
      <c r="C274" s="193">
        <v>30</v>
      </c>
      <c r="D274" s="179">
        <f t="shared" si="16"/>
        <v>3090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60</v>
      </c>
      <c r="B275" s="181">
        <f>'Données projet'!D248</f>
        <v>78</v>
      </c>
      <c r="C275" s="193">
        <v>35</v>
      </c>
      <c r="D275" s="179">
        <f t="shared" si="16"/>
        <v>2730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70</v>
      </c>
      <c r="B276" s="181">
        <f>'Données projet'!D249</f>
        <v>60</v>
      </c>
      <c r="C276" s="193">
        <v>42</v>
      </c>
      <c r="D276" s="179">
        <f t="shared" si="16"/>
        <v>2520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80</v>
      </c>
      <c r="B277" s="181">
        <f>'Données projet'!D250</f>
        <v>671</v>
      </c>
      <c r="C277" s="193">
        <v>65</v>
      </c>
      <c r="D277" s="179">
        <f t="shared" si="16"/>
        <v>43615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Pin taeda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416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20</v>
      </c>
      <c r="B302" s="181">
        <f>'Données projet'!D270</f>
        <v>60</v>
      </c>
      <c r="C302" s="191">
        <v>15</v>
      </c>
      <c r="D302" s="182">
        <f>B302*C302</f>
        <v>900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30</v>
      </c>
      <c r="B303" s="181">
        <f>'Données projet'!D271</f>
        <v>112</v>
      </c>
      <c r="C303" s="191">
        <v>25</v>
      </c>
      <c r="D303" s="182">
        <f t="shared" ref="D303:D321" si="17">B303*C303</f>
        <v>2800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40</v>
      </c>
      <c r="B304" s="181">
        <f>'Données projet'!D272</f>
        <v>112</v>
      </c>
      <c r="C304" s="191">
        <v>28</v>
      </c>
      <c r="D304" s="182">
        <f t="shared" si="17"/>
        <v>3136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50</v>
      </c>
      <c r="B305" s="181">
        <f>'Données projet'!D273</f>
        <v>103</v>
      </c>
      <c r="C305" s="191">
        <v>30</v>
      </c>
      <c r="D305" s="182">
        <f t="shared" si="17"/>
        <v>3090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60</v>
      </c>
      <c r="B306" s="181">
        <f>'Données projet'!D274</f>
        <v>78</v>
      </c>
      <c r="C306" s="191">
        <v>35</v>
      </c>
      <c r="D306" s="182">
        <f t="shared" si="17"/>
        <v>2730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70</v>
      </c>
      <c r="B307" s="181">
        <f>'Données projet'!D275</f>
        <v>60</v>
      </c>
      <c r="C307" s="191">
        <v>42</v>
      </c>
      <c r="D307" s="182">
        <f t="shared" si="17"/>
        <v>2520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80</v>
      </c>
      <c r="B308" s="181">
        <f>'Données projet'!D276</f>
        <v>671</v>
      </c>
      <c r="C308" s="191">
        <v>65</v>
      </c>
      <c r="D308" s="182">
        <f t="shared" si="17"/>
        <v>43615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Gaetan BAGOT</cp:lastModifiedBy>
  <dcterms:created xsi:type="dcterms:W3CDTF">2021-02-01T08:22:39Z</dcterms:created>
  <dcterms:modified xsi:type="dcterms:W3CDTF">2024-05-17T09:26:13Z</dcterms:modified>
</cp:coreProperties>
</file>