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2023-2024\SAINT-GERMAIN-LA-CAMPAGNE (27) - THILLAYE Claude\Doc fin\"/>
    </mc:Choice>
  </mc:AlternateContent>
  <xr:revisionPtr revIDLastSave="0" documentId="13_ncr:1_{7D53D194-C991-46CD-B0D8-3CAF4FDEB23C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<sst xmlns="http://schemas.openxmlformats.org/spreadsheetml/2006/main" count="1173" uniqueCount="324">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</sst>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1.8119367213042523</c:v>
                </c:pt>
                <c:pt idx="2">
                  <c:v>2.2093689668750516</c:v>
                </c:pt>
                <c:pt idx="3">
                  <c:v>2.6943111335874517</c:v>
                </c:pt>
                <c:pt idx="4">
                  <c:v>3.2861020004106578</c:v>
                </c:pt>
                <c:pt idx="5">
                  <c:v>4.0083685621483935</c:v>
                </c:pt>
                <c:pt idx="6">
                  <c:v>4.8899799133622475</c:v>
                </c:pt>
                <c:pt idx="7">
                  <c:v>5.966213936687919</c:v>
                </c:pt>
                <c:pt idx="8">
                  <c:v>7.2801843978443808</c:v>
                </c:pt>
                <c:pt idx="9">
                  <c:v>8.8845867238650502</c:v>
                </c:pt>
                <c:pt idx="10">
                  <c:v>10.843833814193617</c:v>
                </c:pt>
                <c:pt idx="11">
                  <c:v>13.236669246485144</c:v>
                </c:pt>
                <c:pt idx="12">
                  <c:v>16.159364852301447</c:v>
                </c:pt>
                <c:pt idx="13">
                  <c:v>19.729633663859968</c:v>
                </c:pt>
                <c:pt idx="14">
                  <c:v>24.091418666229604</c:v>
                </c:pt>
                <c:pt idx="15">
                  <c:v>29.420753849094982</c:v>
                </c:pt>
                <c:pt idx="16">
                  <c:v>35.932938233032047</c:v>
                </c:pt>
                <c:pt idx="17">
                  <c:v>43.891317679416687</c:v>
                </c:pt>
                <c:pt idx="18">
                  <c:v>53.618035626944398</c:v>
                </c:pt>
                <c:pt idx="19">
                  <c:v>65.50719518535881</c:v>
                </c:pt>
                <c:pt idx="20">
                  <c:v>80.040974635156573</c:v>
                </c:pt>
                <c:pt idx="21">
                  <c:v>97.80936047123727</c:v>
                </c:pt>
                <c:pt idx="22">
                  <c:v>119.53431176581809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19" sqref="J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2.2599999999999998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0.36799999999999999</v>
      </c>
      <c r="D9" s="36">
        <f t="shared" ref="D9:D18" si="0">C9*$C$5</f>
        <v>0.83167999999999986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9.1999999999999998E-2</v>
      </c>
      <c r="D10" s="36">
        <f t="shared" si="0"/>
        <v>0.20791999999999997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41</v>
      </c>
      <c r="C11" s="35">
        <v>0.16200000000000001</v>
      </c>
      <c r="D11" s="36">
        <f t="shared" si="0"/>
        <v>0.36612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0.378</v>
      </c>
      <c r="D12" s="36">
        <f t="shared" si="0"/>
        <v>0.85427999999999993</v>
      </c>
      <c r="E12" s="37">
        <v>65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2.2599999999999998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sylvestre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93</v>
      </c>
      <c r="C88" s="63">
        <v>1</v>
      </c>
      <c r="D88" s="63">
        <v>9</v>
      </c>
      <c r="E88" s="54"/>
      <c r="F88" s="54"/>
      <c r="G88" s="54">
        <v>1</v>
      </c>
      <c r="H88" s="93"/>
      <c r="I88" s="56">
        <f>IFERROR(B88/A88,"")</f>
        <v>4.2272727272727275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131</v>
      </c>
      <c r="C89" s="63">
        <v>2</v>
      </c>
      <c r="D89" s="63">
        <v>21</v>
      </c>
      <c r="E89" s="54"/>
      <c r="F89" s="54"/>
      <c r="G89" s="54">
        <v>1</v>
      </c>
      <c r="H89" s="93"/>
      <c r="I89" s="56">
        <f t="shared" ref="I89:I107" si="3">IF(A89&lt;&gt;0,(B89-(B88-D88))/(A89-A88),"")</f>
        <v>15.666666666666666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182</v>
      </c>
      <c r="C90" s="63">
        <v>3</v>
      </c>
      <c r="D90" s="63">
        <v>36</v>
      </c>
      <c r="E90" s="93">
        <v>0.15</v>
      </c>
      <c r="F90" s="93">
        <v>0.4</v>
      </c>
      <c r="G90" s="93">
        <v>0.45</v>
      </c>
      <c r="H90" s="93"/>
      <c r="I90" s="56">
        <f t="shared" si="3"/>
        <v>14.4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229</v>
      </c>
      <c r="C91" s="63">
        <v>4</v>
      </c>
      <c r="D91" s="63">
        <v>49</v>
      </c>
      <c r="E91" s="93"/>
      <c r="F91" s="93"/>
      <c r="G91" s="93"/>
      <c r="H91" s="93"/>
      <c r="I91" s="56">
        <f t="shared" si="3"/>
        <v>16.600000000000001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256</v>
      </c>
      <c r="C92" s="63">
        <v>5</v>
      </c>
      <c r="D92" s="63">
        <v>42</v>
      </c>
      <c r="E92" s="93"/>
      <c r="F92" s="93"/>
      <c r="G92" s="93"/>
      <c r="H92" s="93"/>
      <c r="I92" s="56">
        <f t="shared" si="3"/>
        <v>15.2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283</v>
      </c>
      <c r="C93" s="63">
        <v>6</v>
      </c>
      <c r="D93" s="63">
        <v>38</v>
      </c>
      <c r="E93" s="93"/>
      <c r="F93" s="93"/>
      <c r="G93" s="93"/>
      <c r="H93" s="93"/>
      <c r="I93" s="56">
        <f t="shared" si="3"/>
        <v>13.8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311</v>
      </c>
      <c r="C94" s="63">
        <v>7</v>
      </c>
      <c r="D94" s="63">
        <v>37</v>
      </c>
      <c r="E94" s="93"/>
      <c r="F94" s="93"/>
      <c r="G94" s="93"/>
      <c r="H94" s="93"/>
      <c r="I94" s="56">
        <f t="shared" si="3"/>
        <v>13.2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372</v>
      </c>
      <c r="C95" s="63">
        <v>8</v>
      </c>
      <c r="D95" s="63">
        <v>48</v>
      </c>
      <c r="E95" s="93"/>
      <c r="F95" s="93"/>
      <c r="G95" s="93"/>
      <c r="H95" s="93"/>
      <c r="I95" s="56">
        <f t="shared" si="3"/>
        <v>12.25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415</v>
      </c>
      <c r="C96" s="63">
        <v>9</v>
      </c>
      <c r="D96" s="63">
        <v>50</v>
      </c>
      <c r="E96" s="93"/>
      <c r="F96" s="93"/>
      <c r="G96" s="93"/>
      <c r="H96" s="93"/>
      <c r="I96" s="56">
        <f t="shared" si="3"/>
        <v>11.375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419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6.75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444</v>
      </c>
      <c r="C98" s="63">
        <v>11</v>
      </c>
      <c r="D98" s="63">
        <v>444</v>
      </c>
      <c r="E98" s="93"/>
      <c r="F98" s="93"/>
      <c r="G98" s="93"/>
      <c r="H98" s="93"/>
      <c r="I98" s="56">
        <f t="shared" si="3"/>
        <v>5.625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17</v>
      </c>
      <c r="B114" s="63">
        <v>118</v>
      </c>
      <c r="C114" s="53">
        <v>1</v>
      </c>
      <c r="D114" s="63">
        <v>15</v>
      </c>
      <c r="E114" s="54"/>
      <c r="F114" s="54"/>
      <c r="G114" s="54">
        <v>1</v>
      </c>
      <c r="H114" s="54"/>
      <c r="I114" s="56">
        <f>IFERROR(B114/A114,"")</f>
        <v>6.9411764705882355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137</v>
      </c>
      <c r="C115" s="53">
        <v>2</v>
      </c>
      <c r="D115" s="63">
        <v>15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11.333333333333334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204</v>
      </c>
      <c r="C116" s="53">
        <v>3</v>
      </c>
      <c r="D116" s="63">
        <v>36</v>
      </c>
      <c r="E116" s="54">
        <v>0.15</v>
      </c>
      <c r="F116" s="54">
        <v>0.4</v>
      </c>
      <c r="G116" s="54">
        <v>0.45</v>
      </c>
      <c r="H116" s="54"/>
      <c r="I116" s="56">
        <f t="shared" si="4"/>
        <v>16.399999999999999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256</v>
      </c>
      <c r="C117" s="53">
        <v>4</v>
      </c>
      <c r="D117" s="63">
        <v>54</v>
      </c>
      <c r="E117" s="54">
        <v>0.2</v>
      </c>
      <c r="F117" s="54">
        <v>0.4</v>
      </c>
      <c r="G117" s="54">
        <v>0.4</v>
      </c>
      <c r="H117" s="54"/>
      <c r="I117" s="56">
        <f t="shared" si="4"/>
        <v>17.600000000000001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296</v>
      </c>
      <c r="C118" s="53">
        <v>5</v>
      </c>
      <c r="D118" s="63">
        <v>52</v>
      </c>
      <c r="E118" s="54"/>
      <c r="F118" s="54"/>
      <c r="G118" s="54"/>
      <c r="H118" s="54"/>
      <c r="I118" s="56">
        <f t="shared" si="4"/>
        <v>18.8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332</v>
      </c>
      <c r="C119" s="53">
        <v>6</v>
      </c>
      <c r="D119" s="63">
        <v>48</v>
      </c>
      <c r="E119" s="54"/>
      <c r="F119" s="54"/>
      <c r="G119" s="54"/>
      <c r="H119" s="54"/>
      <c r="I119" s="56">
        <f t="shared" si="4"/>
        <v>17.600000000000001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384</v>
      </c>
      <c r="C120" s="63">
        <v>7</v>
      </c>
      <c r="D120" s="63">
        <v>57</v>
      </c>
      <c r="E120" s="93"/>
      <c r="F120" s="93"/>
      <c r="G120" s="93"/>
      <c r="H120" s="93"/>
      <c r="I120" s="56">
        <f t="shared" si="4"/>
        <v>20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414</v>
      </c>
      <c r="C121" s="63">
        <v>8</v>
      </c>
      <c r="D121" s="63">
        <v>47</v>
      </c>
      <c r="E121" s="93"/>
      <c r="F121" s="93"/>
      <c r="G121" s="93"/>
      <c r="H121" s="93"/>
      <c r="I121" s="56">
        <f t="shared" si="4"/>
        <v>17.399999999999999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463</v>
      </c>
      <c r="C122" s="63">
        <v>9</v>
      </c>
      <c r="D122" s="63">
        <v>48</v>
      </c>
      <c r="E122" s="93"/>
      <c r="F122" s="93"/>
      <c r="G122" s="93"/>
      <c r="H122" s="93"/>
      <c r="I122" s="56">
        <f t="shared" si="4"/>
        <v>19.2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500</v>
      </c>
      <c r="C123" s="63">
        <v>10</v>
      </c>
      <c r="D123" s="63">
        <v>32</v>
      </c>
      <c r="E123" s="93"/>
      <c r="F123" s="93"/>
      <c r="G123" s="93"/>
      <c r="H123" s="93"/>
      <c r="I123" s="56">
        <f t="shared" si="4"/>
        <v>17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555</v>
      </c>
      <c r="C124" s="63">
        <v>11</v>
      </c>
      <c r="D124" s="63">
        <v>555</v>
      </c>
      <c r="E124" s="93"/>
      <c r="F124" s="93"/>
      <c r="G124" s="93"/>
      <c r="H124" s="93"/>
      <c r="I124" s="56">
        <f t="shared" si="4"/>
        <v>17.399999999999999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sylvestre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laricio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371.7282125501186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411.73139494306878</v>
      </c>
      <c r="AO3" s="62">
        <f>IF('Données projet'!E10&gt;30,$AM$33-$H$33,LOOKUP('Données projet'!$E$10,$A$3:$A$203,AM3:AM203)-LOOKUP('Données projet'!$E$10,$A$3:$A$203,$H$3:$H$203))</f>
        <v>254.25036207346591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309.71642374647882</v>
      </c>
      <c r="BJ3" s="62">
        <f>IF('Données projet'!E11&gt;30,$BH$33-$H$33,LOOKUP('Données projet'!$E$11,$A$3:$A$203,BH3:BH203)-LOOKUP('Données projet'!$E$11,$A$3:$A$203,$H$3:$H$203))</f>
        <v>266.63880397664315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348.62416478262719</v>
      </c>
      <c r="CE3" s="62">
        <f>IF('Données projet'!E12&gt;30,$CC$33-$H$33,LOOKUP('Données projet'!$E$12,$A$3:$A$203,CC3:CC203)-LOOKUP('Données projet'!$E$12,$A$3:$A$203,$H$3:$H$203))</f>
        <v>371.70674704563288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371.7282125501186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1.2018267787257499</v>
      </c>
      <c r="AK4" s="14">
        <f>EXP(-1.0587+0.8836*LN(AJ4)+0.284)</f>
        <v>0.5421261382842083</v>
      </c>
      <c r="AL4" s="22">
        <f t="shared" ref="AL4:AL67" si="4">(AJ4+AK4)*0.475*44/12</f>
        <v>3.0373846637923445</v>
      </c>
      <c r="AM4" s="62">
        <f t="shared" ref="AM4:AM67" si="5">AL4+(AD4+AE4)*44/12</f>
        <v>260.92627355268121</v>
      </c>
      <c r="AN4" s="62">
        <f ca="1">AVERAGE(OFFSET($AM$3,0,0,'Données projet'!$E$10+1,1))-AVERAGE(OFFSET($H$3,0,0,'Données projet'!$E$10+1,1))</f>
        <v>411.73139494306878</v>
      </c>
      <c r="AO4" s="62">
        <f>$AO$3</f>
        <v>254.25036207346591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4.2272727272727275</v>
      </c>
      <c r="BD4" s="13">
        <f>IF('Données projet'!$A$88&gt;35,BD3+BC4-BL3,IF(A4&lt;'Données projet'!$A$88,$BA$205^A4,IF(A4='Données projet'!$A$88,'Données projet'!$B$88,BD3+BC4-BL3)))</f>
        <v>1.2287866875939204</v>
      </c>
      <c r="BE4" s="14">
        <f>BD4*VLOOKUP('Données projet'!$B$11,Paramètres!$A$1:$I$89,3,0)*VLOOKUP('Données projet'!$B$11,Paramètres!$A$1:$I$89,5,0)</f>
        <v>0.70286598530372246</v>
      </c>
      <c r="BF4" s="14">
        <f>EXP(-1.0587+0.8836*LN(BE4)+0.284)</f>
        <v>0.33748045755039374</v>
      </c>
      <c r="BG4" s="22">
        <f t="shared" ref="BG4:BG67" si="7">(BE4+BF4)*0.475*44/12</f>
        <v>1.8119367213042523</v>
      </c>
      <c r="BH4" s="62">
        <f t="shared" ref="BH4:BH67" si="8">BG4+(AY4+AZ4)*44/12</f>
        <v>259.70082561019314</v>
      </c>
      <c r="BI4" s="62">
        <f ca="1">AVERAGE(OFFSET($BH$3,0,0,'Données projet'!$E$11+1,1))-AVERAGE(OFFSET($H$3,0,0,'Données projet'!$E$11+1,1))</f>
        <v>309.71642374647882</v>
      </c>
      <c r="BJ4" s="62">
        <f>$BJ$3</f>
        <v>266.63880397664315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6.9411764705882355</v>
      </c>
      <c r="BY4" s="13">
        <f>IF('Données projet'!$A$114&gt;35,BY3+BX4-CG3,IF(A4&lt;'Données projet'!$A$114,$BV$205^A4,IF(A4='Données projet'!$A$114,'Données projet'!$B$114,BY3+BX4-CG3)))</f>
        <v>1.3239616704988877</v>
      </c>
      <c r="BZ4" s="14">
        <f>BY4*VLOOKUP('Données projet'!$B$12,Paramètres!$A$1:$I$89,3,0)*VLOOKUP('Données projet'!$B$12,Paramètres!$A$1:$I$89,5,0)</f>
        <v>0.79172907895833489</v>
      </c>
      <c r="CA4" s="14">
        <f>EXP(-1.0587+0.8836*LN(BZ4)+0.284)</f>
        <v>0.37491631974909195</v>
      </c>
      <c r="CB4" s="22">
        <f t="shared" ref="CB4:CB67" si="10">(BZ4+CA4)*0.475*44/12</f>
        <v>2.031907402748768</v>
      </c>
      <c r="CC4" s="62">
        <f t="shared" ref="CC4:CC67" si="11">CB4+(BT4+BU4)*44/12</f>
        <v>259.9207962916376</v>
      </c>
      <c r="CD4" s="62">
        <f ca="1">AVERAGE(OFFSET($CC$3,0,0,'Données projet'!$E$12+1,1))-AVERAGE(OFFSET($H$3,0,0,'Données projet'!$E$12+1,1))</f>
        <v>348.62416478262719</v>
      </c>
      <c r="CE4" s="62">
        <f>$CE$3</f>
        <v>371.70674704563288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371.7282125501186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1.4244453708701312</v>
      </c>
      <c r="AK5" s="14">
        <f t="shared" ref="AK5:AK68" si="35">EXP(-1.0587+0.8836*LN(AJ5)+0.284)</f>
        <v>0.62996075113518346</v>
      </c>
      <c r="AL5" s="22">
        <f t="shared" si="4"/>
        <v>3.5780906624925897</v>
      </c>
      <c r="AM5" s="62">
        <f t="shared" si="5"/>
        <v>262.68920177360371</v>
      </c>
      <c r="AN5" s="62">
        <f ca="1">AVERAGE(OFFSET($AM$3,0,0,'Données projet'!$E$10+1,1))-AVERAGE(OFFSET($H$3,0,0,'Données projet'!$E$10+1,1))</f>
        <v>411.73139494306878</v>
      </c>
      <c r="AO5" s="62">
        <f t="shared" ref="AO5:AO68" si="36">$AO$3</f>
        <v>254.25036207346591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4.2272727272727275</v>
      </c>
      <c r="BD5" s="13">
        <f>IF('Données projet'!$A$88&gt;35,BD4+BC5-BL4,IF(A5&lt;'Données projet'!$A$88,$BA$205^A5,IF(A5='Données projet'!$A$88,'Données projet'!$B$88,BD4+BC5-BL4)))</f>
        <v>1.5099167236080389</v>
      </c>
      <c r="BE5" s="14">
        <f>BD5*VLOOKUP('Données projet'!$B$11,Paramètres!$A$1:$I$89,3,0)*VLOOKUP('Données projet'!$B$11,Paramètres!$A$1:$I$89,5,0)</f>
        <v>0.86367236590379826</v>
      </c>
      <c r="BF5" s="14">
        <f t="shared" ref="BF5:BF68" si="37">EXP(-1.0587+0.8836*LN(BE5)+0.284)</f>
        <v>0.40486483995747546</v>
      </c>
      <c r="BG5" s="22">
        <f t="shared" si="7"/>
        <v>2.2093689668750516</v>
      </c>
      <c r="BH5" s="62">
        <f t="shared" si="8"/>
        <v>261.32048007798619</v>
      </c>
      <c r="BI5" s="62">
        <f ca="1">AVERAGE(OFFSET($BH$3,0,0,'Données projet'!$E$11+1,1))-AVERAGE(OFFSET($H$3,0,0,'Données projet'!$E$11+1,1))</f>
        <v>309.71642374647882</v>
      </c>
      <c r="BJ5" s="62">
        <f t="shared" ref="BJ5:BJ68" si="38">$BJ$3</f>
        <v>266.63880397664315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6.9411764705882355</v>
      </c>
      <c r="BY5" s="13">
        <f>IF('Données projet'!$A$114&gt;35,BY4+BX5-CG4,IF(A5&lt;'Données projet'!$A$114,$BV$205^A5,IF(A5='Données projet'!$A$114,'Données projet'!$B$114,BY4+BX5-CG4)))</f>
        <v>1.7528745049502052</v>
      </c>
      <c r="BZ5" s="14">
        <f>BY5*VLOOKUP('Données projet'!$B$12,Paramètres!$A$1:$I$89,3,0)*VLOOKUP('Données projet'!$B$12,Paramètres!$A$1:$I$89,5,0)</f>
        <v>1.0482189539602227</v>
      </c>
      <c r="CA5" s="14">
        <f t="shared" ref="CA5:CA68" si="39">EXP(-1.0587+0.8836*LN(BZ5)+0.284)</f>
        <v>0.48042263342477459</v>
      </c>
      <c r="CB5" s="22">
        <f t="shared" si="10"/>
        <v>2.6623840980288702</v>
      </c>
      <c r="CC5" s="62">
        <f t="shared" si="11"/>
        <v>261.77349520914004</v>
      </c>
      <c r="CD5" s="62">
        <f ca="1">AVERAGE(OFFSET($CC$3,0,0,'Données projet'!$E$12+1,1))-AVERAGE(OFFSET($H$3,0,0,'Données projet'!$E$12+1,1))</f>
        <v>348.62416478262719</v>
      </c>
      <c r="CE5" s="62">
        <f t="shared" ref="CE5:CE68" si="40">$CE$3</f>
        <v>371.70674704563288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371.7282125501186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1.6883003861377279</v>
      </c>
      <c r="AK6" s="14">
        <f t="shared" si="35"/>
        <v>0.7320262203678447</v>
      </c>
      <c r="AL6" s="22">
        <f t="shared" si="4"/>
        <v>4.215402172997206</v>
      </c>
      <c r="AM6" s="62">
        <f t="shared" si="5"/>
        <v>264.5487355063305</v>
      </c>
      <c r="AN6" s="62">
        <f ca="1">AVERAGE(OFFSET($AM$3,0,0,'Données projet'!$E$10+1,1))-AVERAGE(OFFSET($H$3,0,0,'Données projet'!$E$10+1,1))</f>
        <v>411.73139494306878</v>
      </c>
      <c r="AO6" s="62">
        <f t="shared" si="36"/>
        <v>254.25036207346591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4.2272727272727275</v>
      </c>
      <c r="BD6" s="13">
        <f>IF('Données projet'!$A$88&gt;35,BD5+BC6-BL5,IF(A6&lt;'Données projet'!$A$88,$BA$205^A6,IF(A6='Données projet'!$A$88,'Données projet'!$B$88,BD5+BC6-BL5)))</f>
        <v>1.8553655693449871</v>
      </c>
      <c r="BE6" s="14">
        <f>BD6*VLOOKUP('Données projet'!$B$11,Paramètres!$A$1:$I$89,3,0)*VLOOKUP('Données projet'!$B$11,Paramètres!$A$1:$I$89,5,0)</f>
        <v>1.0612691056653327</v>
      </c>
      <c r="BF6" s="14">
        <f t="shared" si="37"/>
        <v>0.48570379400210395</v>
      </c>
      <c r="BG6" s="22">
        <f t="shared" si="7"/>
        <v>2.6943111335874517</v>
      </c>
      <c r="BH6" s="62">
        <f t="shared" si="8"/>
        <v>263.02764446692078</v>
      </c>
      <c r="BI6" s="62">
        <f ca="1">AVERAGE(OFFSET($BH$3,0,0,'Données projet'!$E$11+1,1))-AVERAGE(OFFSET($H$3,0,0,'Données projet'!$E$11+1,1))</f>
        <v>309.71642374647882</v>
      </c>
      <c r="BJ6" s="62">
        <f t="shared" si="38"/>
        <v>266.63880397664315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6.9411764705882355</v>
      </c>
      <c r="BY6" s="13">
        <f>IF('Données projet'!$A$114&gt;35,BY5+BX6-CG5,IF(A6&lt;'Données projet'!$A$114,$BV$205^A6,IF(A6='Données projet'!$A$114,'Données projet'!$B$114,BY5+BX6-CG5)))</f>
        <v>2.3207386577487843</v>
      </c>
      <c r="BZ6" s="14">
        <f>BY6*VLOOKUP('Données projet'!$B$12,Paramètres!$A$1:$I$89,3,0)*VLOOKUP('Données projet'!$B$12,Paramètres!$A$1:$I$89,5,0)</f>
        <v>1.3878017173337731</v>
      </c>
      <c r="CA6" s="14">
        <f t="shared" si="39"/>
        <v>0.61561979180116611</v>
      </c>
      <c r="CB6" s="22">
        <f t="shared" si="10"/>
        <v>3.4892924617433518</v>
      </c>
      <c r="CC6" s="62">
        <f t="shared" si="11"/>
        <v>263.82262579507665</v>
      </c>
      <c r="CD6" s="62">
        <f ca="1">AVERAGE(OFFSET($CC$3,0,0,'Données projet'!$E$12+1,1))-AVERAGE(OFFSET($H$3,0,0,'Données projet'!$E$12+1,1))</f>
        <v>348.62416478262719</v>
      </c>
      <c r="CE6" s="62">
        <f t="shared" si="40"/>
        <v>371.70674704563288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371.7282125501186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2.001030191906652</v>
      </c>
      <c r="AK7" s="14">
        <f t="shared" si="35"/>
        <v>0.85062821190115911</v>
      </c>
      <c r="AL7" s="22">
        <f t="shared" si="4"/>
        <v>4.9666383866319377</v>
      </c>
      <c r="AM7" s="62">
        <f t="shared" si="5"/>
        <v>266.52219394218747</v>
      </c>
      <c r="AN7" s="62">
        <f ca="1">AVERAGE(OFFSET($AM$3,0,0,'Données projet'!$E$10+1,1))-AVERAGE(OFFSET($H$3,0,0,'Données projet'!$E$10+1,1))</f>
        <v>411.73139494306878</v>
      </c>
      <c r="AO7" s="62">
        <f t="shared" si="36"/>
        <v>254.25036207346591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4.2272727272727275</v>
      </c>
      <c r="BD7" s="13">
        <f>IF('Données projet'!$A$88&gt;35,BD6+BC7-BL6,IF(A7&lt;'Données projet'!$A$88,$BA$205^A7,IF(A7='Données projet'!$A$88,'Données projet'!$B$88,BD6+BC7-BL6)))</f>
        <v>2.2798485122312346</v>
      </c>
      <c r="BE7" s="14">
        <f>BD7*VLOOKUP('Données projet'!$B$11,Paramètres!$A$1:$I$89,3,0)*VLOOKUP('Données projet'!$B$11,Paramètres!$A$1:$I$89,5,0)</f>
        <v>1.3040733489962664</v>
      </c>
      <c r="BF7" s="14">
        <f t="shared" si="37"/>
        <v>0.58268378042612079</v>
      </c>
      <c r="BG7" s="22">
        <f t="shared" si="7"/>
        <v>3.2861020004106578</v>
      </c>
      <c r="BH7" s="62">
        <f t="shared" si="8"/>
        <v>264.84165755596621</v>
      </c>
      <c r="BI7" s="62">
        <f ca="1">AVERAGE(OFFSET($BH$3,0,0,'Données projet'!$E$11+1,1))-AVERAGE(OFFSET($H$3,0,0,'Données projet'!$E$11+1,1))</f>
        <v>309.71642374647882</v>
      </c>
      <c r="BJ7" s="62">
        <f t="shared" si="38"/>
        <v>266.63880397664315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6.9411764705882355</v>
      </c>
      <c r="BY7" s="13">
        <f>IF('Données projet'!$A$114&gt;35,BY6+BX7-CG6,IF(A7&lt;'Données projet'!$A$114,$BV$205^A7,IF(A7='Données projet'!$A$114,'Données projet'!$B$114,BY6+BX7-CG6)))</f>
        <v>3.0725690301044271</v>
      </c>
      <c r="BZ7" s="14">
        <f>BY7*VLOOKUP('Données projet'!$B$12,Paramètres!$A$1:$I$89,3,0)*VLOOKUP('Données projet'!$B$12,Paramètres!$A$1:$I$89,5,0)</f>
        <v>1.8373962800024475</v>
      </c>
      <c r="CA7" s="14">
        <f t="shared" si="39"/>
        <v>0.78886318355909346</v>
      </c>
      <c r="CB7" s="22">
        <f t="shared" si="10"/>
        <v>4.5740685657030165</v>
      </c>
      <c r="CC7" s="62">
        <f t="shared" si="11"/>
        <v>266.12962412125859</v>
      </c>
      <c r="CD7" s="62">
        <f ca="1">AVERAGE(OFFSET($CC$3,0,0,'Données projet'!$E$12+1,1))-AVERAGE(OFFSET($H$3,0,0,'Données projet'!$E$12+1,1))</f>
        <v>348.62416478262719</v>
      </c>
      <c r="CE7" s="62">
        <f t="shared" si="40"/>
        <v>371.70674704563288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371.7282125501186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2.3716880371520133</v>
      </c>
      <c r="AK8" s="14">
        <f t="shared" si="35"/>
        <v>0.98844595282197545</v>
      </c>
      <c r="AL8" s="22">
        <f t="shared" si="4"/>
        <v>5.8522333658713634</v>
      </c>
      <c r="AM8" s="62">
        <f t="shared" si="5"/>
        <v>268.63001114364914</v>
      </c>
      <c r="AN8" s="62">
        <f ca="1">AVERAGE(OFFSET($AM$3,0,0,'Données projet'!$E$10+1,1))-AVERAGE(OFFSET($H$3,0,0,'Données projet'!$E$10+1,1))</f>
        <v>411.73139494306878</v>
      </c>
      <c r="AO8" s="62">
        <f t="shared" si="36"/>
        <v>254.25036207346591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4.2272727272727275</v>
      </c>
      <c r="BD8" s="13">
        <f>IF('Données projet'!$A$88&gt;35,BD7+BC8-BL7,IF(A8&lt;'Données projet'!$A$88,$BA$205^A8,IF(A8='Données projet'!$A$88,'Données projet'!$B$88,BD7+BC8-BL7)))</f>
        <v>2.8014475015605464</v>
      </c>
      <c r="BE8" s="14">
        <f>BD8*VLOOKUP('Données projet'!$B$11,Paramètres!$A$1:$I$89,3,0)*VLOOKUP('Données projet'!$B$11,Paramètres!$A$1:$I$89,5,0)</f>
        <v>1.6024279708926326</v>
      </c>
      <c r="BF8" s="14">
        <f t="shared" si="37"/>
        <v>0.6990276628767802</v>
      </c>
      <c r="BG8" s="22">
        <f t="shared" si="7"/>
        <v>4.0083685621483935</v>
      </c>
      <c r="BH8" s="62">
        <f t="shared" si="8"/>
        <v>266.78614633992618</v>
      </c>
      <c r="BI8" s="62">
        <f ca="1">AVERAGE(OFFSET($BH$3,0,0,'Données projet'!$E$11+1,1))-AVERAGE(OFFSET($H$3,0,0,'Données projet'!$E$11+1,1))</f>
        <v>309.71642374647882</v>
      </c>
      <c r="BJ8" s="62">
        <f t="shared" si="38"/>
        <v>266.63880397664315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6.9411764705882355</v>
      </c>
      <c r="BY8" s="13">
        <f>IF('Données projet'!$A$114&gt;35,BY7+BX8-CG7,IF(A8&lt;'Données projet'!$A$114,$BV$205^A8,IF(A8='Données projet'!$A$114,'Données projet'!$B$114,BY7+BX8-CG7)))</f>
        <v>4.0679636258202043</v>
      </c>
      <c r="BZ8" s="14">
        <f>BY8*VLOOKUP('Données projet'!$B$12,Paramètres!$A$1:$I$89,3,0)*VLOOKUP('Données projet'!$B$12,Paramètres!$A$1:$I$89,5,0)</f>
        <v>2.4326422482404824</v>
      </c>
      <c r="CA8" s="14">
        <f t="shared" si="39"/>
        <v>1.0108595120931088</v>
      </c>
      <c r="CB8" s="22">
        <f t="shared" si="10"/>
        <v>5.9974322325810041</v>
      </c>
      <c r="CC8" s="62">
        <f t="shared" si="11"/>
        <v>268.77521001035876</v>
      </c>
      <c r="CD8" s="62">
        <f ca="1">AVERAGE(OFFSET($CC$3,0,0,'Données projet'!$E$12+1,1))-AVERAGE(OFFSET($H$3,0,0,'Données projet'!$E$12+1,1))</f>
        <v>348.62416478262719</v>
      </c>
      <c r="CE8" s="62">
        <f t="shared" si="40"/>
        <v>371.70674704563288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371.7282125501186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2.8110041359297839</v>
      </c>
      <c r="AK9" s="14">
        <f t="shared" si="35"/>
        <v>1.1485927553078508</v>
      </c>
      <c r="AL9" s="22">
        <f t="shared" si="4"/>
        <v>6.8962979189055469</v>
      </c>
      <c r="AM9" s="62">
        <f t="shared" si="5"/>
        <v>270.89629791890553</v>
      </c>
      <c r="AN9" s="62">
        <f ca="1">AVERAGE(OFFSET($AM$3,0,0,'Données projet'!$E$10+1,1))-AVERAGE(OFFSET($H$3,0,0,'Données projet'!$E$10+1,1))</f>
        <v>411.73139494306878</v>
      </c>
      <c r="AO9" s="62">
        <f t="shared" si="36"/>
        <v>254.25036207346591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4.2272727272727275</v>
      </c>
      <c r="BD9" s="13">
        <f>IF('Données projet'!$A$88&gt;35,BD8+BC9-BL8,IF(A9&lt;'Données projet'!$A$88,$BA$205^A9,IF(A9='Données projet'!$A$88,'Données projet'!$B$88,BD8+BC9-BL8)))</f>
        <v>3.4423813959108478</v>
      </c>
      <c r="BE9" s="14">
        <f>BD9*VLOOKUP('Données projet'!$B$11,Paramètres!$A$1:$I$89,3,0)*VLOOKUP('Données projet'!$B$11,Paramètres!$A$1:$I$89,5,0)</f>
        <v>1.9690421584610052</v>
      </c>
      <c r="BF9" s="14">
        <f t="shared" si="37"/>
        <v>0.8386018109335871</v>
      </c>
      <c r="BG9" s="22">
        <f t="shared" si="7"/>
        <v>4.8899799133622475</v>
      </c>
      <c r="BH9" s="62">
        <f t="shared" si="8"/>
        <v>268.88997991336225</v>
      </c>
      <c r="BI9" s="62">
        <f ca="1">AVERAGE(OFFSET($BH$3,0,0,'Données projet'!$E$11+1,1))-AVERAGE(OFFSET($H$3,0,0,'Données projet'!$E$11+1,1))</f>
        <v>309.71642374647882</v>
      </c>
      <c r="BJ9" s="62">
        <f t="shared" si="38"/>
        <v>266.63880397664315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6.9411764705882355</v>
      </c>
      <c r="BY9" s="13">
        <f>IF('Données projet'!$A$114&gt;35,BY8+BX9-CG8,IF(A9&lt;'Données projet'!$A$114,$BV$205^A9,IF(A9='Données projet'!$A$114,'Données projet'!$B$114,BY8+BX9-CG8)))</f>
        <v>5.38582791756963</v>
      </c>
      <c r="BZ9" s="14">
        <f>BY9*VLOOKUP('Données projet'!$B$12,Paramètres!$A$1:$I$89,3,0)*VLOOKUP('Données projet'!$B$12,Paramètres!$A$1:$I$89,5,0)</f>
        <v>3.2207250947066388</v>
      </c>
      <c r="CA9" s="14">
        <f t="shared" si="39"/>
        <v>1.2953284859599137</v>
      </c>
      <c r="CB9" s="22">
        <f t="shared" si="10"/>
        <v>7.8654599863275783</v>
      </c>
      <c r="CC9" s="62">
        <f t="shared" si="11"/>
        <v>271.86545998632755</v>
      </c>
      <c r="CD9" s="62">
        <f ca="1">AVERAGE(OFFSET($CC$3,0,0,'Données projet'!$E$12+1,1))-AVERAGE(OFFSET($H$3,0,0,'Données projet'!$E$12+1,1))</f>
        <v>348.62416478262719</v>
      </c>
      <c r="CE9" s="62">
        <f t="shared" si="40"/>
        <v>371.70674704563288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371.7282125501186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3.3316962975041937</v>
      </c>
      <c r="AK10" s="14">
        <f t="shared" si="35"/>
        <v>1.3346863465617191</v>
      </c>
      <c r="AL10" s="22">
        <f t="shared" si="4"/>
        <v>8.1272831050814656</v>
      </c>
      <c r="AM10" s="62">
        <f t="shared" si="5"/>
        <v>273.34950532730369</v>
      </c>
      <c r="AN10" s="62">
        <f ca="1">AVERAGE(OFFSET($AM$3,0,0,'Données projet'!$E$10+1,1))-AVERAGE(OFFSET($H$3,0,0,'Données projet'!$E$10+1,1))</f>
        <v>411.73139494306878</v>
      </c>
      <c r="AO10" s="62">
        <f t="shared" si="36"/>
        <v>254.25036207346591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4.2272727272727275</v>
      </c>
      <c r="BD10" s="13">
        <f>IF('Données projet'!$A$88&gt;35,BD9+BC10-BL9,IF(A10&lt;'Données projet'!$A$88,$BA$205^A10,IF(A10='Données projet'!$A$88,'Données projet'!$B$88,BD9+BC10-BL9)))</f>
        <v>4.2299524329162264</v>
      </c>
      <c r="BE10" s="14">
        <f>BD10*VLOOKUP('Données projet'!$B$11,Paramètres!$A$1:$I$89,3,0)*VLOOKUP('Données projet'!$B$11,Paramètres!$A$1:$I$89,5,0)</f>
        <v>2.4195327916280815</v>
      </c>
      <c r="BF10" s="14">
        <f t="shared" si="37"/>
        <v>1.0060445882884268</v>
      </c>
      <c r="BG10" s="22">
        <f t="shared" si="7"/>
        <v>5.966213936687919</v>
      </c>
      <c r="BH10" s="62">
        <f t="shared" si="8"/>
        <v>271.18843615891012</v>
      </c>
      <c r="BI10" s="62">
        <f ca="1">AVERAGE(OFFSET($BH$3,0,0,'Données projet'!$E$11+1,1))-AVERAGE(OFFSET($H$3,0,0,'Données projet'!$E$11+1,1))</f>
        <v>309.71642374647882</v>
      </c>
      <c r="BJ10" s="62">
        <f t="shared" si="38"/>
        <v>266.63880397664315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6.9411764705882355</v>
      </c>
      <c r="BY10" s="13">
        <f>IF('Données projet'!$A$114&gt;35,BY9+BX10-CG9,IF(A10&lt;'Données projet'!$A$114,$BV$205^A10,IF(A10='Données projet'!$A$114,'Données projet'!$B$114,BY9+BX10-CG9)))</f>
        <v>7.130629726765032</v>
      </c>
      <c r="BZ10" s="14">
        <f>BY10*VLOOKUP('Données projet'!$B$12,Paramètres!$A$1:$I$89,3,0)*VLOOKUP('Données projet'!$B$12,Paramètres!$A$1:$I$89,5,0)</f>
        <v>4.26411657660549</v>
      </c>
      <c r="CA10" s="14">
        <f t="shared" si="39"/>
        <v>1.6598507175986843</v>
      </c>
      <c r="CB10" s="22">
        <f t="shared" si="10"/>
        <v>10.317576370738935</v>
      </c>
      <c r="CC10" s="62">
        <f t="shared" si="11"/>
        <v>275.53979859296118</v>
      </c>
      <c r="CD10" s="62">
        <f ca="1">AVERAGE(OFFSET($CC$3,0,0,'Données projet'!$E$12+1,1))-AVERAGE(OFFSET($H$3,0,0,'Données projet'!$E$12+1,1))</f>
        <v>348.62416478262719</v>
      </c>
      <c r="CE10" s="62">
        <f t="shared" si="40"/>
        <v>371.70674704563288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371.7282125501186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3.9488380955837998</v>
      </c>
      <c r="AK11" s="14">
        <f t="shared" si="35"/>
        <v>1.5509305935164246</v>
      </c>
      <c r="AL11" s="22">
        <f t="shared" si="4"/>
        <v>9.578763800182891</v>
      </c>
      <c r="AM11" s="62">
        <f t="shared" si="5"/>
        <v>276.02320824462737</v>
      </c>
      <c r="AN11" s="62">
        <f ca="1">AVERAGE(OFFSET($AM$3,0,0,'Données projet'!$E$10+1,1))-AVERAGE(OFFSET($H$3,0,0,'Données projet'!$E$10+1,1))</f>
        <v>411.73139494306878</v>
      </c>
      <c r="AO11" s="62">
        <f t="shared" si="36"/>
        <v>254.25036207346591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4.2272727272727275</v>
      </c>
      <c r="BD11" s="13">
        <f>IF('Données projet'!$A$88&gt;35,BD10+BC11-BL10,IF(A11&lt;'Données projet'!$A$88,$BA$205^A11,IF(A11='Données projet'!$A$88,'Données projet'!$B$88,BD10+BC11-BL10)))</f>
        <v>5.1977092387229744</v>
      </c>
      <c r="BE11" s="14">
        <f>BD11*VLOOKUP('Données projet'!$B$11,Paramètres!$A$1:$I$89,3,0)*VLOOKUP('Données projet'!$B$11,Paramètres!$A$1:$I$89,5,0)</f>
        <v>2.9730896845495414</v>
      </c>
      <c r="BF11" s="14">
        <f t="shared" si="37"/>
        <v>1.206920496030965</v>
      </c>
      <c r="BG11" s="22">
        <f t="shared" si="7"/>
        <v>7.2801843978443808</v>
      </c>
      <c r="BH11" s="62">
        <f t="shared" si="8"/>
        <v>273.72462884228884</v>
      </c>
      <c r="BI11" s="62">
        <f ca="1">AVERAGE(OFFSET($BH$3,0,0,'Données projet'!$E$11+1,1))-AVERAGE(OFFSET($H$3,0,0,'Données projet'!$E$11+1,1))</f>
        <v>309.71642374647882</v>
      </c>
      <c r="BJ11" s="62">
        <f t="shared" si="38"/>
        <v>266.63880397664315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6.9411764705882355</v>
      </c>
      <c r="BY11" s="13">
        <f>IF('Données projet'!$A$114&gt;35,BY10+BX11-CG10,IF(A11&lt;'Données projet'!$A$114,$BV$205^A11,IF(A11='Données projet'!$A$114,'Données projet'!$B$114,BY10+BX11-CG10)))</f>
        <v>9.4406804447568593</v>
      </c>
      <c r="BZ11" s="14">
        <f>BY11*VLOOKUP('Données projet'!$B$12,Paramètres!$A$1:$I$89,3,0)*VLOOKUP('Données projet'!$B$12,Paramètres!$A$1:$I$89,5,0)</f>
        <v>5.6455269059646023</v>
      </c>
      <c r="CA11" s="14">
        <f t="shared" si="39"/>
        <v>2.1269542317454508</v>
      </c>
      <c r="CB11" s="22">
        <f t="shared" si="10"/>
        <v>13.53707131484501</v>
      </c>
      <c r="CC11" s="62">
        <f t="shared" si="11"/>
        <v>279.98151575928949</v>
      </c>
      <c r="CD11" s="62">
        <f ca="1">AVERAGE(OFFSET($CC$3,0,0,'Données projet'!$E$12+1,1))-AVERAGE(OFFSET($H$3,0,0,'Données projet'!$E$12+1,1))</f>
        <v>348.62416478262719</v>
      </c>
      <c r="CE11" s="62">
        <f t="shared" si="40"/>
        <v>371.70674704563288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371.7282125501186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4.6802952348372813</v>
      </c>
      <c r="AK12" s="14">
        <f t="shared" si="35"/>
        <v>1.8022104684757689</v>
      </c>
      <c r="AL12" s="22">
        <f t="shared" si="4"/>
        <v>11.290364099936896</v>
      </c>
      <c r="AM12" s="62">
        <f t="shared" si="5"/>
        <v>278.95703076660357</v>
      </c>
      <c r="AN12" s="62">
        <f ca="1">AVERAGE(OFFSET($AM$3,0,0,'Données projet'!$E$10+1,1))-AVERAGE(OFFSET($H$3,0,0,'Données projet'!$E$10+1,1))</f>
        <v>411.73139494306878</v>
      </c>
      <c r="AO12" s="62">
        <f t="shared" si="36"/>
        <v>254.25036207346591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4.2272727272727275</v>
      </c>
      <c r="BD12" s="13">
        <f>IF('Données projet'!$A$88&gt;35,BD11+BC12-BL11,IF(A12&lt;'Données projet'!$A$88,$BA$205^A12,IF(A12='Données projet'!$A$88,'Données projet'!$B$88,BD11+BC12-BL11)))</f>
        <v>6.3868759185267212</v>
      </c>
      <c r="BE12" s="14">
        <f>BD12*VLOOKUP('Données projet'!$B$11,Paramètres!$A$1:$I$89,3,0)*VLOOKUP('Données projet'!$B$11,Paramètres!$A$1:$I$89,5,0)</f>
        <v>3.6532930253972848</v>
      </c>
      <c r="BF12" s="14">
        <f t="shared" si="37"/>
        <v>1.4479050935682942</v>
      </c>
      <c r="BG12" s="22">
        <f t="shared" si="7"/>
        <v>8.8845867238650502</v>
      </c>
      <c r="BH12" s="62">
        <f t="shared" si="8"/>
        <v>276.55125339053171</v>
      </c>
      <c r="BI12" s="62">
        <f ca="1">AVERAGE(OFFSET($BH$3,0,0,'Données projet'!$E$11+1,1))-AVERAGE(OFFSET($H$3,0,0,'Données projet'!$E$11+1,1))</f>
        <v>309.71642374647882</v>
      </c>
      <c r="BJ12" s="62">
        <f t="shared" si="38"/>
        <v>266.63880397664315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6.9411764705882355</v>
      </c>
      <c r="BY12" s="13">
        <f>IF('Données projet'!$A$114&gt;35,BY11+BX12-CG11,IF(A12&lt;'Données projet'!$A$114,$BV$205^A12,IF(A12='Données projet'!$A$114,'Données projet'!$B$114,BY11+BX12-CG11)))</f>
        <v>12.499099052286473</v>
      </c>
      <c r="BZ12" s="14">
        <f>BY12*VLOOKUP('Données projet'!$B$12,Paramètres!$A$1:$I$89,3,0)*VLOOKUP('Données projet'!$B$12,Paramètres!$A$1:$I$89,5,0)</f>
        <v>7.474461233267311</v>
      </c>
      <c r="CA12" s="14">
        <f t="shared" si="39"/>
        <v>2.7255067314033421</v>
      </c>
      <c r="CB12" s="22">
        <f t="shared" si="10"/>
        <v>17.764944205134721</v>
      </c>
      <c r="CC12" s="62">
        <f t="shared" si="11"/>
        <v>285.43161087180141</v>
      </c>
      <c r="CD12" s="62">
        <f ca="1">AVERAGE(OFFSET($CC$3,0,0,'Données projet'!$E$12+1,1))-AVERAGE(OFFSET($H$3,0,0,'Données projet'!$E$12+1,1))</f>
        <v>348.62416478262719</v>
      </c>
      <c r="CE12" s="62">
        <f t="shared" si="40"/>
        <v>371.70674704563288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371.7282125501186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5.5472427471104222</v>
      </c>
      <c r="AK13" s="14">
        <f t="shared" si="35"/>
        <v>2.0942024009724034</v>
      </c>
      <c r="AL13" s="22">
        <f t="shared" si="4"/>
        <v>13.308850299577585</v>
      </c>
      <c r="AM13" s="62">
        <f t="shared" si="5"/>
        <v>282.19773918846647</v>
      </c>
      <c r="AN13" s="62">
        <f ca="1">AVERAGE(OFFSET($AM$3,0,0,'Données projet'!$E$10+1,1))-AVERAGE(OFFSET($H$3,0,0,'Données projet'!$E$10+1,1))</f>
        <v>411.73139494306878</v>
      </c>
      <c r="AO13" s="62">
        <f t="shared" si="36"/>
        <v>254.25036207346591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4.2272727272727275</v>
      </c>
      <c r="BD13" s="13">
        <f>IF('Données projet'!$A$88&gt;35,BD12+BC13-BL12,IF(A13&lt;'Données projet'!$A$88,$BA$205^A13,IF(A13='Données projet'!$A$88,'Données projet'!$B$88,BD12+BC13-BL12)))</f>
        <v>7.8481081039998273</v>
      </c>
      <c r="BE13" s="14">
        <f>BD13*VLOOKUP('Données projet'!$B$11,Paramètres!$A$1:$I$89,3,0)*VLOOKUP('Données projet'!$B$11,Paramètres!$A$1:$I$89,5,0)</f>
        <v>4.4891178354879013</v>
      </c>
      <c r="BF13" s="14">
        <f t="shared" si="37"/>
        <v>1.7370068425180045</v>
      </c>
      <c r="BG13" s="22">
        <f t="shared" si="7"/>
        <v>10.843833814193617</v>
      </c>
      <c r="BH13" s="62">
        <f t="shared" si="8"/>
        <v>279.73272270308246</v>
      </c>
      <c r="BI13" s="62">
        <f ca="1">AVERAGE(OFFSET($BH$3,0,0,'Données projet'!$E$11+1,1))-AVERAGE(OFFSET($H$3,0,0,'Données projet'!$E$11+1,1))</f>
        <v>309.71642374647882</v>
      </c>
      <c r="BJ13" s="62">
        <f t="shared" si="38"/>
        <v>266.63880397664315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6.9411764705882355</v>
      </c>
      <c r="BY13" s="13">
        <f>IF('Données projet'!$A$114&gt;35,BY12+BX13-CG12,IF(A13&lt;'Données projet'!$A$114,$BV$205^A13,IF(A13='Données projet'!$A$114,'Données projet'!$B$114,BY12+BX13-CG12)))</f>
        <v>16.548328060996262</v>
      </c>
      <c r="BZ13" s="14">
        <f>BY13*VLOOKUP('Données projet'!$B$12,Paramètres!$A$1:$I$89,3,0)*VLOOKUP('Données projet'!$B$12,Paramètres!$A$1:$I$89,5,0)</f>
        <v>9.8959001804757651</v>
      </c>
      <c r="CA13" s="14">
        <f t="shared" si="39"/>
        <v>3.4924996655094662</v>
      </c>
      <c r="CB13" s="22">
        <f t="shared" si="10"/>
        <v>23.318129731757608</v>
      </c>
      <c r="CC13" s="62">
        <f t="shared" si="11"/>
        <v>292.20701862064647</v>
      </c>
      <c r="CD13" s="62">
        <f ca="1">AVERAGE(OFFSET($CC$3,0,0,'Données projet'!$E$12+1,1))-AVERAGE(OFFSET($H$3,0,0,'Données projet'!$E$12+1,1))</f>
        <v>348.62416478262719</v>
      </c>
      <c r="CE13" s="62">
        <f t="shared" si="40"/>
        <v>371.70674704563288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371.7282125501186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6.5747779897135095</v>
      </c>
      <c r="AK14" s="14">
        <f t="shared" si="35"/>
        <v>2.4335025086985533</v>
      </c>
      <c r="AL14" s="22">
        <f t="shared" si="4"/>
        <v>15.689421868067676</v>
      </c>
      <c r="AM14" s="62">
        <f t="shared" si="5"/>
        <v>285.8005329791788</v>
      </c>
      <c r="AN14" s="62">
        <f ca="1">AVERAGE(OFFSET($AM$3,0,0,'Données projet'!$E$10+1,1))-AVERAGE(OFFSET($H$3,0,0,'Données projet'!$E$10+1,1))</f>
        <v>411.73139494306878</v>
      </c>
      <c r="AO14" s="62">
        <f t="shared" si="36"/>
        <v>254.25036207346591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4.2272727272727275</v>
      </c>
      <c r="BD14" s="13">
        <f>IF('Données projet'!$A$88&gt;35,BD13+BC14-BL13,IF(A14&lt;'Données projet'!$A$88,$BA$205^A14,IF(A14='Données projet'!$A$88,'Données projet'!$B$88,BD13+BC14-BL13)))</f>
        <v>9.6436507609929514</v>
      </c>
      <c r="BE14" s="14">
        <f>BD14*VLOOKUP('Données projet'!$B$11,Paramètres!$A$1:$I$89,3,0)*VLOOKUP('Données projet'!$B$11,Paramètres!$A$1:$I$89,5,0)</f>
        <v>5.5161682352879682</v>
      </c>
      <c r="BF14" s="14">
        <f t="shared" si="37"/>
        <v>2.0838332459475213</v>
      </c>
      <c r="BG14" s="22">
        <f t="shared" si="7"/>
        <v>13.236669246485144</v>
      </c>
      <c r="BH14" s="62">
        <f t="shared" si="8"/>
        <v>283.34778035759626</v>
      </c>
      <c r="BI14" s="62">
        <f ca="1">AVERAGE(OFFSET($BH$3,0,0,'Données projet'!$E$11+1,1))-AVERAGE(OFFSET($H$3,0,0,'Données projet'!$E$11+1,1))</f>
        <v>309.71642374647882</v>
      </c>
      <c r="BJ14" s="62">
        <f t="shared" si="38"/>
        <v>266.63880397664315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6.9411764705882355</v>
      </c>
      <c r="BY14" s="13">
        <f>IF('Données projet'!$A$114&gt;35,BY13+BX14-CG13,IF(A14&lt;'Données projet'!$A$114,$BV$205^A14,IF(A14='Données projet'!$A$114,'Données projet'!$B$114,BY13+BX14-CG13)))</f>
        <v>21.909352063600231</v>
      </c>
      <c r="BZ14" s="14">
        <f>BY14*VLOOKUP('Données projet'!$B$12,Paramètres!$A$1:$I$89,3,0)*VLOOKUP('Données projet'!$B$12,Paramètres!$A$1:$I$89,5,0)</f>
        <v>13.101792534032938</v>
      </c>
      <c r="CA14" s="14">
        <f t="shared" si="39"/>
        <v>4.4753343563761101</v>
      </c>
      <c r="CB14" s="22">
        <f t="shared" si="10"/>
        <v>30.613496000795752</v>
      </c>
      <c r="CC14" s="62">
        <f t="shared" si="11"/>
        <v>300.72460711190689</v>
      </c>
      <c r="CD14" s="62">
        <f ca="1">AVERAGE(OFFSET($CC$3,0,0,'Données projet'!$E$12+1,1))-AVERAGE(OFFSET($H$3,0,0,'Données projet'!$E$12+1,1))</f>
        <v>348.62416478262719</v>
      </c>
      <c r="CE14" s="62">
        <f t="shared" si="40"/>
        <v>371.70674704563288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371.7282125501186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7.7926471915328897</v>
      </c>
      <c r="AK15" s="14">
        <f t="shared" si="35"/>
        <v>2.827775604255069</v>
      </c>
      <c r="AL15" s="22">
        <f t="shared" si="4"/>
        <v>18.497236369330697</v>
      </c>
      <c r="AM15" s="62">
        <f t="shared" si="5"/>
        <v>289.83056970266404</v>
      </c>
      <c r="AN15" s="62">
        <f ca="1">AVERAGE(OFFSET($AM$3,0,0,'Données projet'!$E$10+1,1))-AVERAGE(OFFSET($H$3,0,0,'Données projet'!$E$10+1,1))</f>
        <v>411.73139494306878</v>
      </c>
      <c r="AO15" s="62">
        <f t="shared" si="36"/>
        <v>254.25036207346591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4.2272727272727275</v>
      </c>
      <c r="BD15" s="13">
        <f>IF('Données projet'!$A$88&gt;35,BD14+BC15-BL14,IF(A15&lt;'Données projet'!$A$88,$BA$205^A15,IF(A15='Données projet'!$A$88,'Données projet'!$B$88,BD14+BC15-BL14)))</f>
        <v>11.849989674913116</v>
      </c>
      <c r="BE15" s="14">
        <f>BD15*VLOOKUP('Données projet'!$B$11,Paramètres!$A$1:$I$89,3,0)*VLOOKUP('Données projet'!$B$11,Paramètres!$A$1:$I$89,5,0)</f>
        <v>6.7781940940503027</v>
      </c>
      <c r="BF15" s="14">
        <f t="shared" si="37"/>
        <v>2.499910127366797</v>
      </c>
      <c r="BG15" s="22">
        <f t="shared" si="7"/>
        <v>16.159364852301447</v>
      </c>
      <c r="BH15" s="62">
        <f t="shared" si="8"/>
        <v>287.49269818563477</v>
      </c>
      <c r="BI15" s="62">
        <f ca="1">AVERAGE(OFFSET($BH$3,0,0,'Données projet'!$E$11+1,1))-AVERAGE(OFFSET($H$3,0,0,'Données projet'!$E$11+1,1))</f>
        <v>309.71642374647882</v>
      </c>
      <c r="BJ15" s="62">
        <f t="shared" si="38"/>
        <v>266.63880397664315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6.9411764705882355</v>
      </c>
      <c r="BY15" s="13">
        <f>IF('Données projet'!$A$114&gt;35,BY14+BX15-CG14,IF(A15&lt;'Données projet'!$A$114,$BV$205^A15,IF(A15='Données projet'!$A$114,'Données projet'!$B$114,BY14+BX15-CG14)))</f>
        <v>29.007142357672414</v>
      </c>
      <c r="BZ15" s="14">
        <f>BY15*VLOOKUP('Données projet'!$B$12,Paramètres!$A$1:$I$89,3,0)*VLOOKUP('Données projet'!$B$12,Paramètres!$A$1:$I$89,5,0)</f>
        <v>17.346271129888105</v>
      </c>
      <c r="CA15" s="14">
        <f t="shared" si="39"/>
        <v>5.7347514730366376</v>
      </c>
      <c r="CB15" s="22">
        <f t="shared" si="10"/>
        <v>40.19944770009392</v>
      </c>
      <c r="CC15" s="62">
        <f t="shared" si="11"/>
        <v>311.53278103342723</v>
      </c>
      <c r="CD15" s="62">
        <f ca="1">AVERAGE(OFFSET($CC$3,0,0,'Données projet'!$E$12+1,1))-AVERAGE(OFFSET($H$3,0,0,'Données projet'!$E$12+1,1))</f>
        <v>348.62416478262719</v>
      </c>
      <c r="CE15" s="62">
        <f t="shared" si="40"/>
        <v>371.70674704563288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371.7282125501186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9.2361065798286326</v>
      </c>
      <c r="AK16" s="14">
        <f t="shared" si="35"/>
        <v>3.2859283437914253</v>
      </c>
      <c r="AL16" s="22">
        <f t="shared" si="4"/>
        <v>21.809210825304934</v>
      </c>
      <c r="AM16" s="62">
        <f t="shared" si="5"/>
        <v>294.36476638086049</v>
      </c>
      <c r="AN16" s="62">
        <f ca="1">AVERAGE(OFFSET($AM$3,0,0,'Données projet'!$E$10+1,1))-AVERAGE(OFFSET($H$3,0,0,'Données projet'!$E$10+1,1))</f>
        <v>411.73139494306878</v>
      </c>
      <c r="AO16" s="62">
        <f t="shared" si="36"/>
        <v>254.25036207346591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4.2272727272727275</v>
      </c>
      <c r="BD16" s="13">
        <f>IF('Données projet'!$A$88&gt;35,BD15+BC16-BL15,IF(A16&lt;'Données projet'!$A$88,$BA$205^A16,IF(A16='Données projet'!$A$88,'Données projet'!$B$88,BD15+BC16-BL15)))</f>
        <v>14.561109560658647</v>
      </c>
      <c r="BE16" s="14">
        <f>BD16*VLOOKUP('Données projet'!$B$11,Paramètres!$A$1:$I$89,3,0)*VLOOKUP('Données projet'!$B$11,Paramètres!$A$1:$I$89,5,0)</f>
        <v>8.3289546686967455</v>
      </c>
      <c r="BF16" s="14">
        <f t="shared" si="37"/>
        <v>2.9990646598352928</v>
      </c>
      <c r="BG16" s="22">
        <f t="shared" si="7"/>
        <v>19.729633663859968</v>
      </c>
      <c r="BH16" s="62">
        <f t="shared" si="8"/>
        <v>292.28518921941549</v>
      </c>
      <c r="BI16" s="62">
        <f ca="1">AVERAGE(OFFSET($BH$3,0,0,'Données projet'!$E$11+1,1))-AVERAGE(OFFSET($H$3,0,0,'Données projet'!$E$11+1,1))</f>
        <v>309.71642374647882</v>
      </c>
      <c r="BJ16" s="62">
        <f t="shared" si="38"/>
        <v>266.63880397664315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6.9411764705882355</v>
      </c>
      <c r="BY16" s="13">
        <f>IF('Données projet'!$A$114&gt;35,BY15+BX16-CG15,IF(A16&lt;'Données projet'!$A$114,$BV$205^A16,IF(A16='Données projet'!$A$114,'Données projet'!$B$114,BY15+BX16-CG15)))</f>
        <v>38.404344652263013</v>
      </c>
      <c r="BZ16" s="14">
        <f>BY16*VLOOKUP('Données projet'!$B$12,Paramètres!$A$1:$I$89,3,0)*VLOOKUP('Données projet'!$B$12,Paramètres!$A$1:$I$89,5,0)</f>
        <v>22.965798102053284</v>
      </c>
      <c r="CA16" s="14">
        <f t="shared" si="39"/>
        <v>7.3485848963755025</v>
      </c>
      <c r="CB16" s="22">
        <f t="shared" si="10"/>
        <v>52.797550388930141</v>
      </c>
      <c r="CC16" s="62">
        <f t="shared" si="11"/>
        <v>325.35310594448566</v>
      </c>
      <c r="CD16" s="62">
        <f ca="1">AVERAGE(OFFSET($CC$3,0,0,'Données projet'!$E$12+1,1))-AVERAGE(OFFSET($H$3,0,0,'Données projet'!$E$12+1,1))</f>
        <v>348.62416478262719</v>
      </c>
      <c r="CE16" s="62">
        <f t="shared" si="40"/>
        <v>371.70674704563288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371.7282125501186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10.946943016571158</v>
      </c>
      <c r="AK17" s="14">
        <f t="shared" si="35"/>
        <v>3.8183104289762917</v>
      </c>
      <c r="AL17" s="22">
        <f t="shared" si="4"/>
        <v>25.71614975099514</v>
      </c>
      <c r="AM17" s="62">
        <f t="shared" si="5"/>
        <v>299.49392752877293</v>
      </c>
      <c r="AN17" s="62">
        <f ca="1">AVERAGE(OFFSET($AM$3,0,0,'Données projet'!$E$10+1,1))-AVERAGE(OFFSET($H$3,0,0,'Données projet'!$E$10+1,1))</f>
        <v>411.73139494306878</v>
      </c>
      <c r="AO17" s="62">
        <f t="shared" si="36"/>
        <v>254.25036207346591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4.2272727272727275</v>
      </c>
      <c r="BD17" s="13">
        <f>IF('Données projet'!$A$88&gt;35,BD16+BC17-BL16,IF(A17&lt;'Données projet'!$A$88,$BA$205^A17,IF(A17='Données projet'!$A$88,'Données projet'!$B$88,BD16+BC17-BL16)))</f>
        <v>17.892497584733903</v>
      </c>
      <c r="BE17" s="14">
        <f>BD17*VLOOKUP('Données projet'!$B$11,Paramètres!$A$1:$I$89,3,0)*VLOOKUP('Données projet'!$B$11,Paramètres!$A$1:$I$89,5,0)</f>
        <v>10.234508618467792</v>
      </c>
      <c r="BF17" s="14">
        <f t="shared" si="37"/>
        <v>3.5978848741042291</v>
      </c>
      <c r="BG17" s="22">
        <f t="shared" si="7"/>
        <v>24.091418666229604</v>
      </c>
      <c r="BH17" s="62">
        <f t="shared" si="8"/>
        <v>297.8691964440074</v>
      </c>
      <c r="BI17" s="62">
        <f ca="1">AVERAGE(OFFSET($BH$3,0,0,'Données projet'!$E$11+1,1))-AVERAGE(OFFSET($H$3,0,0,'Données projet'!$E$11+1,1))</f>
        <v>309.71642374647882</v>
      </c>
      <c r="BJ17" s="62">
        <f t="shared" si="38"/>
        <v>266.63880397664315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6.9411764705882355</v>
      </c>
      <c r="BY17" s="13">
        <f>IF('Données projet'!$A$114&gt;35,BY16+BX17-CG16,IF(A17&lt;'Données projet'!$A$114,$BV$205^A17,IF(A17='Données projet'!$A$114,'Données projet'!$B$114,BY16+BX17-CG16)))</f>
        <v>50.845880300225161</v>
      </c>
      <c r="BZ17" s="14">
        <f>BY17*VLOOKUP('Données projet'!$B$12,Paramètres!$A$1:$I$89,3,0)*VLOOKUP('Données projet'!$B$12,Paramètres!$A$1:$I$89,5,0)</f>
        <v>30.405836419534648</v>
      </c>
      <c r="CA17" s="14">
        <f t="shared" si="39"/>
        <v>9.4165719705798292</v>
      </c>
      <c r="CB17" s="22">
        <f t="shared" si="10"/>
        <v>69.357361279449364</v>
      </c>
      <c r="CC17" s="62">
        <f t="shared" si="11"/>
        <v>343.13513905722715</v>
      </c>
      <c r="CD17" s="62">
        <f ca="1">AVERAGE(OFFSET($CC$3,0,0,'Données projet'!$E$12+1,1))-AVERAGE(OFFSET($H$3,0,0,'Données projet'!$E$12+1,1))</f>
        <v>348.62416478262719</v>
      </c>
      <c r="CE17" s="62">
        <f t="shared" si="40"/>
        <v>371.70674704563288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371.7282125501186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12.974683690828462</v>
      </c>
      <c r="AK18" s="14">
        <f t="shared" si="35"/>
        <v>4.4369484074648931</v>
      </c>
      <c r="AL18" s="22">
        <f t="shared" si="4"/>
        <v>30.325259237860919</v>
      </c>
      <c r="AM18" s="62">
        <f t="shared" si="5"/>
        <v>305.32525923786091</v>
      </c>
      <c r="AN18" s="62">
        <f ca="1">AVERAGE(OFFSET($AM$3,0,0,'Données projet'!$E$10+1,1))-AVERAGE(OFFSET($H$3,0,0,'Données projet'!$E$10+1,1))</f>
        <v>411.73139494306878</v>
      </c>
      <c r="AO18" s="62">
        <f t="shared" si="36"/>
        <v>254.25036207346591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4.2272727272727275</v>
      </c>
      <c r="BD18" s="13">
        <f>IF('Données projet'!$A$88&gt;35,BD17+BC18-BL17,IF(A18&lt;'Données projet'!$A$88,$BA$205^A18,IF(A18='Données projet'!$A$88,'Données projet'!$B$88,BD17+BC18-BL17)))</f>
        <v>21.986062839927392</v>
      </c>
      <c r="BE18" s="14">
        <f>BD18*VLOOKUP('Données projet'!$B$11,Paramètres!$A$1:$I$89,3,0)*VLOOKUP('Données projet'!$B$11,Paramètres!$A$1:$I$89,5,0)</f>
        <v>12.576027944438469</v>
      </c>
      <c r="BF18" s="14">
        <f t="shared" si="37"/>
        <v>4.316270916285923</v>
      </c>
      <c r="BG18" s="22">
        <f t="shared" si="7"/>
        <v>29.420753849094982</v>
      </c>
      <c r="BH18" s="62">
        <f t="shared" si="8"/>
        <v>304.42075384909498</v>
      </c>
      <c r="BI18" s="62">
        <f ca="1">AVERAGE(OFFSET($BH$3,0,0,'Données projet'!$E$11+1,1))-AVERAGE(OFFSET($H$3,0,0,'Données projet'!$E$11+1,1))</f>
        <v>309.71642374647882</v>
      </c>
      <c r="BJ18" s="62">
        <f t="shared" si="38"/>
        <v>266.63880397664315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6.9411764705882355</v>
      </c>
      <c r="BY18" s="13">
        <f>IF('Données projet'!$A$114&gt;35,BY17+BX18-CG17,IF(A18&lt;'Données projet'!$A$114,$BV$205^A18,IF(A18='Données projet'!$A$114,'Données projet'!$B$114,BY17+BX18-CG17)))</f>
        <v>67.317996620272581</v>
      </c>
      <c r="BZ18" s="14">
        <f>BY18*VLOOKUP('Données projet'!$B$12,Paramètres!$A$1:$I$89,3,0)*VLOOKUP('Données projet'!$B$12,Paramètres!$A$1:$I$89,5,0)</f>
        <v>40.256161978923011</v>
      </c>
      <c r="CA18" s="14">
        <f t="shared" si="39"/>
        <v>12.066517421720839</v>
      </c>
      <c r="CB18" s="22">
        <f t="shared" si="10"/>
        <v>91.128666622788032</v>
      </c>
      <c r="CC18" s="62">
        <f t="shared" si="11"/>
        <v>366.12866662278805</v>
      </c>
      <c r="CD18" s="62">
        <f ca="1">AVERAGE(OFFSET($CC$3,0,0,'Données projet'!$E$12+1,1))-AVERAGE(OFFSET($H$3,0,0,'Données projet'!$E$12+1,1))</f>
        <v>348.62416478262719</v>
      </c>
      <c r="CE18" s="62">
        <f t="shared" si="40"/>
        <v>371.70674704563288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371.7282125501186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15.378029886719814</v>
      </c>
      <c r="AK19" s="14">
        <f t="shared" si="35"/>
        <v>5.1558173534317051</v>
      </c>
      <c r="AL19" s="22">
        <f t="shared" si="4"/>
        <v>35.763117276597228</v>
      </c>
      <c r="AM19" s="62">
        <f t="shared" si="5"/>
        <v>311.98533949881949</v>
      </c>
      <c r="AN19" s="62">
        <f ca="1">AVERAGE(OFFSET($AM$3,0,0,'Données projet'!$E$10+1,1))-AVERAGE(OFFSET($H$3,0,0,'Données projet'!$E$10+1,1))</f>
        <v>411.73139494306878</v>
      </c>
      <c r="AO19" s="62">
        <f t="shared" si="36"/>
        <v>254.25036207346591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4.2272727272727275</v>
      </c>
      <c r="BD19" s="13">
        <f>IF('Données projet'!$A$88&gt;35,BD18+BC19-BL18,IF(A19&lt;'Données projet'!$A$88,$BA$205^A19,IF(A19='Données projet'!$A$88,'Données projet'!$B$88,BD18+BC19-BL18)))</f>
        <v>27.016181330306161</v>
      </c>
      <c r="BE19" s="14">
        <f>BD19*VLOOKUP('Données projet'!$B$11,Paramètres!$A$1:$I$89,3,0)*VLOOKUP('Données projet'!$B$11,Paramètres!$A$1:$I$89,5,0)</f>
        <v>15.453255720935125</v>
      </c>
      <c r="BF19" s="14">
        <f t="shared" si="37"/>
        <v>5.1780963745856683</v>
      </c>
      <c r="BG19" s="22">
        <f t="shared" si="7"/>
        <v>35.932938233032047</v>
      </c>
      <c r="BH19" s="62">
        <f t="shared" si="8"/>
        <v>312.1551604552543</v>
      </c>
      <c r="BI19" s="62">
        <f ca="1">AVERAGE(OFFSET($BH$3,0,0,'Données projet'!$E$11+1,1))-AVERAGE(OFFSET($H$3,0,0,'Données projet'!$E$11+1,1))</f>
        <v>309.71642374647882</v>
      </c>
      <c r="BJ19" s="62">
        <f t="shared" si="38"/>
        <v>266.63880397664315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6.9411764705882355</v>
      </c>
      <c r="BY19" s="13">
        <f>IF('Données projet'!$A$114&gt;35,BY18+BX19-CG18,IF(A19&lt;'Données projet'!$A$114,$BV$205^A19,IF(A19='Données projet'!$A$114,'Données projet'!$B$114,BY18+BX19-CG18)))</f>
        <v>89.126447260014572</v>
      </c>
      <c r="BZ19" s="14">
        <f>BY19*VLOOKUP('Données projet'!$B$12,Paramètres!$A$1:$I$89,3,0)*VLOOKUP('Données projet'!$B$12,Paramètres!$A$1:$I$89,5,0)</f>
        <v>53.297615461488718</v>
      </c>
      <c r="CA19" s="14">
        <f t="shared" si="39"/>
        <v>15.46219188294774</v>
      </c>
      <c r="CB19" s="22">
        <f t="shared" si="10"/>
        <v>119.75666445822681</v>
      </c>
      <c r="CC19" s="62">
        <f t="shared" si="11"/>
        <v>395.97888668044902</v>
      </c>
      <c r="CD19" s="62">
        <f ca="1">AVERAGE(OFFSET($CC$3,0,0,'Données projet'!$E$12+1,1))-AVERAGE(OFFSET($H$3,0,0,'Données projet'!$E$12+1,1))</f>
        <v>348.62416478262719</v>
      </c>
      <c r="CE19" s="62">
        <f t="shared" si="40"/>
        <v>371.70674704563288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371.7282125501186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18.226556333239429</v>
      </c>
      <c r="AK20" s="14">
        <f t="shared" si="35"/>
        <v>5.9911565654502983</v>
      </c>
      <c r="AL20" s="22">
        <f t="shared" si="4"/>
        <v>42.179183298551266</v>
      </c>
      <c r="AM20" s="62">
        <f t="shared" si="5"/>
        <v>319.62362774299572</v>
      </c>
      <c r="AN20" s="62">
        <f ca="1">AVERAGE(OFFSET($AM$3,0,0,'Données projet'!$E$10+1,1))-AVERAGE(OFFSET($H$3,0,0,'Données projet'!$E$10+1,1))</f>
        <v>411.73139494306878</v>
      </c>
      <c r="AO20" s="62">
        <f t="shared" si="36"/>
        <v>254.25036207346591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4.2272727272727275</v>
      </c>
      <c r="BD20" s="13">
        <f>IF('Données projet'!$A$88&gt;35,BD19+BC20-BL19,IF(A20&lt;'Données projet'!$A$88,$BA$205^A20,IF(A20='Données projet'!$A$88,'Données projet'!$B$88,BD19+BC20-BL19)))</f>
        <v>33.197123968303622</v>
      </c>
      <c r="BE20" s="14">
        <f>BD20*VLOOKUP('Données projet'!$B$11,Paramètres!$A$1:$I$89,3,0)*VLOOKUP('Données projet'!$B$11,Paramètres!$A$1:$I$89,5,0)</f>
        <v>18.988754909869673</v>
      </c>
      <c r="BF20" s="14">
        <f t="shared" si="37"/>
        <v>6.2120016524748385</v>
      </c>
      <c r="BG20" s="22">
        <f t="shared" si="7"/>
        <v>43.891317679416687</v>
      </c>
      <c r="BH20" s="62">
        <f t="shared" si="8"/>
        <v>321.33576212386117</v>
      </c>
      <c r="BI20" s="62">
        <f ca="1">AVERAGE(OFFSET($BH$3,0,0,'Données projet'!$E$11+1,1))-AVERAGE(OFFSET($H$3,0,0,'Données projet'!$E$11+1,1))</f>
        <v>309.71642374647882</v>
      </c>
      <c r="BJ20" s="62">
        <f t="shared" si="38"/>
        <v>266.63880397664315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118</v>
      </c>
      <c r="BW20" s="13">
        <f>VLOOKUP(A20,'Données projet'!$A$113:$I$133,9,0)</f>
        <v>6.9411764705882355</v>
      </c>
      <c r="BX20" s="13">
        <f t="array" ref="BX20">INDEX(BW:BW,MIN(IF(ISNUMBER(BW20:BW216),ROW(BW20:BW216),"")))</f>
        <v>6.9411764705882355</v>
      </c>
      <c r="BY20" s="13">
        <f>IF('Données projet'!$A$114&gt;35,BY19+BX20-CG19,IF(A20&lt;'Données projet'!$A$114,$BV$205^A20,IF(A20='Données projet'!$A$114,'Données projet'!$B$114,BY19+BX20-CG19)))</f>
        <v>118</v>
      </c>
      <c r="BZ20" s="14">
        <f>BY20*VLOOKUP('Données projet'!$B$12,Paramètres!$A$1:$I$89,3,0)*VLOOKUP('Données projet'!$B$12,Paramètres!$A$1:$I$89,5,0)</f>
        <v>70.564000000000007</v>
      </c>
      <c r="CA20" s="14">
        <f t="shared" si="39"/>
        <v>19.813453167086163</v>
      </c>
      <c r="CB20" s="22">
        <f t="shared" si="10"/>
        <v>157.40739759934175</v>
      </c>
      <c r="CC20" s="62">
        <f t="shared" si="11"/>
        <v>434.85184204378618</v>
      </c>
      <c r="CD20" s="62">
        <f ca="1">AVERAGE(OFFSET($CC$3,0,0,'Données projet'!$E$12+1,1))-AVERAGE(OFFSET($H$3,0,0,'Données projet'!$E$12+1,1))</f>
        <v>348.62416478262719</v>
      </c>
      <c r="CE20" s="62">
        <f t="shared" si="40"/>
        <v>371.70674704563288</v>
      </c>
      <c r="CF20" s="16">
        <f>IF(ISNA(VLOOKUP(A20,'Données projet'!$A$113:$I$133,3,0)),0,VLOOKUP(A20,'Données projet'!$A$113:$I$133,3,0))</f>
        <v>1</v>
      </c>
      <c r="CG20" s="16">
        <f>IF(ISNA(VLOOKUP(A20,'Données projet'!$A$113:$I$133,4,0)),0,VLOOKUP(A20,'Données projet'!$A$113:$I$133,4,0))</f>
        <v>15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1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10.1561237088124</v>
      </c>
      <c r="CN20" s="24">
        <f t="shared" si="12"/>
        <v>10.1561237088124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371.7282125501186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21.602725330612</v>
      </c>
      <c r="AK21" s="14">
        <f t="shared" si="35"/>
        <v>6.9618364133568926</v>
      </c>
      <c r="AL21" s="22">
        <f t="shared" si="4"/>
        <v>49.749945037412488</v>
      </c>
      <c r="AM21" s="62">
        <f t="shared" si="5"/>
        <v>328.41661170407917</v>
      </c>
      <c r="AN21" s="62">
        <f ca="1">AVERAGE(OFFSET($AM$3,0,0,'Données projet'!$E$10+1,1))-AVERAGE(OFFSET($H$3,0,0,'Données projet'!$E$10+1,1))</f>
        <v>411.73139494306878</v>
      </c>
      <c r="AO21" s="62">
        <f t="shared" si="36"/>
        <v>254.25036207346591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4.2272727272727275</v>
      </c>
      <c r="BD21" s="13">
        <f>IF('Données projet'!$A$88&gt;35,BD20+BC21-BL20,IF(A21&lt;'Données projet'!$A$88,$BA$205^A21,IF(A21='Données projet'!$A$88,'Données projet'!$B$88,BD20+BC21-BL20)))</f>
        <v>40.792183998656547</v>
      </c>
      <c r="BE21" s="14">
        <f>BD21*VLOOKUP('Données projet'!$B$11,Paramètres!$A$1:$I$89,3,0)*VLOOKUP('Données projet'!$B$11,Paramètres!$A$1:$I$89,5,0)</f>
        <v>23.333129247231543</v>
      </c>
      <c r="BF21" s="14">
        <f t="shared" si="37"/>
        <v>7.4523457538848614</v>
      </c>
      <c r="BG21" s="22">
        <f t="shared" si="7"/>
        <v>53.618035626944398</v>
      </c>
      <c r="BH21" s="62">
        <f t="shared" si="8"/>
        <v>332.28470229361108</v>
      </c>
      <c r="BI21" s="62">
        <f ca="1">AVERAGE(OFFSET($BH$3,0,0,'Données projet'!$E$11+1,1))-AVERAGE(OFFSET($H$3,0,0,'Données projet'!$E$11+1,1))</f>
        <v>309.71642374647882</v>
      </c>
      <c r="BJ21" s="62">
        <f t="shared" si="38"/>
        <v>266.63880397664315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11.333333333333334</v>
      </c>
      <c r="BY21" s="13">
        <f>IF('Données projet'!$A$114&gt;35,BY20+BX21-CG20,IF(A21&lt;'Données projet'!$A$114,$BV$205^A21,IF(A21='Données projet'!$A$114,'Données projet'!$B$114,BY20+BX21-CG20)))</f>
        <v>114.33333333333334</v>
      </c>
      <c r="BZ21" s="14">
        <f>BY21*VLOOKUP('Données projet'!$B$12,Paramètres!$A$1:$I$89,3,0)*VLOOKUP('Données projet'!$B$12,Paramètres!$A$1:$I$89,5,0)</f>
        <v>68.37133333333334</v>
      </c>
      <c r="CA21" s="14">
        <f t="shared" si="39"/>
        <v>19.268449754335993</v>
      </c>
      <c r="CB21" s="22">
        <f t="shared" si="10"/>
        <v>152.63928887769075</v>
      </c>
      <c r="CC21" s="62">
        <f t="shared" si="11"/>
        <v>431.3059555443574</v>
      </c>
      <c r="CD21" s="62">
        <f ca="1">AVERAGE(OFFSET($CC$3,0,0,'Données projet'!$E$12+1,1))-AVERAGE(OFFSET($H$3,0,0,'Données projet'!$E$12+1,1))</f>
        <v>348.62416478262719</v>
      </c>
      <c r="CE21" s="62">
        <f t="shared" si="40"/>
        <v>371.70674704563288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7.1814639450707176</v>
      </c>
      <c r="CN21" s="24">
        <f t="shared" si="12"/>
        <v>7.1814639450707176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371.7282125501186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25.604273960341793</v>
      </c>
      <c r="AK22" s="14">
        <f t="shared" si="35"/>
        <v>8.0897846211934414</v>
      </c>
      <c r="AL22" s="22">
        <f t="shared" si="4"/>
        <v>58.683818696173859</v>
      </c>
      <c r="AM22" s="62">
        <f t="shared" si="5"/>
        <v>338.57270758506274</v>
      </c>
      <c r="AN22" s="62">
        <f ca="1">AVERAGE(OFFSET($AM$3,0,0,'Données projet'!$E$10+1,1))-AVERAGE(OFFSET($H$3,0,0,'Données projet'!$E$10+1,1))</f>
        <v>411.73139494306878</v>
      </c>
      <c r="AO22" s="62">
        <f t="shared" si="36"/>
        <v>254.25036207346591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4.2272727272727275</v>
      </c>
      <c r="BD22" s="13">
        <f>IF('Données projet'!$A$88&gt;35,BD21+BC22-BL21,IF(A22&lt;'Données projet'!$A$88,$BA$205^A22,IF(A22='Données projet'!$A$88,'Données projet'!$B$88,BD21+BC22-BL21)))</f>
        <v>50.124892655430898</v>
      </c>
      <c r="BE22" s="14">
        <f>BD22*VLOOKUP('Données projet'!$B$11,Paramètres!$A$1:$I$89,3,0)*VLOOKUP('Données projet'!$B$11,Paramètres!$A$1:$I$89,5,0)</f>
        <v>28.671438598906473</v>
      </c>
      <c r="BF22" s="14">
        <f t="shared" si="37"/>
        <v>8.9403481103904472</v>
      </c>
      <c r="BG22" s="22">
        <f t="shared" si="7"/>
        <v>65.50719518535881</v>
      </c>
      <c r="BH22" s="62">
        <f t="shared" si="8"/>
        <v>345.39608407424765</v>
      </c>
      <c r="BI22" s="62">
        <f ca="1">AVERAGE(OFFSET($BH$3,0,0,'Données projet'!$E$11+1,1))-AVERAGE(OFFSET($H$3,0,0,'Données projet'!$E$11+1,1))</f>
        <v>309.71642374647882</v>
      </c>
      <c r="BJ22" s="62">
        <f t="shared" si="38"/>
        <v>266.63880397664315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11.333333333333334</v>
      </c>
      <c r="BY22" s="13">
        <f>IF('Données projet'!$A$114&gt;35,BY21+BX22-CG21,IF(A22&lt;'Données projet'!$A$114,$BV$205^A22,IF(A22='Données projet'!$A$114,'Données projet'!$B$114,BY21+BX22-CG21)))</f>
        <v>125.66666666666667</v>
      </c>
      <c r="BZ22" s="14">
        <f>BY22*VLOOKUP('Données projet'!$B$12,Paramètres!$A$1:$I$89,3,0)*VLOOKUP('Données projet'!$B$12,Paramètres!$A$1:$I$89,5,0)</f>
        <v>75.148666666666671</v>
      </c>
      <c r="CA22" s="14">
        <f t="shared" si="39"/>
        <v>20.946723857947624</v>
      </c>
      <c r="CB22" s="22">
        <f t="shared" si="10"/>
        <v>167.36613849703656</v>
      </c>
      <c r="CC22" s="62">
        <f t="shared" si="11"/>
        <v>447.25502738592542</v>
      </c>
      <c r="CD22" s="62">
        <f ca="1">AVERAGE(OFFSET($CC$3,0,0,'Données projet'!$E$12+1,1))-AVERAGE(OFFSET($H$3,0,0,'Données projet'!$E$12+1,1))</f>
        <v>348.62416478262719</v>
      </c>
      <c r="CE22" s="62">
        <f t="shared" si="40"/>
        <v>371.70674704563288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5.0780618544062008</v>
      </c>
      <c r="CN22" s="24">
        <f t="shared" si="12"/>
        <v>5.0780618544062008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371.7282125501186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30.347043486557379</v>
      </c>
      <c r="AK23" s="14">
        <f t="shared" si="35"/>
        <v>9.4004816159909641</v>
      </c>
      <c r="AL23" s="22">
        <f t="shared" si="4"/>
        <v>69.226939553605035</v>
      </c>
      <c r="AM23" s="62">
        <f t="shared" si="5"/>
        <v>350.33805066471621</v>
      </c>
      <c r="AN23" s="62">
        <f ca="1">AVERAGE(OFFSET($AM$3,0,0,'Données projet'!$E$10+1,1))-AVERAGE(OFFSET($H$3,0,0,'Données projet'!$E$10+1,1))</f>
        <v>411.73139494306878</v>
      </c>
      <c r="AO23" s="62">
        <f t="shared" si="36"/>
        <v>254.25036207346591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4.2272727272727275</v>
      </c>
      <c r="BD23" s="13">
        <f>IF('Données projet'!$A$88&gt;35,BD22+BC23-BL22,IF(A23&lt;'Données projet'!$A$88,$BA$205^A23,IF(A23='Données projet'!$A$88,'Données projet'!$B$88,BD22+BC23-BL22)))</f>
        <v>61.592800812067757</v>
      </c>
      <c r="BE23" s="14">
        <f>BD23*VLOOKUP('Données projet'!$B$11,Paramètres!$A$1:$I$89,3,0)*VLOOKUP('Données projet'!$B$11,Paramètres!$A$1:$I$89,5,0)</f>
        <v>35.231082064502758</v>
      </c>
      <c r="BF23" s="14">
        <f t="shared" si="37"/>
        <v>10.725458395874229</v>
      </c>
      <c r="BG23" s="22">
        <f t="shared" si="7"/>
        <v>80.040974635156573</v>
      </c>
      <c r="BH23" s="62">
        <f t="shared" si="8"/>
        <v>361.15208574626774</v>
      </c>
      <c r="BI23" s="62">
        <f ca="1">AVERAGE(OFFSET($BH$3,0,0,'Données projet'!$E$11+1,1))-AVERAGE(OFFSET($H$3,0,0,'Données projet'!$E$11+1,1))</f>
        <v>309.71642374647882</v>
      </c>
      <c r="BJ23" s="62">
        <f t="shared" si="38"/>
        <v>266.63880397664315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137</v>
      </c>
      <c r="BW23" s="13">
        <f>VLOOKUP(A23,'Données projet'!$A$113:$I$133,9,0)</f>
        <v>11.333333333333334</v>
      </c>
      <c r="BX23" s="13">
        <f t="array" ref="BX23">INDEX(BW:BW,MIN(IF(ISNUMBER(BW23:BW219),ROW(BW23:BW219),"")))</f>
        <v>11.333333333333334</v>
      </c>
      <c r="BY23" s="13">
        <f>IF('Données projet'!$A$114&gt;35,BY22+BX23-CG22,IF(A23&lt;'Données projet'!$A$114,$BV$205^A23,IF(A23='Données projet'!$A$114,'Données projet'!$B$114,BY22+BX23-CG22)))</f>
        <v>137</v>
      </c>
      <c r="BZ23" s="14">
        <f>BY23*VLOOKUP('Données projet'!$B$12,Paramètres!$A$1:$I$89,3,0)*VLOOKUP('Données projet'!$B$12,Paramètres!$A$1:$I$89,5,0)</f>
        <v>81.926000000000002</v>
      </c>
      <c r="CA23" s="14">
        <f t="shared" si="39"/>
        <v>22.607447146245146</v>
      </c>
      <c r="CB23" s="22">
        <f t="shared" si="10"/>
        <v>182.06242044637693</v>
      </c>
      <c r="CC23" s="62">
        <f t="shared" si="11"/>
        <v>463.1735315574881</v>
      </c>
      <c r="CD23" s="62">
        <f ca="1">AVERAGE(OFFSET($CC$3,0,0,'Données projet'!$E$12+1,1))-AVERAGE(OFFSET($H$3,0,0,'Données projet'!$E$12+1,1))</f>
        <v>348.62416478262719</v>
      </c>
      <c r="CE23" s="62">
        <f t="shared" si="40"/>
        <v>371.70674704563288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15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1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13.746855681347759</v>
      </c>
      <c r="CN23" s="24">
        <f t="shared" si="12"/>
        <v>13.746855681347759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371.7282125501186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35.968332857297341</v>
      </c>
      <c r="AK24" s="14">
        <f t="shared" si="35"/>
        <v>10.923536132355956</v>
      </c>
      <c r="AL24" s="22">
        <f t="shared" si="4"/>
        <v>81.670005156979485</v>
      </c>
      <c r="AM24" s="62">
        <f t="shared" si="5"/>
        <v>364.00333849031279</v>
      </c>
      <c r="AN24" s="62">
        <f ca="1">AVERAGE(OFFSET($AM$3,0,0,'Données projet'!$E$10+1,1))-AVERAGE(OFFSET($H$3,0,0,'Données projet'!$E$10+1,1))</f>
        <v>411.73139494306878</v>
      </c>
      <c r="AO24" s="62">
        <f t="shared" si="36"/>
        <v>254.25036207346591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4.2272727272727275</v>
      </c>
      <c r="BD24" s="13">
        <f>IF('Données projet'!$A$88&gt;35,BD23+BC24-BL23,IF(A24&lt;'Données projet'!$A$88,$BA$205^A24,IF(A24='Données projet'!$A$88,'Données projet'!$B$88,BD23+BC24-BL23)))</f>
        <v>75.684413689492871</v>
      </c>
      <c r="BE24" s="14">
        <f>BD24*VLOOKUP('Données projet'!$B$11,Paramètres!$A$1:$I$89,3,0)*VLOOKUP('Données projet'!$B$11,Paramètres!$A$1:$I$89,5,0)</f>
        <v>43.291484630389924</v>
      </c>
      <c r="BF24" s="14">
        <f t="shared" si="37"/>
        <v>12.866999850703252</v>
      </c>
      <c r="BG24" s="22">
        <f t="shared" si="7"/>
        <v>97.80936047123727</v>
      </c>
      <c r="BH24" s="62">
        <f t="shared" si="8"/>
        <v>380.14269380457057</v>
      </c>
      <c r="BI24" s="62">
        <f ca="1">AVERAGE(OFFSET($BH$3,0,0,'Données projet'!$E$11+1,1))-AVERAGE(OFFSET($H$3,0,0,'Données projet'!$E$11+1,1))</f>
        <v>309.71642374647882</v>
      </c>
      <c r="BJ24" s="62">
        <f t="shared" si="38"/>
        <v>266.63880397664315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16.399999999999999</v>
      </c>
      <c r="BY24" s="13">
        <f>IF('Données projet'!$A$114&gt;35,BY23+BX24-CG23,IF(A24&lt;'Données projet'!$A$114,$BV$205^A24,IF(A24='Données projet'!$A$114,'Données projet'!$B$114,BY23+BX24-CG23)))</f>
        <v>138.4</v>
      </c>
      <c r="BZ24" s="14">
        <f>BY24*VLOOKUP('Données projet'!$B$12,Paramètres!$A$1:$I$89,3,0)*VLOOKUP('Données projet'!$B$12,Paramètres!$A$1:$I$89,5,0)</f>
        <v>82.763200000000012</v>
      </c>
      <c r="CA24" s="14">
        <f t="shared" si="39"/>
        <v>22.811459894537176</v>
      </c>
      <c r="CB24" s="22">
        <f t="shared" si="10"/>
        <v>183.8758659829856</v>
      </c>
      <c r="CC24" s="62">
        <f t="shared" si="11"/>
        <v>466.20919931631892</v>
      </c>
      <c r="CD24" s="62">
        <f ca="1">AVERAGE(OFFSET($CC$3,0,0,'Données projet'!$E$12+1,1))-AVERAGE(OFFSET($H$3,0,0,'Données projet'!$E$12+1,1))</f>
        <v>348.62416478262719</v>
      </c>
      <c r="CE24" s="62">
        <f t="shared" si="40"/>
        <v>371.70674704563288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9.720494872273818</v>
      </c>
      <c r="CN24" s="24">
        <f t="shared" si="12"/>
        <v>9.720494872273818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371.7282125501186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42.630873386608698</v>
      </c>
      <c r="AK25" s="14">
        <f t="shared" si="35"/>
        <v>12.693354075806836</v>
      </c>
      <c r="AL25" s="22">
        <f t="shared" si="4"/>
        <v>96.356362830373712</v>
      </c>
      <c r="AM25" s="62">
        <f t="shared" si="5"/>
        <v>379.91191838592925</v>
      </c>
      <c r="AN25" s="62">
        <f ca="1">AVERAGE(OFFSET($AM$3,0,0,'Données projet'!$E$10+1,1))-AVERAGE(OFFSET($H$3,0,0,'Données projet'!$E$10+1,1))</f>
        <v>411.73139494306878</v>
      </c>
      <c r="AO25" s="62">
        <f t="shared" si="36"/>
        <v>254.25036207346591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93</v>
      </c>
      <c r="BB25" s="13">
        <f>VLOOKUP(A25,'Données projet'!$A$87:$I$107,9,0)</f>
        <v>4.2272727272727275</v>
      </c>
      <c r="BC25" s="13">
        <f t="array" ref="BC25">INDEX(BB:BB,MIN(IF(ISNUMBER(BB25:BB221),ROW(BB25:BB221),"")))</f>
        <v>4.2272727272727275</v>
      </c>
      <c r="BD25" s="13">
        <f>IF('Données projet'!$A$88&gt;35,BD24+BC25-BL24,IF(A25&lt;'Données projet'!$A$88,$BA$205^A25,IF(A25='Données projet'!$A$88,'Données projet'!$B$88,BD24+BC25-BL24)))</f>
        <v>93</v>
      </c>
      <c r="BE25" s="14">
        <f>BD25*VLOOKUP('Données projet'!$B$11,Paramètres!$A$1:$I$89,3,0)*VLOOKUP('Données projet'!$B$11,Paramètres!$A$1:$I$89,5,0)</f>
        <v>53.196000000000005</v>
      </c>
      <c r="BF25" s="14">
        <f t="shared" si="37"/>
        <v>15.436140726785499</v>
      </c>
      <c r="BG25" s="22">
        <f t="shared" si="7"/>
        <v>119.53431176581809</v>
      </c>
      <c r="BH25" s="62">
        <f t="shared" si="8"/>
        <v>403.08986732137362</v>
      </c>
      <c r="BI25" s="62">
        <f ca="1">AVERAGE(OFFSET($BH$3,0,0,'Données projet'!$E$11+1,1))-AVERAGE(OFFSET($H$3,0,0,'Données projet'!$E$11+1,1))</f>
        <v>309.71642374647882</v>
      </c>
      <c r="BJ25" s="62">
        <f t="shared" si="38"/>
        <v>266.63880397664315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9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5.8287318676662458</v>
      </c>
      <c r="BS25" s="24">
        <f t="shared" si="9"/>
        <v>5.8287318676662458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16.399999999999999</v>
      </c>
      <c r="BY25" s="13">
        <f>IF('Données projet'!$A$114&gt;35,BY24+BX25-CG24,IF(A25&lt;'Données projet'!$A$114,$BV$205^A25,IF(A25='Données projet'!$A$114,'Données projet'!$B$114,BY24+BX25-CG24)))</f>
        <v>154.80000000000001</v>
      </c>
      <c r="BZ25" s="14">
        <f>BY25*VLOOKUP('Données projet'!$B$12,Paramètres!$A$1:$I$89,3,0)*VLOOKUP('Données projet'!$B$12,Paramètres!$A$1:$I$89,5,0)</f>
        <v>92.570400000000021</v>
      </c>
      <c r="CA25" s="14">
        <f t="shared" si="39"/>
        <v>25.184123943972491</v>
      </c>
      <c r="CB25" s="22">
        <f t="shared" si="10"/>
        <v>205.0891292024188</v>
      </c>
      <c r="CC25" s="62">
        <f t="shared" si="11"/>
        <v>488.64468475797435</v>
      </c>
      <c r="CD25" s="62">
        <f ca="1">AVERAGE(OFFSET($CC$3,0,0,'Données projet'!$E$12+1,1))-AVERAGE(OFFSET($H$3,0,0,'Données projet'!$E$12+1,1))</f>
        <v>348.62416478262719</v>
      </c>
      <c r="CE25" s="62">
        <f t="shared" si="40"/>
        <v>371.70674704563288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6.8734278406738802</v>
      </c>
      <c r="CN25" s="24">
        <f t="shared" si="12"/>
        <v>6.8734278406738802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371.7282125501186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50.527539680959798</v>
      </c>
      <c r="AK26" s="14">
        <f t="shared" si="35"/>
        <v>14.749915754528818</v>
      </c>
      <c r="AL26" s="22">
        <f t="shared" si="4"/>
        <v>113.69156821680933</v>
      </c>
      <c r="AM26" s="62">
        <f t="shared" si="5"/>
        <v>398.46934599458712</v>
      </c>
      <c r="AN26" s="62">
        <f ca="1">AVERAGE(OFFSET($AM$3,0,0,'Données projet'!$E$10+1,1))-AVERAGE(OFFSET($H$3,0,0,'Données projet'!$E$10+1,1))</f>
        <v>411.73139494306878</v>
      </c>
      <c r="AO26" s="62">
        <f t="shared" si="36"/>
        <v>254.25036207346591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15.666666666666666</v>
      </c>
      <c r="BD26" s="13">
        <f>IF('Données projet'!$A$88&gt;35,BD25+BC26-BL25,IF(A26&lt;'Données projet'!$A$88,$BA$205^A26,IF(A26='Données projet'!$A$88,'Données projet'!$B$88,BD25+BC26-BL25)))</f>
        <v>99.666666666666671</v>
      </c>
      <c r="BE26" s="14">
        <f>BD26*VLOOKUP('Données projet'!$B$11,Paramètres!$A$1:$I$89,3,0)*VLOOKUP('Données projet'!$B$11,Paramètres!$A$1:$I$89,5,0)</f>
        <v>57.009333333333345</v>
      </c>
      <c r="BF26" s="14">
        <f t="shared" si="37"/>
        <v>16.409899347168675</v>
      </c>
      <c r="BG26" s="22">
        <f t="shared" si="7"/>
        <v>127.87183025187436</v>
      </c>
      <c r="BH26" s="62">
        <f t="shared" si="8"/>
        <v>412.64960802965214</v>
      </c>
      <c r="BI26" s="62">
        <f ca="1">AVERAGE(OFFSET($BH$3,0,0,'Données projet'!$E$11+1,1))-AVERAGE(OFFSET($H$3,0,0,'Données projet'!$E$11+1,1))</f>
        <v>309.71642374647882</v>
      </c>
      <c r="BJ26" s="62">
        <f t="shared" si="38"/>
        <v>266.63880397664315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4.1215358293449329</v>
      </c>
      <c r="BS26" s="24">
        <f t="shared" si="9"/>
        <v>4.1215358293449329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16.399999999999999</v>
      </c>
      <c r="BY26" s="13">
        <f>IF('Données projet'!$A$114&gt;35,BY25+BX26-CG25,IF(A26&lt;'Données projet'!$A$114,$BV$205^A26,IF(A26='Données projet'!$A$114,'Données projet'!$B$114,BY25+BX26-CG25)))</f>
        <v>171.20000000000002</v>
      </c>
      <c r="BZ26" s="14">
        <f>BY26*VLOOKUP('Données projet'!$B$12,Paramètres!$A$1:$I$89,3,0)*VLOOKUP('Données projet'!$B$12,Paramètres!$A$1:$I$89,5,0)</f>
        <v>102.37760000000002</v>
      </c>
      <c r="CA26" s="14">
        <f t="shared" si="39"/>
        <v>27.527651005505614</v>
      </c>
      <c r="CB26" s="22">
        <f t="shared" si="10"/>
        <v>226.25164550125564</v>
      </c>
      <c r="CC26" s="62">
        <f t="shared" si="11"/>
        <v>511.02942327903338</v>
      </c>
      <c r="CD26" s="62">
        <f ca="1">AVERAGE(OFFSET($CC$3,0,0,'Données projet'!$E$12+1,1))-AVERAGE(OFFSET($H$3,0,0,'Données projet'!$E$12+1,1))</f>
        <v>348.62416478262719</v>
      </c>
      <c r="CE26" s="62">
        <f t="shared" si="40"/>
        <v>371.70674704563288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4.8602474361369099</v>
      </c>
      <c r="CN26" s="24">
        <f t="shared" si="12"/>
        <v>4.8602474361369099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371.7282125501186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59.886933187086214</v>
      </c>
      <c r="AK27" s="14">
        <f t="shared" si="35"/>
        <v>17.139679037265701</v>
      </c>
      <c r="AL27" s="22">
        <f t="shared" si="4"/>
        <v>134.15468295741289</v>
      </c>
      <c r="AM27" s="62">
        <f t="shared" si="5"/>
        <v>420.15468295741289</v>
      </c>
      <c r="AN27" s="62">
        <f ca="1">AVERAGE(OFFSET($AM$3,0,0,'Données projet'!$E$10+1,1))-AVERAGE(OFFSET($H$3,0,0,'Données projet'!$E$10+1,1))</f>
        <v>411.73139494306878</v>
      </c>
      <c r="AO27" s="62">
        <f t="shared" si="36"/>
        <v>254.25036207346591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15.666666666666666</v>
      </c>
      <c r="BD27" s="13">
        <f>IF('Données projet'!$A$88&gt;35,BD26+BC27-BL26,IF(A27&lt;'Données projet'!$A$88,$BA$205^A27,IF(A27='Données projet'!$A$88,'Données projet'!$B$88,BD26+BC27-BL26)))</f>
        <v>115.33333333333334</v>
      </c>
      <c r="BE27" s="14">
        <f>BD27*VLOOKUP('Données projet'!$B$11,Paramètres!$A$1:$I$89,3,0)*VLOOKUP('Données projet'!$B$11,Paramètres!$A$1:$I$89,5,0)</f>
        <v>65.970666666666673</v>
      </c>
      <c r="BF27" s="14">
        <f t="shared" si="37"/>
        <v>18.669405819805228</v>
      </c>
      <c r="BG27" s="22">
        <f t="shared" si="7"/>
        <v>147.41479291393856</v>
      </c>
      <c r="BH27" s="62">
        <f t="shared" si="8"/>
        <v>433.41479291393853</v>
      </c>
      <c r="BI27" s="62">
        <f ca="1">AVERAGE(OFFSET($BH$3,0,0,'Données projet'!$E$11+1,1))-AVERAGE(OFFSET($H$3,0,0,'Données projet'!$E$11+1,1))</f>
        <v>309.71642374647882</v>
      </c>
      <c r="BJ27" s="62">
        <f t="shared" si="38"/>
        <v>266.63880397664315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2.9143659338331234</v>
      </c>
      <c r="BS27" s="24">
        <f t="shared" si="9"/>
        <v>2.9143659338331234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16.399999999999999</v>
      </c>
      <c r="BY27" s="13">
        <f>IF('Données projet'!$A$114&gt;35,BY26+BX27-CG26,IF(A27&lt;'Données projet'!$A$114,$BV$205^A27,IF(A27='Données projet'!$A$114,'Données projet'!$B$114,BY26+BX27-CG26)))</f>
        <v>187.60000000000002</v>
      </c>
      <c r="BZ27" s="14">
        <f>BY27*VLOOKUP('Données projet'!$B$12,Paramètres!$A$1:$I$89,3,0)*VLOOKUP('Données projet'!$B$12,Paramètres!$A$1:$I$89,5,0)</f>
        <v>112.18480000000002</v>
      </c>
      <c r="CA27" s="14">
        <f t="shared" si="39"/>
        <v>29.845149809641946</v>
      </c>
      <c r="CB27" s="22">
        <f t="shared" si="10"/>
        <v>247.36882925179307</v>
      </c>
      <c r="CC27" s="62">
        <f t="shared" si="11"/>
        <v>533.36882925179304</v>
      </c>
      <c r="CD27" s="62">
        <f ca="1">AVERAGE(OFFSET($CC$3,0,0,'Données projet'!$E$12+1,1))-AVERAGE(OFFSET($H$3,0,0,'Données projet'!$E$12+1,1))</f>
        <v>348.62416478262719</v>
      </c>
      <c r="CE27" s="62">
        <f t="shared" si="40"/>
        <v>371.70674704563288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3.436713920336941</v>
      </c>
      <c r="CN27" s="24">
        <f t="shared" si="12"/>
        <v>3.436713920336941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371.7282125501186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411.73139494306878</v>
      </c>
      <c r="AO28" s="62">
        <f t="shared" si="36"/>
        <v>254.25036207346591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131</v>
      </c>
      <c r="BB28" s="13">
        <f>VLOOKUP(A28,'Données projet'!$A$87:$I$107,9,0)</f>
        <v>15.666666666666666</v>
      </c>
      <c r="BC28" s="13">
        <f t="array" ref="BC28">INDEX(BB:BB,MIN(IF(ISNUMBER(BB28:BB224),ROW(BB28:BB224),"")))</f>
        <v>15.666666666666666</v>
      </c>
      <c r="BD28" s="13">
        <f>IF('Données projet'!$A$88&gt;35,BD27+BC28-BL27,IF(A28&lt;'Données projet'!$A$88,$BA$205^A28,IF(A28='Données projet'!$A$88,'Données projet'!$B$88,BD27+BC28-BL27)))</f>
        <v>131</v>
      </c>
      <c r="BE28" s="14">
        <f>BD28*VLOOKUP('Données projet'!$B$11,Paramètres!$A$1:$I$89,3,0)*VLOOKUP('Données projet'!$B$11,Paramètres!$A$1:$I$89,5,0)</f>
        <v>74.932000000000002</v>
      </c>
      <c r="BF28" s="14">
        <f t="shared" si="37"/>
        <v>20.89335159903294</v>
      </c>
      <c r="BG28" s="22">
        <f t="shared" si="7"/>
        <v>166.89582070164903</v>
      </c>
      <c r="BH28" s="62">
        <f t="shared" si="8"/>
        <v>454.11804292387126</v>
      </c>
      <c r="BI28" s="62">
        <f ca="1">AVERAGE(OFFSET($BH$3,0,0,'Données projet'!$E$11+1,1))-AVERAGE(OFFSET($H$3,0,0,'Données projet'!$E$11+1,1))</f>
        <v>309.71642374647882</v>
      </c>
      <c r="BJ28" s="62">
        <f t="shared" si="38"/>
        <v>266.63880397664315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15.661142272560376</v>
      </c>
      <c r="BS28" s="24">
        <f t="shared" si="9"/>
        <v>15.661142272560376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204</v>
      </c>
      <c r="BW28" s="13">
        <f>VLOOKUP(A28,'Données projet'!$A$113:$I$133,9,0)</f>
        <v>16.399999999999999</v>
      </c>
      <c r="BX28" s="13">
        <f t="array" ref="BX28">INDEX(BW:BW,MIN(IF(ISNUMBER(BW28:BW224),ROW(BW28:BW224),"")))</f>
        <v>16.399999999999999</v>
      </c>
      <c r="BY28" s="13">
        <f>IF('Données projet'!$A$114&gt;35,BY27+BX28-CG27,IF(A28&lt;'Données projet'!$A$114,$BV$205^A28,IF(A28='Données projet'!$A$114,'Données projet'!$B$114,BY27+BX28-CG27)))</f>
        <v>204.00000000000003</v>
      </c>
      <c r="BZ28" s="14">
        <f>BY28*VLOOKUP('Données projet'!$B$12,Paramètres!$A$1:$I$89,3,0)*VLOOKUP('Données projet'!$B$12,Paramètres!$A$1:$I$89,5,0)</f>
        <v>121.99200000000003</v>
      </c>
      <c r="CA28" s="14">
        <f t="shared" si="39"/>
        <v>32.139154469866327</v>
      </c>
      <c r="CB28" s="22">
        <f t="shared" si="10"/>
        <v>268.44509403501723</v>
      </c>
      <c r="CC28" s="62">
        <f t="shared" si="11"/>
        <v>555.66731625723946</v>
      </c>
      <c r="CD28" s="62">
        <f ca="1">AVERAGE(OFFSET($CC$3,0,0,'Données projet'!$E$12+1,1))-AVERAGE(OFFSET($H$3,0,0,'Données projet'!$E$12+1,1))</f>
        <v>348.62416478262719</v>
      </c>
      <c r="CE28" s="62">
        <f t="shared" si="40"/>
        <v>371.70674704563288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36</v>
      </c>
      <c r="CH28" s="17">
        <f>IF(ISNA(VLOOKUP(A28,'Données projet'!$A$113:$I$133,5,0)),0%,VLOOKUP(A28,'Données projet'!$A$113:$I$133,5,0)*VLOOKUP('Données projet'!$B$12,Paramètres!$A$1:$I$89,7,0))</f>
        <v>6.7500000000000004E-2</v>
      </c>
      <c r="CI28" s="17">
        <f>IF(ISNA(VLOOKUP(A28,'Données projet'!$A$113:$I$133,6,0)),0%,VLOOKUP(A28,'Données projet'!$A$113:$I$133,6,0)*VLOOKUP('Données projet'!$B$12,Paramètres!$A$1:$I$89,7,0))</f>
        <v>0.18000000000000002</v>
      </c>
      <c r="CJ28" s="17">
        <f>IF(ISNA(VLOOKUP(A28,'Données projet'!$A$113:$I$133,7,0)),0%,VLOOKUP(A28,'Données projet'!$A$113:$I$133,7,0))</f>
        <v>0.45</v>
      </c>
      <c r="CK28" s="23">
        <f>EXP(-LN(2)/35)*CK27+(1-EXP(-LN(2)/35))/(LN(2)/35)*CG28*CH28*VLOOKUP('Données projet'!$B$12,Paramètres!$A$1:$I$89,3,0)*0.475*44/12</f>
        <v>1.927683872777413</v>
      </c>
      <c r="CL28" s="23">
        <f>EXP(-LN(2)/25)*CL27+(1-EXP(-LN(2)/25))/(LN(2)/25)*Calculateur!CG28*Calculateur!CI28*VLOOKUP('Données projet'!$B$12,Paramètres!$A$1:$I$89,3,0)*0.475*44/12</f>
        <v>5.1202502583070659</v>
      </c>
      <c r="CM28" s="23">
        <f>EXP(-LN(2)/2)*CM27+(1-EXP(-LN(2)/2))/(LN(2)/2)*CG28*CJ28*VLOOKUP('Données projet'!$B$12,Paramètres!$A$1:$I$89,3,0)*0.475*44/12</f>
        <v>13.398737323585845</v>
      </c>
      <c r="CN28" s="24">
        <f t="shared" si="12"/>
        <v>20.446671454670323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371.7282125501186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2">
        <f t="shared" si="5"/>
        <v>444.55179371342422</v>
      </c>
      <c r="AN29" s="62">
        <f ca="1">AVERAGE(OFFSET($AM$3,0,0,'Données projet'!$E$10+1,1))-AVERAGE(OFFSET($H$3,0,0,'Données projet'!$E$10+1,1))</f>
        <v>411.73139494306878</v>
      </c>
      <c r="AO29" s="62">
        <f t="shared" si="36"/>
        <v>254.25036207346591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14.4</v>
      </c>
      <c r="BD29" s="13">
        <f>IF('Données projet'!$A$88&gt;35,BD28+BC29-BL28,IF(A29&lt;'Données projet'!$A$88,$BA$205^A29,IF(A29='Données projet'!$A$88,'Données projet'!$B$88,BD28+BC29-BL28)))</f>
        <v>124.4</v>
      </c>
      <c r="BE29" s="14">
        <f>BD29*VLOOKUP('Données projet'!$B$11,Paramètres!$A$1:$I$89,3,0)*VLOOKUP('Données projet'!$B$11,Paramètres!$A$1:$I$89,5,0)</f>
        <v>71.156800000000004</v>
      </c>
      <c r="BF29" s="14">
        <f t="shared" si="37"/>
        <v>19.960457167255548</v>
      </c>
      <c r="BG29" s="22">
        <f t="shared" si="7"/>
        <v>158.69588956630341</v>
      </c>
      <c r="BH29" s="62">
        <f t="shared" si="8"/>
        <v>447.14033401074789</v>
      </c>
      <c r="BI29" s="62">
        <f ca="1">AVERAGE(OFFSET($BH$3,0,0,'Données projet'!$E$11+1,1))-AVERAGE(OFFSET($H$3,0,0,'Données projet'!$E$11+1,1))</f>
        <v>309.71642374647882</v>
      </c>
      <c r="BJ29" s="62">
        <f t="shared" si="38"/>
        <v>266.63880397664315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11.074099902054741</v>
      </c>
      <c r="BS29" s="24">
        <f t="shared" si="9"/>
        <v>11.074099902054741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17.600000000000001</v>
      </c>
      <c r="BY29" s="13">
        <f>IF('Données projet'!$A$114&gt;35,BY28+BX29-CG28,IF(A29&lt;'Données projet'!$A$114,$BV$205^A29,IF(A29='Données projet'!$A$114,'Données projet'!$B$114,BY28+BX29-CG28)))</f>
        <v>185.60000000000002</v>
      </c>
      <c r="BZ29" s="14">
        <f>BY29*VLOOKUP('Données projet'!$B$12,Paramètres!$A$1:$I$89,3,0)*VLOOKUP('Données projet'!$B$12,Paramètres!$A$1:$I$89,5,0)</f>
        <v>110.98880000000003</v>
      </c>
      <c r="CA29" s="14">
        <f t="shared" si="39"/>
        <v>29.56383208945169</v>
      </c>
      <c r="CB29" s="22">
        <f t="shared" si="10"/>
        <v>244.79583422246174</v>
      </c>
      <c r="CC29" s="62">
        <f t="shared" si="11"/>
        <v>533.24027866690619</v>
      </c>
      <c r="CD29" s="62">
        <f ca="1">AVERAGE(OFFSET($CC$3,0,0,'Données projet'!$E$12+1,1))-AVERAGE(OFFSET($H$3,0,0,'Données projet'!$E$12+1,1))</f>
        <v>348.62416478262719</v>
      </c>
      <c r="CE29" s="62">
        <f t="shared" si="40"/>
        <v>371.70674704563288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1.8898831678033126</v>
      </c>
      <c r="CL29" s="23">
        <f>EXP(-LN(2)/25)*CL28+(1-EXP(-LN(2)/25))/(LN(2)/25)*Calculateur!CG29*Calculateur!CI29*VLOOKUP('Données projet'!$B$12,Paramètres!$A$1:$I$89,3,0)*0.475*44/12</f>
        <v>4.9802367457314007</v>
      </c>
      <c r="CM29" s="23">
        <f>EXP(-LN(2)/2)*CM28+(1-EXP(-LN(2)/2))/(LN(2)/2)*CG29*CJ29*VLOOKUP('Données projet'!$B$12,Paramètres!$A$1:$I$89,3,0)*0.475*44/12</f>
        <v>9.4743380208448436</v>
      </c>
      <c r="CN29" s="24">
        <f t="shared" si="12"/>
        <v>16.344457934379555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371.7282125501186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2">
        <f t="shared" si="5"/>
        <v>461.18906914179763</v>
      </c>
      <c r="AN30" s="62">
        <f ca="1">AVERAGE(OFFSET($AM$3,0,0,'Données projet'!$E$10+1,1))-AVERAGE(OFFSET($H$3,0,0,'Données projet'!$E$10+1,1))</f>
        <v>411.73139494306878</v>
      </c>
      <c r="AO30" s="62">
        <f t="shared" si="36"/>
        <v>254.25036207346591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14.4</v>
      </c>
      <c r="BD30" s="13">
        <f>IF('Données projet'!$A$88&gt;35,BD29+BC30-BL29,IF(A30&lt;'Données projet'!$A$88,$BA$205^A30,IF(A30='Données projet'!$A$88,'Données projet'!$B$88,BD29+BC30-BL29)))</f>
        <v>138.80000000000001</v>
      </c>
      <c r="BE30" s="14">
        <f>BD30*VLOOKUP('Données projet'!$B$11,Paramètres!$A$1:$I$89,3,0)*VLOOKUP('Données projet'!$B$11,Paramètres!$A$1:$I$89,5,0)</f>
        <v>79.393600000000006</v>
      </c>
      <c r="BF30" s="14">
        <f t="shared" si="37"/>
        <v>21.988850581624067</v>
      </c>
      <c r="BG30" s="22">
        <f t="shared" si="7"/>
        <v>176.57443476299522</v>
      </c>
      <c r="BH30" s="62">
        <f t="shared" si="8"/>
        <v>466.24110142966191</v>
      </c>
      <c r="BI30" s="62">
        <f ca="1">AVERAGE(OFFSET($BH$3,0,0,'Données projet'!$E$11+1,1))-AVERAGE(OFFSET($H$3,0,0,'Données projet'!$E$11+1,1))</f>
        <v>309.71642374647882</v>
      </c>
      <c r="BJ30" s="62">
        <f t="shared" si="38"/>
        <v>266.63880397664315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7.8305711362801897</v>
      </c>
      <c r="BS30" s="24">
        <f t="shared" si="9"/>
        <v>7.8305711362801897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17.600000000000001</v>
      </c>
      <c r="BY30" s="13">
        <f>IF('Données projet'!$A$114&gt;35,BY29+BX30-CG29,IF(A30&lt;'Données projet'!$A$114,$BV$205^A30,IF(A30='Données projet'!$A$114,'Données projet'!$B$114,BY29+BX30-CG29)))</f>
        <v>203.20000000000002</v>
      </c>
      <c r="BZ30" s="14">
        <f>BY30*VLOOKUP('Données projet'!$B$12,Paramètres!$A$1:$I$89,3,0)*VLOOKUP('Données projet'!$B$12,Paramètres!$A$1:$I$89,5,0)</f>
        <v>121.51360000000001</v>
      </c>
      <c r="CA30" s="14">
        <f t="shared" si="39"/>
        <v>32.027763694063836</v>
      </c>
      <c r="CB30" s="22">
        <f t="shared" si="10"/>
        <v>267.41787510049454</v>
      </c>
      <c r="CC30" s="62">
        <f t="shared" si="11"/>
        <v>557.08454176716123</v>
      </c>
      <c r="CD30" s="62">
        <f ca="1">AVERAGE(OFFSET($CC$3,0,0,'Données projet'!$E$12+1,1))-AVERAGE(OFFSET($H$3,0,0,'Données projet'!$E$12+1,1))</f>
        <v>348.62416478262719</v>
      </c>
      <c r="CE30" s="62">
        <f t="shared" si="40"/>
        <v>371.70674704563288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1.8528237115976007</v>
      </c>
      <c r="CL30" s="23">
        <f>EXP(-LN(2)/25)*CL29+(1-EXP(-LN(2)/25))/(LN(2)/25)*Calculateur!CG30*Calculateur!CI30*VLOOKUP('Données projet'!$B$12,Paramètres!$A$1:$I$89,3,0)*0.475*44/12</f>
        <v>4.8440519100201076</v>
      </c>
      <c r="CM30" s="23">
        <f>EXP(-LN(2)/2)*CM29+(1-EXP(-LN(2)/2))/(LN(2)/2)*CG30*CJ30*VLOOKUP('Données projet'!$B$12,Paramètres!$A$1:$I$89,3,0)*0.475*44/12</f>
        <v>6.6993686617929233</v>
      </c>
      <c r="CN30" s="24">
        <f t="shared" si="12"/>
        <v>13.396244283410631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371.7282125501186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2">
        <f t="shared" si="5"/>
        <v>477.79374257568782</v>
      </c>
      <c r="AN31" s="62">
        <f ca="1">AVERAGE(OFFSET($AM$3,0,0,'Données projet'!$E$10+1,1))-AVERAGE(OFFSET($H$3,0,0,'Données projet'!$E$10+1,1))</f>
        <v>411.73139494306878</v>
      </c>
      <c r="AO31" s="62">
        <f t="shared" si="36"/>
        <v>254.25036207346591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14.4</v>
      </c>
      <c r="BD31" s="13">
        <f>IF('Données projet'!$A$88&gt;35,BD30+BC31-BL30,IF(A31&lt;'Données projet'!$A$88,$BA$205^A31,IF(A31='Données projet'!$A$88,'Données projet'!$B$88,BD30+BC31-BL30)))</f>
        <v>153.20000000000002</v>
      </c>
      <c r="BE31" s="14">
        <f>BD31*VLOOKUP('Données projet'!$B$11,Paramètres!$A$1:$I$89,3,0)*VLOOKUP('Données projet'!$B$11,Paramètres!$A$1:$I$89,5,0)</f>
        <v>87.630400000000009</v>
      </c>
      <c r="BF31" s="14">
        <f t="shared" si="37"/>
        <v>23.992850113613226</v>
      </c>
      <c r="BG31" s="22">
        <f t="shared" si="7"/>
        <v>194.41049394787638</v>
      </c>
      <c r="BH31" s="62">
        <f t="shared" si="8"/>
        <v>485.29938283676523</v>
      </c>
      <c r="BI31" s="62">
        <f ca="1">AVERAGE(OFFSET($BH$3,0,0,'Données projet'!$E$11+1,1))-AVERAGE(OFFSET($H$3,0,0,'Données projet'!$E$11+1,1))</f>
        <v>309.71642374647882</v>
      </c>
      <c r="BJ31" s="62">
        <f t="shared" si="38"/>
        <v>266.63880397664315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5.5370499510273712</v>
      </c>
      <c r="BS31" s="24">
        <f t="shared" si="9"/>
        <v>5.5370499510273712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17.600000000000001</v>
      </c>
      <c r="BY31" s="13">
        <f>IF('Données projet'!$A$114&gt;35,BY30+BX31-CG30,IF(A31&lt;'Données projet'!$A$114,$BV$205^A31,IF(A31='Données projet'!$A$114,'Données projet'!$B$114,BY30+BX31-CG30)))</f>
        <v>220.8</v>
      </c>
      <c r="BZ31" s="14">
        <f>BY31*VLOOKUP('Données projet'!$B$12,Paramètres!$A$1:$I$89,3,0)*VLOOKUP('Données projet'!$B$12,Paramètres!$A$1:$I$89,5,0)</f>
        <v>132.03840000000002</v>
      </c>
      <c r="CA31" s="14">
        <f t="shared" si="39"/>
        <v>34.466946374534373</v>
      </c>
      <c r="CB31" s="22">
        <f t="shared" si="10"/>
        <v>289.99681160231404</v>
      </c>
      <c r="CC31" s="62">
        <f t="shared" si="11"/>
        <v>580.8857004912029</v>
      </c>
      <c r="CD31" s="62">
        <f ca="1">AVERAGE(OFFSET($CC$3,0,0,'Données projet'!$E$12+1,1))-AVERAGE(OFFSET($H$3,0,0,'Données projet'!$E$12+1,1))</f>
        <v>348.62416478262719</v>
      </c>
      <c r="CE31" s="62">
        <f t="shared" si="40"/>
        <v>371.70674704563288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1.8164909687240467</v>
      </c>
      <c r="CL31" s="23">
        <f>EXP(-LN(2)/25)*CL30+(1-EXP(-LN(2)/25))/(LN(2)/25)*Calculateur!CG31*Calculateur!CI31*VLOOKUP('Données projet'!$B$12,Paramètres!$A$1:$I$89,3,0)*0.475*44/12</f>
        <v>4.7115910558029892</v>
      </c>
      <c r="CM31" s="23">
        <f>EXP(-LN(2)/2)*CM30+(1-EXP(-LN(2)/2))/(LN(2)/2)*CG31*CJ31*VLOOKUP('Données projet'!$B$12,Paramètres!$A$1:$I$89,3,0)*0.475*44/12</f>
        <v>4.7371690104224227</v>
      </c>
      <c r="CN31" s="24">
        <f t="shared" si="12"/>
        <v>11.265251034949458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371.7282125501186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91.26</v>
      </c>
      <c r="AK32" s="14">
        <f t="shared" si="35"/>
        <v>24.868860330902777</v>
      </c>
      <c r="AL32" s="22">
        <f t="shared" si="4"/>
        <v>202.25776507632233</v>
      </c>
      <c r="AM32" s="62">
        <f t="shared" si="5"/>
        <v>494.36887618743344</v>
      </c>
      <c r="AN32" s="62">
        <f ca="1">AVERAGE(OFFSET($AM$3,0,0,'Données projet'!$E$10+1,1))-AVERAGE(OFFSET($H$3,0,0,'Données projet'!$E$10+1,1))</f>
        <v>411.73139494306878</v>
      </c>
      <c r="AO32" s="62">
        <f t="shared" si="36"/>
        <v>254.25036207346591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14.4</v>
      </c>
      <c r="BD32" s="13">
        <f>IF('Données projet'!$A$88&gt;35,BD31+BC32-BL31,IF(A32&lt;'Données projet'!$A$88,$BA$205^A32,IF(A32='Données projet'!$A$88,'Données projet'!$B$88,BD31+BC32-BL31)))</f>
        <v>167.60000000000002</v>
      </c>
      <c r="BE32" s="14">
        <f>BD32*VLOOKUP('Données projet'!$B$11,Paramètres!$A$1:$I$89,3,0)*VLOOKUP('Données projet'!$B$11,Paramètres!$A$1:$I$89,5,0)</f>
        <v>95.867200000000025</v>
      </c>
      <c r="BF32" s="14">
        <f t="shared" si="37"/>
        <v>25.975009492526002</v>
      </c>
      <c r="BG32" s="22">
        <f t="shared" si="7"/>
        <v>212.20851486614947</v>
      </c>
      <c r="BH32" s="62">
        <f t="shared" si="8"/>
        <v>504.31962597726061</v>
      </c>
      <c r="BI32" s="62">
        <f ca="1">AVERAGE(OFFSET($BH$3,0,0,'Données projet'!$E$11+1,1))-AVERAGE(OFFSET($H$3,0,0,'Données projet'!$E$11+1,1))</f>
        <v>309.71642374647882</v>
      </c>
      <c r="BJ32" s="62">
        <f t="shared" si="38"/>
        <v>266.63880397664315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3.9152855681400953</v>
      </c>
      <c r="BS32" s="24">
        <f t="shared" si="9"/>
        <v>3.9152855681400953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17.600000000000001</v>
      </c>
      <c r="BY32" s="13">
        <f>IF('Données projet'!$A$114&gt;35,BY31+BX32-CG31,IF(A32&lt;'Données projet'!$A$114,$BV$205^A32,IF(A32='Données projet'!$A$114,'Données projet'!$B$114,BY31+BX32-CG31)))</f>
        <v>238.4</v>
      </c>
      <c r="BZ32" s="14">
        <f>BY32*VLOOKUP('Données projet'!$B$12,Paramètres!$A$1:$I$89,3,0)*VLOOKUP('Données projet'!$B$12,Paramètres!$A$1:$I$89,5,0)</f>
        <v>142.56319999999999</v>
      </c>
      <c r="CA32" s="14">
        <f t="shared" si="39"/>
        <v>36.883577154665602</v>
      </c>
      <c r="CB32" s="22">
        <f t="shared" si="10"/>
        <v>312.53647021104257</v>
      </c>
      <c r="CC32" s="62">
        <f t="shared" si="11"/>
        <v>604.64758132215366</v>
      </c>
      <c r="CD32" s="62">
        <f ca="1">AVERAGE(OFFSET($CC$3,0,0,'Données projet'!$E$12+1,1))-AVERAGE(OFFSET($H$3,0,0,'Données projet'!$E$12+1,1))</f>
        <v>348.62416478262719</v>
      </c>
      <c r="CE32" s="62">
        <f t="shared" si="40"/>
        <v>371.70674704563288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1.7808706887774581</v>
      </c>
      <c r="CL32" s="23">
        <f>EXP(-LN(2)/25)*CL31+(1-EXP(-LN(2)/25))/(LN(2)/25)*Calculateur!CG32*Calculateur!CI32*VLOOKUP('Données projet'!$B$12,Paramètres!$A$1:$I$89,3,0)*0.475*44/12</f>
        <v>4.5827523506102512</v>
      </c>
      <c r="CM32" s="23">
        <f>EXP(-LN(2)/2)*CM31+(1-EXP(-LN(2)/2))/(LN(2)/2)*CG32*CJ32*VLOOKUP('Données projet'!$B$12,Paramètres!$A$1:$I$89,3,0)*0.475*44/12</f>
        <v>3.3496843308964621</v>
      </c>
      <c r="CN32" s="24">
        <f t="shared" si="12"/>
        <v>9.7133073702841717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371.7282125501186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2">
        <f t="shared" si="5"/>
        <v>510.91702874013259</v>
      </c>
      <c r="AN33" s="62">
        <f ca="1">AVERAGE(OFFSET($AM$3,0,0,'Données projet'!$E$10+1,1))-AVERAGE(OFFSET($H$3,0,0,'Données projet'!$E$10+1,1))</f>
        <v>411.73139494306878</v>
      </c>
      <c r="AO33" s="62">
        <f t="shared" si="36"/>
        <v>254.25036207346591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182</v>
      </c>
      <c r="BB33" s="13">
        <f>VLOOKUP(A33,'Données projet'!$A$87:$I$107,9,0)</f>
        <v>14.4</v>
      </c>
      <c r="BC33" s="13">
        <f t="array" ref="BC33">INDEX(BB:BB,MIN(IF(ISNUMBER(BB33:BB229),ROW(BB33:BB229),"")))</f>
        <v>14.4</v>
      </c>
      <c r="BD33" s="13">
        <f>IF('Données projet'!$A$88&gt;35,BD32+BC33-BL32,IF(A33&lt;'Données projet'!$A$88,$BA$205^A33,IF(A33='Données projet'!$A$88,'Données projet'!$B$88,BD32+BC33-BL32)))</f>
        <v>182.00000000000003</v>
      </c>
      <c r="BE33" s="14">
        <f>BD33*VLOOKUP('Données projet'!$B$11,Paramètres!$A$1:$I$89,3,0)*VLOOKUP('Données projet'!$B$11,Paramètres!$A$1:$I$89,5,0)</f>
        <v>104.10400000000001</v>
      </c>
      <c r="BF33" s="14">
        <f t="shared" si="37"/>
        <v>27.937418551182677</v>
      </c>
      <c r="BG33" s="22">
        <f t="shared" si="7"/>
        <v>229.97213730997649</v>
      </c>
      <c r="BH33" s="62">
        <f t="shared" si="8"/>
        <v>523.30547064330983</v>
      </c>
      <c r="BI33" s="62">
        <f ca="1">AVERAGE(OFFSET($BH$3,0,0,'Données projet'!$E$11+1,1))-AVERAGE(OFFSET($H$3,0,0,'Données projet'!$E$11+1,1))</f>
        <v>309.71642374647882</v>
      </c>
      <c r="BJ33" s="62">
        <f t="shared" si="38"/>
        <v>266.63880397664315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36</v>
      </c>
      <c r="BM33" s="17">
        <f>IF(ISNA(VLOOKUP(A33,'Données projet'!$A$87:$I$107,5,0)),0%,VLOOKUP(A33,'Données projet'!$A$87:$I$107,5,0)*VLOOKUP('Données projet'!$B$11,Paramètres!$A$1:$I$89,7,0))</f>
        <v>6.7500000000000004E-2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0.45</v>
      </c>
      <c r="BP33" s="23">
        <f>EXP(-LN(2)/35)*BP32+(1-EXP(-LN(2)/35))/(LN(2)/35)*BL33*BM33*VLOOKUP('Données projet'!$B$11,Paramètres!$A$1:$I$89,3,0)*0.475*44/12</f>
        <v>1.8438715304827431</v>
      </c>
      <c r="BQ33" s="23">
        <f>EXP(-LN(2)/25)*BQ32+(1-EXP(-LN(2)/25))/(LN(2)/25)*Calculateur!BL33*Calculateur!BN33*VLOOKUP('Données projet'!$B$11,Paramètres!$A$1:$I$89,3,0)*0.475*44/12</f>
        <v>4.8976306818589324</v>
      </c>
      <c r="BR33" s="23">
        <f>EXP(-LN(2)/2)*BR32+(1-EXP(-LN(2)/2))/(LN(2)/2)*BL33*BO33*VLOOKUP('Données projet'!$B$11,Paramètres!$A$1:$I$89,3,0)*0.475*44/12</f>
        <v>13.260242337312928</v>
      </c>
      <c r="BS33" s="24">
        <f t="shared" si="9"/>
        <v>20.001744549654603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256</v>
      </c>
      <c r="BW33" s="13">
        <f>VLOOKUP(A33,'Données projet'!$A$113:$I$133,9,0)</f>
        <v>17.600000000000001</v>
      </c>
      <c r="BX33" s="13">
        <f t="array" ref="BX33">INDEX(BW:BW,MIN(IF(ISNUMBER(BW33:BW229),ROW(BW33:BW229),"")))</f>
        <v>17.600000000000001</v>
      </c>
      <c r="BY33" s="13">
        <f>IF('Données projet'!$A$114&gt;35,BY32+BX33-CG32,IF(A33&lt;'Données projet'!$A$114,$BV$205^A33,IF(A33='Données projet'!$A$114,'Données projet'!$B$114,BY32+BX33-CG32)))</f>
        <v>256</v>
      </c>
      <c r="BZ33" s="14">
        <f>BY33*VLOOKUP('Données projet'!$B$12,Paramètres!$A$1:$I$89,3,0)*VLOOKUP('Données projet'!$B$12,Paramètres!$A$1:$I$89,5,0)</f>
        <v>153.08800000000002</v>
      </c>
      <c r="CA33" s="14">
        <f t="shared" si="39"/>
        <v>39.27951026543515</v>
      </c>
      <c r="CB33" s="22">
        <f t="shared" si="10"/>
        <v>335.04008037896625</v>
      </c>
      <c r="CC33" s="62">
        <f t="shared" si="11"/>
        <v>628.37341371229957</v>
      </c>
      <c r="CD33" s="62">
        <f ca="1">AVERAGE(OFFSET($CC$3,0,0,'Données projet'!$E$12+1,1))-AVERAGE(OFFSET($H$3,0,0,'Données projet'!$E$12+1,1))</f>
        <v>348.62416478262719</v>
      </c>
      <c r="CE33" s="62">
        <f t="shared" si="40"/>
        <v>371.70674704563288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54</v>
      </c>
      <c r="CH33" s="17">
        <f>IF(ISNA(VLOOKUP(A33,'Données projet'!$A$113:$I$133,5,0)),0%,VLOOKUP(A33,'Données projet'!$A$113:$I$133,5,0)*VLOOKUP('Données projet'!$B$12,Paramètres!$A$1:$I$89,7,0))</f>
        <v>9.0000000000000011E-2</v>
      </c>
      <c r="CI33" s="17">
        <f>IF(ISNA(VLOOKUP(A33,'Données projet'!$A$113:$I$133,6,0)),0%,VLOOKUP(A33,'Données projet'!$A$113:$I$133,6,0)*VLOOKUP('Données projet'!$B$12,Paramètres!$A$1:$I$89,7,0))</f>
        <v>0.18000000000000002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5.6013166463492237</v>
      </c>
      <c r="CL33" s="23">
        <f>EXP(-LN(2)/25)*CL32+(1-EXP(-LN(2)/25))/(LN(2)/25)*Calculateur!CG33*Calculateur!CI33*VLOOKUP('Données projet'!$B$12,Paramètres!$A$1:$I$89,3,0)*0.475*44/12</f>
        <v>12.137812134046939</v>
      </c>
      <c r="CM33" s="23">
        <f>EXP(-LN(2)/2)*CM32+(1-EXP(-LN(2)/2))/(LN(2)/2)*CG33*CJ33*VLOOKUP('Données projet'!$B$12,Paramètres!$A$1:$I$89,3,0)*0.475*44/12</f>
        <v>16.993402645901067</v>
      </c>
      <c r="CN33" s="24">
        <f t="shared" si="12"/>
        <v>34.732531426297228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371.7282125501186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411.73139494306878</v>
      </c>
      <c r="AO34" s="62">
        <f t="shared" si="36"/>
        <v>254.25036207346591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16.600000000000001</v>
      </c>
      <c r="BD34" s="13">
        <f>IF('Données projet'!$A$88&gt;35,BD33+BC34-BL33,IF(A34&lt;'Données projet'!$A$88,$BA$205^A34,IF(A34='Données projet'!$A$88,'Données projet'!$B$88,BD33+BC34-BL33)))</f>
        <v>162.60000000000002</v>
      </c>
      <c r="BE34" s="14">
        <f>BD34*VLOOKUP('Données projet'!$B$11,Paramètres!$A$1:$I$89,3,0)*VLOOKUP('Données projet'!$B$11,Paramètres!$A$1:$I$89,5,0)</f>
        <v>93.007200000000012</v>
      </c>
      <c r="BF34" s="14">
        <f t="shared" si="37"/>
        <v>25.289096064617418</v>
      </c>
      <c r="BG34" s="22">
        <f t="shared" si="7"/>
        <v>206.03271564587533</v>
      </c>
      <c r="BH34" s="62">
        <f t="shared" si="8"/>
        <v>499.36604897920864</v>
      </c>
      <c r="BI34" s="62">
        <f ca="1">AVERAGE(OFFSET($BH$3,0,0,'Données projet'!$E$11+1,1))-AVERAGE(OFFSET($H$3,0,0,'Données projet'!$E$11+1,1))</f>
        <v>309.71642374647882</v>
      </c>
      <c r="BJ34" s="62">
        <f t="shared" si="38"/>
        <v>266.63880397664315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1.8077143344205602</v>
      </c>
      <c r="BQ34" s="23">
        <f>EXP(-LN(2)/25)*BQ33+(1-EXP(-LN(2)/25))/(LN(2)/25)*Calculateur!BL34*Calculateur!BN34*VLOOKUP('Données projet'!$B$11,Paramètres!$A$1:$I$89,3,0)*0.475*44/12</f>
        <v>4.7637047133082957</v>
      </c>
      <c r="BR34" s="23">
        <f>EXP(-LN(2)/2)*BR33+(1-EXP(-LN(2)/2))/(LN(2)/2)*BL34*BO34*VLOOKUP('Données projet'!$B$11,Paramètres!$A$1:$I$89,3,0)*0.475*44/12</f>
        <v>9.3764072768909266</v>
      </c>
      <c r="BS34" s="24">
        <f t="shared" si="9"/>
        <v>15.947826324619783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18.8</v>
      </c>
      <c r="BY34" s="13">
        <f>IF('Données projet'!$A$114&gt;35,BY33+BX34-CG33,IF(A34&lt;'Données projet'!$A$114,$BV$205^A34,IF(A34='Données projet'!$A$114,'Données projet'!$B$114,BY33+BX34-CG33)))</f>
        <v>220.8</v>
      </c>
      <c r="BZ34" s="14">
        <f>BY34*VLOOKUP('Données projet'!$B$12,Paramètres!$A$1:$I$89,3,0)*VLOOKUP('Données projet'!$B$12,Paramètres!$A$1:$I$89,5,0)</f>
        <v>132.03840000000002</v>
      </c>
      <c r="CA34" s="14">
        <f t="shared" si="39"/>
        <v>34.466946374534373</v>
      </c>
      <c r="CB34" s="22">
        <f t="shared" si="10"/>
        <v>289.99681160231404</v>
      </c>
      <c r="CC34" s="62">
        <f t="shared" si="11"/>
        <v>583.33014493564735</v>
      </c>
      <c r="CD34" s="62">
        <f ca="1">AVERAGE(OFFSET($CC$3,0,0,'Données projet'!$E$12+1,1))-AVERAGE(OFFSET($H$3,0,0,'Données projet'!$E$12+1,1))</f>
        <v>348.62416478262719</v>
      </c>
      <c r="CE34" s="62">
        <f t="shared" si="40"/>
        <v>371.70674704563288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5.4914782433801212</v>
      </c>
      <c r="CL34" s="23">
        <f>EXP(-LN(2)/25)*CL33+(1-EXP(-LN(2)/25))/(LN(2)/25)*Calculateur!CG34*Calculateur!CI34*VLOOKUP('Données projet'!$B$12,Paramètres!$A$1:$I$89,3,0)*0.475*44/12</f>
        <v>11.805903022941626</v>
      </c>
      <c r="CM34" s="23">
        <f>EXP(-LN(2)/2)*CM33+(1-EXP(-LN(2)/2))/(LN(2)/2)*CG34*CJ34*VLOOKUP('Données projet'!$B$12,Paramètres!$A$1:$I$89,3,0)*0.475*44/12</f>
        <v>12.016150246350065</v>
      </c>
      <c r="CN34" s="24">
        <f t="shared" si="12"/>
        <v>29.313531512671812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371.7282125501186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411.73139494306878</v>
      </c>
      <c r="AO35" s="62">
        <f t="shared" si="36"/>
        <v>254.25036207346591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16.600000000000001</v>
      </c>
      <c r="BD35" s="13">
        <f>IF('Données projet'!$A$88&gt;35,BD34+BC35-BL34,IF(A35&lt;'Données projet'!$A$88,$BA$205^A35,IF(A35='Données projet'!$A$88,'Données projet'!$B$88,BD34+BC35-BL34)))</f>
        <v>179.20000000000002</v>
      </c>
      <c r="BE35" s="14">
        <f>BD35*VLOOKUP('Données projet'!$B$11,Paramètres!$A$1:$I$89,3,0)*VLOOKUP('Données projet'!$B$11,Paramètres!$A$1:$I$89,5,0)</f>
        <v>102.50240000000002</v>
      </c>
      <c r="BF35" s="14">
        <f t="shared" si="37"/>
        <v>27.557299572196182</v>
      </c>
      <c r="BG35" s="22">
        <f t="shared" si="7"/>
        <v>226.52064342157504</v>
      </c>
      <c r="BH35" s="62">
        <f t="shared" si="8"/>
        <v>519.85397675490833</v>
      </c>
      <c r="BI35" s="62">
        <f ca="1">AVERAGE(OFFSET($BH$3,0,0,'Données projet'!$E$11+1,1))-AVERAGE(OFFSET($H$3,0,0,'Données projet'!$E$11+1,1))</f>
        <v>309.71642374647882</v>
      </c>
      <c r="BJ35" s="62">
        <f t="shared" si="38"/>
        <v>266.63880397664315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1.7722661589194446</v>
      </c>
      <c r="BQ35" s="23">
        <f>EXP(-LN(2)/25)*BQ34+(1-EXP(-LN(2)/25))/(LN(2)/25)*Calculateur!BL35*Calculateur!BN35*VLOOKUP('Données projet'!$B$11,Paramètres!$A$1:$I$89,3,0)*0.475*44/12</f>
        <v>4.6334409574105369</v>
      </c>
      <c r="BR35" s="23">
        <f>EXP(-LN(2)/2)*BR34+(1-EXP(-LN(2)/2))/(LN(2)/2)*BL35*BO35*VLOOKUP('Données projet'!$B$11,Paramètres!$A$1:$I$89,3,0)*0.475*44/12</f>
        <v>6.6301211686564647</v>
      </c>
      <c r="BS35" s="24">
        <f t="shared" si="9"/>
        <v>13.035828284986447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18.8</v>
      </c>
      <c r="BY35" s="13">
        <f>IF('Données projet'!$A$114&gt;35,BY34+BX35-CG34,IF(A35&lt;'Données projet'!$A$114,$BV$205^A35,IF(A35='Données projet'!$A$114,'Données projet'!$B$114,BY34+BX35-CG34)))</f>
        <v>239.60000000000002</v>
      </c>
      <c r="BZ35" s="14">
        <f>BY35*VLOOKUP('Données projet'!$B$12,Paramètres!$A$1:$I$89,3,0)*VLOOKUP('Données projet'!$B$12,Paramètres!$A$1:$I$89,5,0)</f>
        <v>143.28080000000003</v>
      </c>
      <c r="CA35" s="14">
        <f t="shared" si="39"/>
        <v>37.047574465948976</v>
      </c>
      <c r="CB35" s="22">
        <f t="shared" si="10"/>
        <v>314.07191886152782</v>
      </c>
      <c r="CC35" s="62">
        <f t="shared" si="11"/>
        <v>607.40525219486108</v>
      </c>
      <c r="CD35" s="62">
        <f ca="1">AVERAGE(OFFSET($CC$3,0,0,'Données projet'!$E$12+1,1))-AVERAGE(OFFSET($H$3,0,0,'Données projet'!$E$12+1,1))</f>
        <v>348.62416478262719</v>
      </c>
      <c r="CE35" s="62">
        <f t="shared" si="40"/>
        <v>371.70674704563288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5.3837937044984328</v>
      </c>
      <c r="CL35" s="23">
        <f>EXP(-LN(2)/25)*CL34+(1-EXP(-LN(2)/25))/(LN(2)/25)*Calculateur!CG35*Calculateur!CI35*VLOOKUP('Données projet'!$B$12,Paramètres!$A$1:$I$89,3,0)*0.475*44/12</f>
        <v>11.483069983933831</v>
      </c>
      <c r="CM35" s="23">
        <f>EXP(-LN(2)/2)*CM34+(1-EXP(-LN(2)/2))/(LN(2)/2)*CG35*CJ35*VLOOKUP('Données projet'!$B$12,Paramètres!$A$1:$I$89,3,0)*0.475*44/12</f>
        <v>8.4967013229505355</v>
      </c>
      <c r="CN35" s="24">
        <f t="shared" si="12"/>
        <v>25.3635650113828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371.7282125501186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411.73139494306878</v>
      </c>
      <c r="AO36" s="62">
        <f t="shared" si="36"/>
        <v>254.25036207346591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16.600000000000001</v>
      </c>
      <c r="BD36" s="13">
        <f>IF('Données projet'!$A$88&gt;35,BD35+BC36-BL35,IF(A36&lt;'Données projet'!$A$88,$BA$205^A36,IF(A36='Données projet'!$A$88,'Données projet'!$B$88,BD35+BC36-BL35)))</f>
        <v>195.8</v>
      </c>
      <c r="BE36" s="14">
        <f>BD36*VLOOKUP('Données projet'!$B$11,Paramètres!$A$1:$I$89,3,0)*VLOOKUP('Données projet'!$B$11,Paramètres!$A$1:$I$89,5,0)</f>
        <v>111.99760000000001</v>
      </c>
      <c r="BF36" s="14">
        <f t="shared" si="37"/>
        <v>29.801140607184838</v>
      </c>
      <c r="BG36" s="22">
        <f t="shared" si="7"/>
        <v>246.96613989084696</v>
      </c>
      <c r="BH36" s="62">
        <f t="shared" si="8"/>
        <v>540.29947322418025</v>
      </c>
      <c r="BI36" s="62">
        <f ca="1">AVERAGE(OFFSET($BH$3,0,0,'Données projet'!$E$11+1,1))-AVERAGE(OFFSET($H$3,0,0,'Données projet'!$E$11+1,1))</f>
        <v>309.71642374647882</v>
      </c>
      <c r="BJ36" s="62">
        <f t="shared" si="38"/>
        <v>266.63880397664315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1.7375131005186537</v>
      </c>
      <c r="BQ36" s="23">
        <f>EXP(-LN(2)/25)*BQ35+(1-EXP(-LN(2)/25))/(LN(2)/25)*Calculateur!BL36*Calculateur!BN36*VLOOKUP('Données projet'!$B$11,Paramètres!$A$1:$I$89,3,0)*0.475*44/12</f>
        <v>4.506739270768076</v>
      </c>
      <c r="BR36" s="23">
        <f>EXP(-LN(2)/2)*BR35+(1-EXP(-LN(2)/2))/(LN(2)/2)*BL36*BO36*VLOOKUP('Données projet'!$B$11,Paramètres!$A$1:$I$89,3,0)*0.475*44/12</f>
        <v>4.6882036384454642</v>
      </c>
      <c r="BS36" s="24">
        <f t="shared" si="9"/>
        <v>10.932456009732194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18.8</v>
      </c>
      <c r="BY36" s="13">
        <f>IF('Données projet'!$A$114&gt;35,BY35+BX36-CG35,IF(A36&lt;'Données projet'!$A$114,$BV$205^A36,IF(A36='Données projet'!$A$114,'Données projet'!$B$114,BY35+BX36-CG35)))</f>
        <v>258.40000000000003</v>
      </c>
      <c r="BZ36" s="14">
        <f>BY36*VLOOKUP('Données projet'!$B$12,Paramètres!$A$1:$I$89,3,0)*VLOOKUP('Données projet'!$B$12,Paramètres!$A$1:$I$89,5,0)</f>
        <v>154.52320000000003</v>
      </c>
      <c r="CA36" s="14">
        <f t="shared" si="39"/>
        <v>39.60471498856284</v>
      </c>
      <c r="CB36" s="22">
        <f t="shared" si="10"/>
        <v>338.10611860508033</v>
      </c>
      <c r="CC36" s="62">
        <f t="shared" si="11"/>
        <v>631.43945193841364</v>
      </c>
      <c r="CD36" s="62">
        <f ca="1">AVERAGE(OFFSET($CC$3,0,0,'Données projet'!$E$12+1,1))-AVERAGE(OFFSET($H$3,0,0,'Données projet'!$E$12+1,1))</f>
        <v>348.62416478262719</v>
      </c>
      <c r="CE36" s="62">
        <f t="shared" si="40"/>
        <v>371.70674704563288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5.2782207937431309</v>
      </c>
      <c r="CL36" s="23">
        <f>EXP(-LN(2)/25)*CL35+(1-EXP(-LN(2)/25))/(LN(2)/25)*Calculateur!CG36*Calculateur!CI36*VLOOKUP('Données projet'!$B$12,Paramètres!$A$1:$I$89,3,0)*0.475*44/12</f>
        <v>11.169064831354754</v>
      </c>
      <c r="CM36" s="23">
        <f>EXP(-LN(2)/2)*CM35+(1-EXP(-LN(2)/2))/(LN(2)/2)*CG36*CJ36*VLOOKUP('Données projet'!$B$12,Paramètres!$A$1:$I$89,3,0)*0.475*44/12</f>
        <v>6.0080751231750336</v>
      </c>
      <c r="CN36" s="24">
        <f t="shared" si="12"/>
        <v>22.455360748272916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371.7282125501186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411.73139494306878</v>
      </c>
      <c r="AO37" s="62">
        <f t="shared" si="36"/>
        <v>254.25036207346591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16.600000000000001</v>
      </c>
      <c r="BD37" s="13">
        <f>IF('Données projet'!$A$88&gt;35,BD36+BC37-BL36,IF(A37&lt;'Données projet'!$A$88,$BA$205^A37,IF(A37='Données projet'!$A$88,'Données projet'!$B$88,BD36+BC37-BL36)))</f>
        <v>212.4</v>
      </c>
      <c r="BE37" s="14">
        <f>BD37*VLOOKUP('Données projet'!$B$11,Paramètres!$A$1:$I$89,3,0)*VLOOKUP('Données projet'!$B$11,Paramètres!$A$1:$I$89,5,0)</f>
        <v>121.4928</v>
      </c>
      <c r="BF37" s="14">
        <f t="shared" si="37"/>
        <v>32.02291946024841</v>
      </c>
      <c r="BG37" s="22">
        <f t="shared" si="7"/>
        <v>267.37321139326599</v>
      </c>
      <c r="BH37" s="62">
        <f t="shared" si="8"/>
        <v>560.7065447265993</v>
      </c>
      <c r="BI37" s="62">
        <f ca="1">AVERAGE(OFFSET($BH$3,0,0,'Données projet'!$E$11+1,1))-AVERAGE(OFFSET($H$3,0,0,'Données projet'!$E$11+1,1))</f>
        <v>309.71642374647882</v>
      </c>
      <c r="BJ37" s="62">
        <f t="shared" si="38"/>
        <v>266.63880397664315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1.7034415283958297</v>
      </c>
      <c r="BQ37" s="23">
        <f>EXP(-LN(2)/25)*BQ36+(1-EXP(-LN(2)/25))/(LN(2)/25)*Calculateur!BL37*Calculateur!BN37*VLOOKUP('Données projet'!$B$11,Paramètres!$A$1:$I$89,3,0)*0.475*44/12</f>
        <v>4.3835022484098047</v>
      </c>
      <c r="BR37" s="23">
        <f>EXP(-LN(2)/2)*BR36+(1-EXP(-LN(2)/2))/(LN(2)/2)*BL37*BO37*VLOOKUP('Données projet'!$B$11,Paramètres!$A$1:$I$89,3,0)*0.475*44/12</f>
        <v>3.3150605843282328</v>
      </c>
      <c r="BS37" s="24">
        <f t="shared" si="9"/>
        <v>9.4020043611338675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18.8</v>
      </c>
      <c r="BY37" s="13">
        <f>IF('Données projet'!$A$114&gt;35,BY36+BX37-CG36,IF(A37&lt;'Données projet'!$A$114,$BV$205^A37,IF(A37='Données projet'!$A$114,'Données projet'!$B$114,BY36+BX37-CG36)))</f>
        <v>277.20000000000005</v>
      </c>
      <c r="BZ37" s="14">
        <f>BY37*VLOOKUP('Données projet'!$B$12,Paramètres!$A$1:$I$89,3,0)*VLOOKUP('Données projet'!$B$12,Paramètres!$A$1:$I$89,5,0)</f>
        <v>165.76560000000003</v>
      </c>
      <c r="CA37" s="14">
        <f t="shared" si="39"/>
        <v>42.140271125684265</v>
      </c>
      <c r="CB37" s="22">
        <f t="shared" si="10"/>
        <v>362.10272554390014</v>
      </c>
      <c r="CC37" s="62">
        <f t="shared" si="11"/>
        <v>655.43605887723345</v>
      </c>
      <c r="CD37" s="62">
        <f ca="1">AVERAGE(OFFSET($CC$3,0,0,'Données projet'!$E$12+1,1))-AVERAGE(OFFSET($H$3,0,0,'Données projet'!$E$12+1,1))</f>
        <v>348.62416478262719</v>
      </c>
      <c r="CE37" s="62">
        <f t="shared" si="40"/>
        <v>371.70674704563288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5.174718103374623</v>
      </c>
      <c r="CL37" s="23">
        <f>EXP(-LN(2)/25)*CL36+(1-EXP(-LN(2)/25))/(LN(2)/25)*Calculateur!CG37*Calculateur!CI37*VLOOKUP('Données projet'!$B$12,Paramètres!$A$1:$I$89,3,0)*0.475*44/12</f>
        <v>10.863646166185767</v>
      </c>
      <c r="CM37" s="23">
        <f>EXP(-LN(2)/2)*CM36+(1-EXP(-LN(2)/2))/(LN(2)/2)*CG37*CJ37*VLOOKUP('Données projet'!$B$12,Paramètres!$A$1:$I$89,3,0)*0.475*44/12</f>
        <v>4.2483506614752686</v>
      </c>
      <c r="CN37" s="24">
        <f t="shared" si="12"/>
        <v>20.286714931035657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371.7282125501186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411.73139494306878</v>
      </c>
      <c r="AO38" s="62">
        <f t="shared" si="36"/>
        <v>254.25036207346591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229</v>
      </c>
      <c r="BB38" s="13">
        <f>VLOOKUP(A38,'Données projet'!$A$87:$I$107,9,0)</f>
        <v>16.600000000000001</v>
      </c>
      <c r="BC38" s="13">
        <f t="array" ref="BC38">INDEX(BB:BB,MIN(IF(ISNUMBER(BB38:BB234),ROW(BB38:BB234),"")))</f>
        <v>16.600000000000001</v>
      </c>
      <c r="BD38" s="13">
        <f>IF('Données projet'!$A$88&gt;35,BD37+BC38-BL37,IF(A38&lt;'Données projet'!$A$88,$BA$205^A38,IF(A38='Données projet'!$A$88,'Données projet'!$B$88,BD37+BC38-BL37)))</f>
        <v>229</v>
      </c>
      <c r="BE38" s="14">
        <f>BD38*VLOOKUP('Données projet'!$B$11,Paramètres!$A$1:$I$89,3,0)*VLOOKUP('Données projet'!$B$11,Paramètres!$A$1:$I$89,5,0)</f>
        <v>130.988</v>
      </c>
      <c r="BF38" s="14">
        <f t="shared" si="37"/>
        <v>34.224556427728572</v>
      </c>
      <c r="BG38" s="22">
        <f t="shared" si="7"/>
        <v>287.74520244496057</v>
      </c>
      <c r="BH38" s="62">
        <f t="shared" si="8"/>
        <v>581.07853577829383</v>
      </c>
      <c r="BI38" s="62">
        <f ca="1">AVERAGE(OFFSET($BH$3,0,0,'Données projet'!$E$11+1,1))-AVERAGE(OFFSET($H$3,0,0,'Données projet'!$E$11+1,1))</f>
        <v>309.71642374647882</v>
      </c>
      <c r="BJ38" s="62">
        <f t="shared" si="38"/>
        <v>266.63880397664315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1.6700380790207274</v>
      </c>
      <c r="BQ38" s="23">
        <f>EXP(-LN(2)/25)*BQ37+(1-EXP(-LN(2)/25))/(LN(2)/25)*Calculateur!BL38*Calculateur!BN38*VLOOKUP('Données projet'!$B$11,Paramètres!$A$1:$I$89,3,0)*0.475*44/12</f>
        <v>4.2636351489086737</v>
      </c>
      <c r="BR38" s="23">
        <f>EXP(-LN(2)/2)*BR37+(1-EXP(-LN(2)/2))/(LN(2)/2)*BL38*BO38*VLOOKUP('Données projet'!$B$11,Paramètres!$A$1:$I$89,3,0)*0.475*44/12</f>
        <v>2.3441018192227321</v>
      </c>
      <c r="BS38" s="24">
        <f t="shared" si="9"/>
        <v>8.277775047152133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296</v>
      </c>
      <c r="BW38" s="13">
        <f>VLOOKUP(A38,'Données projet'!$A$113:$I$133,9,0)</f>
        <v>18.8</v>
      </c>
      <c r="BX38" s="13">
        <f t="array" ref="BX38">INDEX(BW:BW,MIN(IF(ISNUMBER(BW38:BW234),ROW(BW38:BW234),"")))</f>
        <v>18.8</v>
      </c>
      <c r="BY38" s="13">
        <f>IF('Données projet'!$A$114&gt;35,BY37+BX38-CG37,IF(A38&lt;'Données projet'!$A$114,$BV$205^A38,IF(A38='Données projet'!$A$114,'Données projet'!$B$114,BY37+BX38-CG37)))</f>
        <v>296.00000000000006</v>
      </c>
      <c r="BZ38" s="14">
        <f>BY38*VLOOKUP('Données projet'!$B$12,Paramètres!$A$1:$I$89,3,0)*VLOOKUP('Données projet'!$B$12,Paramètres!$A$1:$I$89,5,0)</f>
        <v>177.00800000000004</v>
      </c>
      <c r="CA38" s="14">
        <f t="shared" si="39"/>
        <v>44.65587329900309</v>
      </c>
      <c r="CB38" s="22">
        <f t="shared" si="10"/>
        <v>386.06457932909711</v>
      </c>
      <c r="CC38" s="62">
        <f t="shared" si="11"/>
        <v>679.39791266243037</v>
      </c>
      <c r="CD38" s="62">
        <f ca="1">AVERAGE(OFFSET($CC$3,0,0,'Données projet'!$E$12+1,1))-AVERAGE(OFFSET($H$3,0,0,'Données projet'!$E$12+1,1))</f>
        <v>348.62416478262719</v>
      </c>
      <c r="CE38" s="62">
        <f t="shared" si="40"/>
        <v>371.70674704563288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52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5.0732450376338347</v>
      </c>
      <c r="CL38" s="23">
        <f>EXP(-LN(2)/25)*CL37+(1-EXP(-LN(2)/25))/(LN(2)/25)*Calculateur!CG38*Calculateur!CI38*VLOOKUP('Données projet'!$B$12,Paramètres!$A$1:$I$89,3,0)*0.475*44/12</f>
        <v>10.566579190477094</v>
      </c>
      <c r="CM38" s="23">
        <f>EXP(-LN(2)/2)*CM37+(1-EXP(-LN(2)/2))/(LN(2)/2)*CG38*CJ38*VLOOKUP('Données projet'!$B$12,Paramètres!$A$1:$I$89,3,0)*0.475*44/12</f>
        <v>3.0040375615875172</v>
      </c>
      <c r="CN38" s="24">
        <f t="shared" si="12"/>
        <v>18.643861789698445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371.7282125501186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104.84760000000001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411.73139494306878</v>
      </c>
      <c r="AO39" s="62">
        <f t="shared" si="36"/>
        <v>254.25036207346591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15.2</v>
      </c>
      <c r="BD39" s="13">
        <f>IF('Données projet'!$A$88&gt;35,BD38+BC39-BL38,IF(A39&lt;'Données projet'!$A$88,$BA$205^A39,IF(A39='Données projet'!$A$88,'Données projet'!$B$88,BD38+BC39-BL38)))</f>
        <v>195.2</v>
      </c>
      <c r="BE39" s="14">
        <f>BD39*VLOOKUP('Données projet'!$B$11,Paramètres!$A$1:$I$89,3,0)*VLOOKUP('Données projet'!$B$11,Paramètres!$A$1:$I$89,5,0)</f>
        <v>111.6544</v>
      </c>
      <c r="BF39" s="14">
        <f t="shared" si="37"/>
        <v>29.720434817267506</v>
      </c>
      <c r="BG39" s="22">
        <f t="shared" si="7"/>
        <v>246.22783730674089</v>
      </c>
      <c r="BH39" s="62">
        <f t="shared" si="8"/>
        <v>539.56117064007424</v>
      </c>
      <c r="BI39" s="62">
        <f ca="1">AVERAGE(OFFSET($BH$3,0,0,'Données projet'!$E$11+1,1))-AVERAGE(OFFSET($H$3,0,0,'Données projet'!$E$11+1,1))</f>
        <v>309.71642374647882</v>
      </c>
      <c r="BJ39" s="62">
        <f t="shared" si="38"/>
        <v>266.63880397664315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1.6372896509137784</v>
      </c>
      <c r="BQ39" s="23">
        <f>EXP(-LN(2)/25)*BQ38+(1-EXP(-LN(2)/25))/(LN(2)/25)*Calculateur!BL39*Calculateur!BN39*VLOOKUP('Données projet'!$B$11,Paramètres!$A$1:$I$89,3,0)*0.475*44/12</f>
        <v>4.1470458215469383</v>
      </c>
      <c r="BR39" s="23">
        <f>EXP(-LN(2)/2)*BR38+(1-EXP(-LN(2)/2))/(LN(2)/2)*BL39*BO39*VLOOKUP('Données projet'!$B$11,Paramètres!$A$1:$I$89,3,0)*0.475*44/12</f>
        <v>1.6575302921641164</v>
      </c>
      <c r="BS39" s="24">
        <f t="shared" si="9"/>
        <v>7.4418657646248327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17.600000000000001</v>
      </c>
      <c r="BY39" s="13">
        <f>IF('Données projet'!$A$114&gt;35,BY38+BX39-CG38,IF(A39&lt;'Données projet'!$A$114,$BV$205^A39,IF(A39='Données projet'!$A$114,'Données projet'!$B$114,BY38+BX39-CG38)))</f>
        <v>261.60000000000008</v>
      </c>
      <c r="BZ39" s="14">
        <f>BY39*VLOOKUP('Données projet'!$B$12,Paramètres!$A$1:$I$89,3,0)*VLOOKUP('Données projet'!$B$12,Paramètres!$A$1:$I$89,5,0)</f>
        <v>156.43680000000006</v>
      </c>
      <c r="CA39" s="14">
        <f t="shared" si="39"/>
        <v>40.037775291207829</v>
      </c>
      <c r="CB39" s="22">
        <f t="shared" si="10"/>
        <v>342.1932186321871</v>
      </c>
      <c r="CC39" s="62">
        <f t="shared" si="11"/>
        <v>635.52655196552041</v>
      </c>
      <c r="CD39" s="62">
        <f ca="1">AVERAGE(OFFSET($CC$3,0,0,'Données projet'!$E$12+1,1))-AVERAGE(OFFSET($H$3,0,0,'Données projet'!$E$12+1,1))</f>
        <v>348.62416478262719</v>
      </c>
      <c r="CE39" s="62">
        <f t="shared" si="40"/>
        <v>371.70674704563288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4.9737617968197645</v>
      </c>
      <c r="CL39" s="23">
        <f>EXP(-LN(2)/25)*CL38+(1-EXP(-LN(2)/25))/(LN(2)/25)*Calculateur!CG39*Calculateur!CI39*VLOOKUP('Données projet'!$B$12,Paramètres!$A$1:$I$89,3,0)*0.475*44/12</f>
        <v>10.27763552684125</v>
      </c>
      <c r="CM39" s="23">
        <f>EXP(-LN(2)/2)*CM38+(1-EXP(-LN(2)/2))/(LN(2)/2)*CG39*CJ39*VLOOKUP('Données projet'!$B$12,Paramètres!$A$1:$I$89,3,0)*0.475*44/12</f>
        <v>2.1241753307376343</v>
      </c>
      <c r="CN39" s="24">
        <f t="shared" si="12"/>
        <v>17.375572654398649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371.7282125501186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113.36520000000003</v>
      </c>
      <c r="AK40" s="14">
        <f t="shared" si="35"/>
        <v>30.122456058687614</v>
      </c>
      <c r="AL40" s="22">
        <f t="shared" si="4"/>
        <v>249.9076676355476</v>
      </c>
      <c r="AM40" s="62">
        <f t="shared" si="5"/>
        <v>543.24100096888094</v>
      </c>
      <c r="AN40" s="62">
        <f ca="1">AVERAGE(OFFSET($AM$3,0,0,'Données projet'!$E$10+1,1))-AVERAGE(OFFSET($H$3,0,0,'Données projet'!$E$10+1,1))</f>
        <v>411.73139494306878</v>
      </c>
      <c r="AO40" s="62">
        <f t="shared" si="36"/>
        <v>254.25036207346591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15.2</v>
      </c>
      <c r="BD40" s="13">
        <f>IF('Données projet'!$A$88&gt;35,BD39+BC40-BL39,IF(A40&lt;'Données projet'!$A$88,$BA$205^A40,IF(A40='Données projet'!$A$88,'Données projet'!$B$88,BD39+BC40-BL39)))</f>
        <v>210.39999999999998</v>
      </c>
      <c r="BE40" s="14">
        <f>BD40*VLOOKUP('Données projet'!$B$11,Paramètres!$A$1:$I$89,3,0)*VLOOKUP('Données projet'!$B$11,Paramètres!$A$1:$I$89,5,0)</f>
        <v>120.3488</v>
      </c>
      <c r="BF40" s="14">
        <f t="shared" si="37"/>
        <v>31.756337418906501</v>
      </c>
      <c r="BG40" s="22">
        <f t="shared" si="7"/>
        <v>264.91644767126212</v>
      </c>
      <c r="BH40" s="62">
        <f t="shared" si="8"/>
        <v>558.24978100459543</v>
      </c>
      <c r="BI40" s="62">
        <f ca="1">AVERAGE(OFFSET($BH$3,0,0,'Données projet'!$E$11+1,1))-AVERAGE(OFFSET($H$3,0,0,'Données projet'!$E$11+1,1))</f>
        <v>309.71642374647882</v>
      </c>
      <c r="BJ40" s="62">
        <f t="shared" si="38"/>
        <v>266.63880397664315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1.605183399507438</v>
      </c>
      <c r="BQ40" s="23">
        <f>EXP(-LN(2)/25)*BQ39+(1-EXP(-LN(2)/25))/(LN(2)/25)*Calculateur!BL40*Calculateur!BN40*VLOOKUP('Données projet'!$B$11,Paramètres!$A$1:$I$89,3,0)*0.475*44/12</f>
        <v>4.0336446354730757</v>
      </c>
      <c r="BR40" s="23">
        <f>EXP(-LN(2)/2)*BR39+(1-EXP(-LN(2)/2))/(LN(2)/2)*BL40*BO40*VLOOKUP('Données projet'!$B$11,Paramètres!$A$1:$I$89,3,0)*0.475*44/12</f>
        <v>1.172050909611366</v>
      </c>
      <c r="BS40" s="24">
        <f t="shared" si="9"/>
        <v>6.81087894459188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17.600000000000001</v>
      </c>
      <c r="BY40" s="13">
        <f>IF('Données projet'!$A$114&gt;35,BY39+BX40-CG39,IF(A40&lt;'Données projet'!$A$114,$BV$205^A40,IF(A40='Données projet'!$A$114,'Données projet'!$B$114,BY39+BX40-CG39)))</f>
        <v>279.2000000000001</v>
      </c>
      <c r="BZ40" s="14">
        <f>BY40*VLOOKUP('Données projet'!$B$12,Paramètres!$A$1:$I$89,3,0)*VLOOKUP('Données projet'!$B$12,Paramètres!$A$1:$I$89,5,0)</f>
        <v>166.96160000000006</v>
      </c>
      <c r="CA40" s="14">
        <f t="shared" si="39"/>
        <v>42.408810446399933</v>
      </c>
      <c r="CB40" s="22">
        <f t="shared" si="10"/>
        <v>364.6534648608133</v>
      </c>
      <c r="CC40" s="62">
        <f t="shared" si="11"/>
        <v>657.98679819414656</v>
      </c>
      <c r="CD40" s="62">
        <f ca="1">AVERAGE(OFFSET($CC$3,0,0,'Données projet'!$E$12+1,1))-AVERAGE(OFFSET($H$3,0,0,'Données projet'!$E$12+1,1))</f>
        <v>348.62416478262719</v>
      </c>
      <c r="CE40" s="62">
        <f t="shared" si="40"/>
        <v>371.70674704563288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4.8762293616792727</v>
      </c>
      <c r="CL40" s="23">
        <f>EXP(-LN(2)/25)*CL39+(1-EXP(-LN(2)/25))/(LN(2)/25)*Calculateur!CG40*Calculateur!CI40*VLOOKUP('Données projet'!$B$12,Paramètres!$A$1:$I$89,3,0)*0.475*44/12</f>
        <v>9.996593042882413</v>
      </c>
      <c r="CM40" s="23">
        <f>EXP(-LN(2)/2)*CM39+(1-EXP(-LN(2)/2))/(LN(2)/2)*CG40*CJ40*VLOOKUP('Données projet'!$B$12,Paramètres!$A$1:$I$89,3,0)*0.475*44/12</f>
        <v>1.5020187807937586</v>
      </c>
      <c r="CN40" s="24">
        <f t="shared" si="12"/>
        <v>16.374841185355443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371.7282125501186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411.73139494306878</v>
      </c>
      <c r="AO41" s="62">
        <f t="shared" si="36"/>
        <v>254.25036207346591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15.2</v>
      </c>
      <c r="BD41" s="13">
        <f>IF('Données projet'!$A$88&gt;35,BD40+BC41-BL40,IF(A41&lt;'Données projet'!$A$88,$BA$205^A41,IF(A41='Données projet'!$A$88,'Données projet'!$B$88,BD40+BC41-BL40)))</f>
        <v>225.59999999999997</v>
      </c>
      <c r="BE41" s="14">
        <f>BD41*VLOOKUP('Données projet'!$B$11,Paramètres!$A$1:$I$89,3,0)*VLOOKUP('Données projet'!$B$11,Paramètres!$A$1:$I$89,5,0)</f>
        <v>129.04319999999998</v>
      </c>
      <c r="BF41" s="14">
        <f t="shared" si="37"/>
        <v>33.775175980637393</v>
      </c>
      <c r="BG41" s="22">
        <f t="shared" si="7"/>
        <v>283.57533816627671</v>
      </c>
      <c r="BH41" s="62">
        <f t="shared" si="8"/>
        <v>576.90867149961002</v>
      </c>
      <c r="BI41" s="62">
        <f ca="1">AVERAGE(OFFSET($BH$3,0,0,'Données projet'!$E$11+1,1))-AVERAGE(OFFSET($H$3,0,0,'Données projet'!$E$11+1,1))</f>
        <v>309.71642374647882</v>
      </c>
      <c r="BJ41" s="62">
        <f t="shared" si="38"/>
        <v>266.63880397664315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1.5737067321082963</v>
      </c>
      <c r="BQ41" s="23">
        <f>EXP(-LN(2)/25)*BQ40+(1-EXP(-LN(2)/25))/(LN(2)/25)*Calculateur!BL41*Calculateur!BN41*VLOOKUP('Données projet'!$B$11,Paramètres!$A$1:$I$89,3,0)*0.475*44/12</f>
        <v>3.9233444107959121</v>
      </c>
      <c r="BR41" s="23">
        <f>EXP(-LN(2)/2)*BR40+(1-EXP(-LN(2)/2))/(LN(2)/2)*BL41*BO41*VLOOKUP('Données projet'!$B$11,Paramètres!$A$1:$I$89,3,0)*0.475*44/12</f>
        <v>0.8287651460820582</v>
      </c>
      <c r="BS41" s="24">
        <f t="shared" si="9"/>
        <v>6.3258162889862666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17.600000000000001</v>
      </c>
      <c r="BY41" s="13">
        <f>IF('Données projet'!$A$114&gt;35,BY40+BX41-CG40,IF(A41&lt;'Données projet'!$A$114,$BV$205^A41,IF(A41='Données projet'!$A$114,'Données projet'!$B$114,BY40+BX41-CG40)))</f>
        <v>296.80000000000013</v>
      </c>
      <c r="BZ41" s="14">
        <f>BY41*VLOOKUP('Données projet'!$B$12,Paramètres!$A$1:$I$89,3,0)*VLOOKUP('Données projet'!$B$12,Paramètres!$A$1:$I$89,5,0)</f>
        <v>177.48640000000012</v>
      </c>
      <c r="CA41" s="14">
        <f t="shared" si="39"/>
        <v>44.762499594286361</v>
      </c>
      <c r="CB41" s="22">
        <f t="shared" si="10"/>
        <v>387.08350012671559</v>
      </c>
      <c r="CC41" s="62">
        <f t="shared" si="11"/>
        <v>680.41683346004891</v>
      </c>
      <c r="CD41" s="62">
        <f ca="1">AVERAGE(OFFSET($CC$3,0,0,'Données projet'!$E$12+1,1))-AVERAGE(OFFSET($H$3,0,0,'Données projet'!$E$12+1,1))</f>
        <v>348.62416478262719</v>
      </c>
      <c r="CE41" s="62">
        <f t="shared" si="40"/>
        <v>371.70674704563288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4.7806094781029742</v>
      </c>
      <c r="CL41" s="23">
        <f>EXP(-LN(2)/25)*CL40+(1-EXP(-LN(2)/25))/(LN(2)/25)*Calculateur!CG41*Calculateur!CI41*VLOOKUP('Données projet'!$B$12,Paramètres!$A$1:$I$89,3,0)*0.475*44/12</f>
        <v>9.7232356804268125</v>
      </c>
      <c r="CM41" s="23">
        <f>EXP(-LN(2)/2)*CM40+(1-EXP(-LN(2)/2))/(LN(2)/2)*CG41*CJ41*VLOOKUP('Données projet'!$B$12,Paramètres!$A$1:$I$89,3,0)*0.475*44/12</f>
        <v>1.0620876653688172</v>
      </c>
      <c r="CN41" s="24">
        <f t="shared" si="12"/>
        <v>15.565932823898605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371.7282125501186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411.73139494306878</v>
      </c>
      <c r="AO42" s="62">
        <f t="shared" si="36"/>
        <v>254.25036207346591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15.2</v>
      </c>
      <c r="BD42" s="13">
        <f>IF('Données projet'!$A$88&gt;35,BD41+BC42-BL41,IF(A42&lt;'Données projet'!$A$88,$BA$205^A42,IF(A42='Données projet'!$A$88,'Données projet'!$B$88,BD41+BC42-BL41)))</f>
        <v>240.79999999999995</v>
      </c>
      <c r="BE42" s="14">
        <f>BD42*VLOOKUP('Données projet'!$B$11,Paramètres!$A$1:$I$89,3,0)*VLOOKUP('Données projet'!$B$11,Paramètres!$A$1:$I$89,5,0)</f>
        <v>137.73759999999999</v>
      </c>
      <c r="BF42" s="14">
        <f t="shared" si="37"/>
        <v>35.778231015585945</v>
      </c>
      <c r="BG42" s="22">
        <f t="shared" si="7"/>
        <v>302.20673901881219</v>
      </c>
      <c r="BH42" s="62">
        <f t="shared" si="8"/>
        <v>595.54007235214544</v>
      </c>
      <c r="BI42" s="62">
        <f ca="1">AVERAGE(OFFSET($BH$3,0,0,'Données projet'!$E$11+1,1))-AVERAGE(OFFSET($H$3,0,0,'Données projet'!$E$11+1,1))</f>
        <v>309.71642374647882</v>
      </c>
      <c r="BJ42" s="62">
        <f t="shared" si="38"/>
        <v>266.63880397664315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1.5428473029579801</v>
      </c>
      <c r="BQ42" s="23">
        <f>EXP(-LN(2)/25)*BQ41+(1-EXP(-LN(2)/25))/(LN(2)/25)*Calculateur!BL42*Calculateur!BN42*VLOOKUP('Données projet'!$B$11,Paramètres!$A$1:$I$89,3,0)*0.475*44/12</f>
        <v>3.8160603515629821</v>
      </c>
      <c r="BR42" s="23">
        <f>EXP(-LN(2)/2)*BR41+(1-EXP(-LN(2)/2))/(LN(2)/2)*BL42*BO42*VLOOKUP('Données projet'!$B$11,Paramètres!$A$1:$I$89,3,0)*0.475*44/12</f>
        <v>0.58602545480568302</v>
      </c>
      <c r="BS42" s="24">
        <f t="shared" si="9"/>
        <v>5.9449331093266453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17.600000000000001</v>
      </c>
      <c r="BY42" s="13">
        <f>IF('Données projet'!$A$114&gt;35,BY41+BX42-CG41,IF(A42&lt;'Données projet'!$A$114,$BV$205^A42,IF(A42='Données projet'!$A$114,'Données projet'!$B$114,BY41+BX42-CG41)))</f>
        <v>314.40000000000015</v>
      </c>
      <c r="BZ42" s="14">
        <f>BY42*VLOOKUP('Données projet'!$B$12,Paramètres!$A$1:$I$89,3,0)*VLOOKUP('Données projet'!$B$12,Paramètres!$A$1:$I$89,5,0)</f>
        <v>188.01120000000012</v>
      </c>
      <c r="CA42" s="14">
        <f t="shared" si="39"/>
        <v>47.099988496591031</v>
      </c>
      <c r="CB42" s="22">
        <f t="shared" si="10"/>
        <v>409.48531996489623</v>
      </c>
      <c r="CC42" s="62">
        <f t="shared" si="11"/>
        <v>702.81865329822949</v>
      </c>
      <c r="CD42" s="62">
        <f ca="1">AVERAGE(OFFSET($CC$3,0,0,'Données projet'!$E$12+1,1))-AVERAGE(OFFSET($H$3,0,0,'Données projet'!$E$12+1,1))</f>
        <v>348.62416478262719</v>
      </c>
      <c r="CE42" s="62">
        <f t="shared" si="40"/>
        <v>371.70674704563288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4.686864642121237</v>
      </c>
      <c r="CL42" s="23">
        <f>EXP(-LN(2)/25)*CL41+(1-EXP(-LN(2)/25))/(LN(2)/25)*Calculateur!CG42*Calculateur!CI42*VLOOKUP('Données projet'!$B$12,Paramètres!$A$1:$I$89,3,0)*0.475*44/12</f>
        <v>9.4573532894227998</v>
      </c>
      <c r="CM42" s="23">
        <f>EXP(-LN(2)/2)*CM41+(1-EXP(-LN(2)/2))/(LN(2)/2)*CG42*CJ42*VLOOKUP('Données projet'!$B$12,Paramètres!$A$1:$I$89,3,0)*0.475*44/12</f>
        <v>0.75100939039687931</v>
      </c>
      <c r="CN42" s="24">
        <f t="shared" si="12"/>
        <v>14.895227321940917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371.7282125501186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138.91800000000003</v>
      </c>
      <c r="AK43" s="14">
        <f t="shared" si="35"/>
        <v>36.049022673886341</v>
      </c>
      <c r="AL43" s="22">
        <f t="shared" si="4"/>
        <v>304.73423115701877</v>
      </c>
      <c r="AM43" s="62">
        <f t="shared" si="5"/>
        <v>598.06756449035208</v>
      </c>
      <c r="AN43" s="62">
        <f ca="1">AVERAGE(OFFSET($AM$3,0,0,'Données projet'!$E$10+1,1))-AVERAGE(OFFSET($H$3,0,0,'Données projet'!$E$10+1,1))</f>
        <v>411.73139494306878</v>
      </c>
      <c r="AO43" s="62">
        <f t="shared" si="36"/>
        <v>254.25036207346591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256</v>
      </c>
      <c r="BB43" s="13">
        <f>VLOOKUP(A43,'Données projet'!$A$87:$I$107,9,0)</f>
        <v>15.2</v>
      </c>
      <c r="BC43" s="13">
        <f t="array" ref="BC43">INDEX(BB:BB,MIN(IF(ISNUMBER(BB43:BB239),ROW(BB43:BB239),"")))</f>
        <v>15.2</v>
      </c>
      <c r="BD43" s="13">
        <f>IF('Données projet'!$A$88&gt;35,BD42+BC43-BL42,IF(A43&lt;'Données projet'!$A$88,$BA$205^A43,IF(A43='Données projet'!$A$88,'Données projet'!$B$88,BD42+BC43-BL42)))</f>
        <v>255.99999999999994</v>
      </c>
      <c r="BE43" s="14">
        <f>BD43*VLOOKUP('Données projet'!$B$11,Paramètres!$A$1:$I$89,3,0)*VLOOKUP('Données projet'!$B$11,Paramètres!$A$1:$I$89,5,0)</f>
        <v>146.43199999999996</v>
      </c>
      <c r="BF43" s="14">
        <f t="shared" si="37"/>
        <v>37.766612239306838</v>
      </c>
      <c r="BG43" s="22">
        <f t="shared" si="7"/>
        <v>320.81258298345932</v>
      </c>
      <c r="BH43" s="62">
        <f t="shared" si="8"/>
        <v>614.14591631679264</v>
      </c>
      <c r="BI43" s="62">
        <f ca="1">AVERAGE(OFFSET($BH$3,0,0,'Données projet'!$E$11+1,1))-AVERAGE(OFFSET($H$3,0,0,'Données projet'!$E$11+1,1))</f>
        <v>309.71642374647882</v>
      </c>
      <c r="BJ43" s="62">
        <f t="shared" si="38"/>
        <v>266.63880397664315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1.5125930083909085</v>
      </c>
      <c r="BQ43" s="23">
        <f>EXP(-LN(2)/25)*BQ42+(1-EXP(-LN(2)/25))/(LN(2)/25)*Calculateur!BL43*Calculateur!BN43*VLOOKUP('Données projet'!$B$11,Paramètres!$A$1:$I$89,3,0)*0.475*44/12</f>
        <v>3.7117099805716003</v>
      </c>
      <c r="BR43" s="23">
        <f>EXP(-LN(2)/2)*BR42+(1-EXP(-LN(2)/2))/(LN(2)/2)*BL43*BO43*VLOOKUP('Données projet'!$B$11,Paramètres!$A$1:$I$89,3,0)*0.475*44/12</f>
        <v>0.4143825730410291</v>
      </c>
      <c r="BS43" s="24">
        <f t="shared" si="9"/>
        <v>5.6386855620035377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332</v>
      </c>
      <c r="BW43" s="13">
        <f>VLOOKUP(A43,'Données projet'!$A$113:$I$133,9,0)</f>
        <v>17.600000000000001</v>
      </c>
      <c r="BX43" s="13">
        <f t="array" ref="BX43">INDEX(BW:BW,MIN(IF(ISNUMBER(BW43:BW239),ROW(BW43:BW239),"")))</f>
        <v>17.600000000000001</v>
      </c>
      <c r="BY43" s="13">
        <f>IF('Données projet'!$A$114&gt;35,BY42+BX43-CG42,IF(A43&lt;'Données projet'!$A$114,$BV$205^A43,IF(A43='Données projet'!$A$114,'Données projet'!$B$114,BY42+BX43-CG42)))</f>
        <v>332.00000000000017</v>
      </c>
      <c r="BZ43" s="14">
        <f>BY43*VLOOKUP('Données projet'!$B$12,Paramètres!$A$1:$I$89,3,0)*VLOOKUP('Données projet'!$B$12,Paramètres!$A$1:$I$89,5,0)</f>
        <v>198.53600000000012</v>
      </c>
      <c r="CA43" s="14">
        <f t="shared" si="39"/>
        <v>49.42228739122875</v>
      </c>
      <c r="CB43" s="22">
        <f t="shared" si="10"/>
        <v>431.86068387305687</v>
      </c>
      <c r="CC43" s="62">
        <f t="shared" si="11"/>
        <v>725.19401720639019</v>
      </c>
      <c r="CD43" s="62">
        <f ca="1">AVERAGE(OFFSET($CC$3,0,0,'Données projet'!$E$12+1,1))-AVERAGE(OFFSET($H$3,0,0,'Données projet'!$E$12+1,1))</f>
        <v>348.62416478262719</v>
      </c>
      <c r="CE43" s="62">
        <f t="shared" si="40"/>
        <v>371.70674704563288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4.5949580851943974</v>
      </c>
      <c r="CL43" s="23">
        <f>EXP(-LN(2)/25)*CL42+(1-EXP(-LN(2)/25))/(LN(2)/25)*Calculateur!CG43*Calculateur!CI43*VLOOKUP('Données projet'!$B$12,Paramètres!$A$1:$I$89,3,0)*0.475*44/12</f>
        <v>9.1987414663829394</v>
      </c>
      <c r="CM43" s="23">
        <f>EXP(-LN(2)/2)*CM42+(1-EXP(-LN(2)/2))/(LN(2)/2)*CG43*CJ43*VLOOKUP('Données projet'!$B$12,Paramètres!$A$1:$I$89,3,0)*0.475*44/12</f>
        <v>0.53104383268440858</v>
      </c>
      <c r="CN43" s="24">
        <f t="shared" si="12"/>
        <v>14.324743384261746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371.7282125501186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411.73139494306878</v>
      </c>
      <c r="AO44" s="62">
        <f t="shared" si="36"/>
        <v>254.25036207346591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13.8</v>
      </c>
      <c r="BD44" s="13">
        <f>IF('Données projet'!$A$88&gt;35,BD43+BC44-BL43,IF(A44&lt;'Données projet'!$A$88,$BA$205^A44,IF(A44='Données projet'!$A$88,'Données projet'!$B$88,BD43+BC44-BL43)))</f>
        <v>227.79999999999995</v>
      </c>
      <c r="BE44" s="14">
        <f>BD44*VLOOKUP('Données projet'!$B$11,Paramètres!$A$1:$I$89,3,0)*VLOOKUP('Données projet'!$B$11,Paramètres!$A$1:$I$89,5,0)</f>
        <v>130.30159999999998</v>
      </c>
      <c r="BF44" s="14">
        <f t="shared" si="37"/>
        <v>34.066040835325218</v>
      </c>
      <c r="BG44" s="22">
        <f t="shared" si="7"/>
        <v>286.27364112152469</v>
      </c>
      <c r="BH44" s="62">
        <f t="shared" si="8"/>
        <v>579.606974454858</v>
      </c>
      <c r="BI44" s="62">
        <f ca="1">AVERAGE(OFFSET($BH$3,0,0,'Données projet'!$E$11+1,1))-AVERAGE(OFFSET($H$3,0,0,'Données projet'!$E$11+1,1))</f>
        <v>309.71642374647882</v>
      </c>
      <c r="BJ44" s="62">
        <f t="shared" si="38"/>
        <v>266.63880397664315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1.4829319820869997</v>
      </c>
      <c r="BQ44" s="23">
        <f>EXP(-LN(2)/25)*BQ43+(1-EXP(-LN(2)/25))/(LN(2)/25)*Calculateur!BL44*Calculateur!BN44*VLOOKUP('Données projet'!$B$11,Paramètres!$A$1:$I$89,3,0)*0.475*44/12</f>
        <v>3.6102130759625251</v>
      </c>
      <c r="BR44" s="23">
        <f>EXP(-LN(2)/2)*BR43+(1-EXP(-LN(2)/2))/(LN(2)/2)*BL44*BO44*VLOOKUP('Données projet'!$B$11,Paramètres!$A$1:$I$89,3,0)*0.475*44/12</f>
        <v>0.29301272740284151</v>
      </c>
      <c r="BS44" s="24">
        <f t="shared" si="9"/>
        <v>5.3861577854523661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20</v>
      </c>
      <c r="BY44" s="13">
        <f>IF('Données projet'!$A$114&gt;35,BY43+BX44-CG43,IF(A44&lt;'Données projet'!$A$114,$BV$205^A44,IF(A44='Données projet'!$A$114,'Données projet'!$B$114,BY43+BX44-CG43)))</f>
        <v>304.00000000000017</v>
      </c>
      <c r="BZ44" s="14">
        <f>BY44*VLOOKUP('Données projet'!$B$12,Paramètres!$A$1:$I$89,3,0)*VLOOKUP('Données projet'!$B$12,Paramètres!$A$1:$I$89,5,0)</f>
        <v>181.79200000000012</v>
      </c>
      <c r="CA44" s="14">
        <f t="shared" si="39"/>
        <v>45.720642997712574</v>
      </c>
      <c r="CB44" s="22">
        <f t="shared" si="10"/>
        <v>396.25118655434966</v>
      </c>
      <c r="CC44" s="62">
        <f t="shared" si="11"/>
        <v>689.58451988768297</v>
      </c>
      <c r="CD44" s="62">
        <f ca="1">AVERAGE(OFFSET($CC$3,0,0,'Données projet'!$E$12+1,1))-AVERAGE(OFFSET($H$3,0,0,'Données projet'!$E$12+1,1))</f>
        <v>348.62416478262719</v>
      </c>
      <c r="CE44" s="62">
        <f t="shared" si="40"/>
        <v>371.70674704563288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4.5048537597914287</v>
      </c>
      <c r="CL44" s="23">
        <f>EXP(-LN(2)/25)*CL43+(1-EXP(-LN(2)/25))/(LN(2)/25)*Calculateur!CG44*Calculateur!CI44*VLOOKUP('Données projet'!$B$12,Paramètres!$A$1:$I$89,3,0)*0.475*44/12</f>
        <v>8.9472013972439086</v>
      </c>
      <c r="CM44" s="23">
        <f>EXP(-LN(2)/2)*CM43+(1-EXP(-LN(2)/2))/(LN(2)/2)*CG44*CJ44*VLOOKUP('Données projet'!$B$12,Paramètres!$A$1:$I$89,3,0)*0.475*44/12</f>
        <v>0.37550469519843965</v>
      </c>
      <c r="CN44" s="24">
        <f t="shared" si="12"/>
        <v>13.827559852233778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371.7282125501186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411.73139494306878</v>
      </c>
      <c r="AO45" s="62">
        <f t="shared" si="36"/>
        <v>254.25036207346591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13.8</v>
      </c>
      <c r="BD45" s="13">
        <f>IF('Données projet'!$A$88&gt;35,BD44+BC45-BL44,IF(A45&lt;'Données projet'!$A$88,$BA$205^A45,IF(A45='Données projet'!$A$88,'Données projet'!$B$88,BD44+BC45-BL44)))</f>
        <v>241.59999999999997</v>
      </c>
      <c r="BE45" s="14">
        <f>BD45*VLOOKUP('Données projet'!$B$11,Paramètres!$A$1:$I$89,3,0)*VLOOKUP('Données projet'!$B$11,Paramètres!$A$1:$I$89,5,0)</f>
        <v>138.1952</v>
      </c>
      <c r="BF45" s="14">
        <f t="shared" si="37"/>
        <v>35.883239453452433</v>
      </c>
      <c r="BG45" s="22">
        <f t="shared" si="7"/>
        <v>303.18661538142965</v>
      </c>
      <c r="BH45" s="62">
        <f t="shared" si="8"/>
        <v>596.5199487147629</v>
      </c>
      <c r="BI45" s="62">
        <f ca="1">AVERAGE(OFFSET($BH$3,0,0,'Données projet'!$E$11+1,1))-AVERAGE(OFFSET($H$3,0,0,'Données projet'!$E$11+1,1))</f>
        <v>309.71642374647882</v>
      </c>
      <c r="BJ45" s="62">
        <f t="shared" si="38"/>
        <v>266.63880397664315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1.4538525904174708</v>
      </c>
      <c r="BQ45" s="23">
        <f>EXP(-LN(2)/25)*BQ44+(1-EXP(-LN(2)/25))/(LN(2)/25)*Calculateur!BL45*Calculateur!BN45*VLOOKUP('Données projet'!$B$11,Paramètres!$A$1:$I$89,3,0)*0.475*44/12</f>
        <v>3.5114916095474755</v>
      </c>
      <c r="BR45" s="23">
        <f>EXP(-LN(2)/2)*BR44+(1-EXP(-LN(2)/2))/(LN(2)/2)*BL45*BO45*VLOOKUP('Données projet'!$B$11,Paramètres!$A$1:$I$89,3,0)*0.475*44/12</f>
        <v>0.20719128652051455</v>
      </c>
      <c r="BS45" s="24">
        <f t="shared" si="9"/>
        <v>5.1725354864854607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20</v>
      </c>
      <c r="BY45" s="13">
        <f>IF('Données projet'!$A$114&gt;35,BY44+BX45-CG44,IF(A45&lt;'Données projet'!$A$114,$BV$205^A45,IF(A45='Données projet'!$A$114,'Données projet'!$B$114,BY44+BX45-CG44)))</f>
        <v>324.00000000000017</v>
      </c>
      <c r="BZ45" s="14">
        <f>BY45*VLOOKUP('Données projet'!$B$12,Paramètres!$A$1:$I$89,3,0)*VLOOKUP('Données projet'!$B$12,Paramètres!$A$1:$I$89,5,0)</f>
        <v>193.75200000000009</v>
      </c>
      <c r="CA45" s="14">
        <f t="shared" si="39"/>
        <v>48.368520355376113</v>
      </c>
      <c r="CB45" s="22">
        <f t="shared" si="10"/>
        <v>421.69323961894696</v>
      </c>
      <c r="CC45" s="62">
        <f t="shared" si="11"/>
        <v>715.02657295228028</v>
      </c>
      <c r="CD45" s="62">
        <f ca="1">AVERAGE(OFFSET($CC$3,0,0,'Données projet'!$E$12+1,1))-AVERAGE(OFFSET($H$3,0,0,'Données projet'!$E$12+1,1))</f>
        <v>348.62416478262719</v>
      </c>
      <c r="CE45" s="62">
        <f t="shared" si="40"/>
        <v>371.70674704563288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4.4165163252514006</v>
      </c>
      <c r="CL45" s="23">
        <f>EXP(-LN(2)/25)*CL44+(1-EXP(-LN(2)/25))/(LN(2)/25)*Calculateur!CG45*Calculateur!CI45*VLOOKUP('Données projet'!$B$12,Paramètres!$A$1:$I$89,3,0)*0.475*44/12</f>
        <v>8.7025397045234012</v>
      </c>
      <c r="CM45" s="23">
        <f>EXP(-LN(2)/2)*CM44+(1-EXP(-LN(2)/2))/(LN(2)/2)*CG45*CJ45*VLOOKUP('Données projet'!$B$12,Paramètres!$A$1:$I$89,3,0)*0.475*44/12</f>
        <v>0.26552191634220429</v>
      </c>
      <c r="CN45" s="24">
        <f t="shared" si="12"/>
        <v>13.384577946117005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371.7282125501186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411.73139494306878</v>
      </c>
      <c r="AO46" s="62">
        <f t="shared" si="36"/>
        <v>254.25036207346591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13.8</v>
      </c>
      <c r="BD46" s="13">
        <f>IF('Données projet'!$A$88&gt;35,BD45+BC46-BL45,IF(A46&lt;'Données projet'!$A$88,$BA$205^A46,IF(A46='Données projet'!$A$88,'Données projet'!$B$88,BD45+BC46-BL45)))</f>
        <v>255.39999999999998</v>
      </c>
      <c r="BE46" s="14">
        <f>BD46*VLOOKUP('Données projet'!$B$11,Paramètres!$A$1:$I$89,3,0)*VLOOKUP('Données projet'!$B$11,Paramètres!$A$1:$I$89,5,0)</f>
        <v>146.08879999999999</v>
      </c>
      <c r="BF46" s="14">
        <f t="shared" si="37"/>
        <v>37.688389267810216</v>
      </c>
      <c r="BG46" s="22">
        <f t="shared" si="7"/>
        <v>320.07860464143613</v>
      </c>
      <c r="BH46" s="62">
        <f t="shared" si="8"/>
        <v>613.41193797476944</v>
      </c>
      <c r="BI46" s="62">
        <f ca="1">AVERAGE(OFFSET($BH$3,0,0,'Données projet'!$E$11+1,1))-AVERAGE(OFFSET($H$3,0,0,'Données projet'!$E$11+1,1))</f>
        <v>309.71642374647882</v>
      </c>
      <c r="BJ46" s="62">
        <f t="shared" si="38"/>
        <v>266.63880397664315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1.4253434278819039</v>
      </c>
      <c r="BQ46" s="23">
        <f>EXP(-LN(2)/25)*BQ45+(1-EXP(-LN(2)/25))/(LN(2)/25)*Calculateur!BL46*Calculateur!BN46*VLOOKUP('Données projet'!$B$11,Paramètres!$A$1:$I$89,3,0)*0.475*44/12</f>
        <v>3.4154696868230818</v>
      </c>
      <c r="BR46" s="23">
        <f>EXP(-LN(2)/2)*BR45+(1-EXP(-LN(2)/2))/(LN(2)/2)*BL46*BO46*VLOOKUP('Données projet'!$B$11,Paramètres!$A$1:$I$89,3,0)*0.475*44/12</f>
        <v>0.14650636370142076</v>
      </c>
      <c r="BS46" s="24">
        <f t="shared" si="9"/>
        <v>4.9873194784064063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20</v>
      </c>
      <c r="BY46" s="13">
        <f>IF('Données projet'!$A$114&gt;35,BY45+BX46-CG45,IF(A46&lt;'Données projet'!$A$114,$BV$205^A46,IF(A46='Données projet'!$A$114,'Données projet'!$B$114,BY45+BX46-CG45)))</f>
        <v>344.00000000000017</v>
      </c>
      <c r="BZ46" s="14">
        <f>BY46*VLOOKUP('Données projet'!$B$12,Paramètres!$A$1:$I$89,3,0)*VLOOKUP('Données projet'!$B$12,Paramètres!$A$1:$I$89,5,0)</f>
        <v>205.71200000000013</v>
      </c>
      <c r="CA46" s="14">
        <f t="shared" si="39"/>
        <v>50.997427696933762</v>
      </c>
      <c r="CB46" s="22">
        <f t="shared" si="10"/>
        <v>447.10225323882656</v>
      </c>
      <c r="CC46" s="62">
        <f t="shared" si="11"/>
        <v>740.43558657215988</v>
      </c>
      <c r="CD46" s="62">
        <f ca="1">AVERAGE(OFFSET($CC$3,0,0,'Données projet'!$E$12+1,1))-AVERAGE(OFFSET($H$3,0,0,'Données projet'!$E$12+1,1))</f>
        <v>348.62416478262719</v>
      </c>
      <c r="CE46" s="62">
        <f t="shared" si="40"/>
        <v>371.70674704563288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4.3299111339221872</v>
      </c>
      <c r="CL46" s="23">
        <f>EXP(-LN(2)/25)*CL45+(1-EXP(-LN(2)/25))/(LN(2)/25)*Calculateur!CG46*Calculateur!CI46*VLOOKUP('Données projet'!$B$12,Paramètres!$A$1:$I$89,3,0)*0.475*44/12</f>
        <v>8.4645682986565358</v>
      </c>
      <c r="CM46" s="23">
        <f>EXP(-LN(2)/2)*CM45+(1-EXP(-LN(2)/2))/(LN(2)/2)*CG46*CJ46*VLOOKUP('Données projet'!$B$12,Paramètres!$A$1:$I$89,3,0)*0.475*44/12</f>
        <v>0.18775234759921983</v>
      </c>
      <c r="CN46" s="24">
        <f t="shared" si="12"/>
        <v>12.982231780177942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371.7282125501186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411.73139494306878</v>
      </c>
      <c r="AO47" s="62">
        <f t="shared" si="36"/>
        <v>254.25036207346591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13.8</v>
      </c>
      <c r="BD47" s="13">
        <f>IF('Données projet'!$A$88&gt;35,BD46+BC47-BL46,IF(A47&lt;'Données projet'!$A$88,$BA$205^A47,IF(A47='Données projet'!$A$88,'Données projet'!$B$88,BD46+BC47-BL46)))</f>
        <v>269.2</v>
      </c>
      <c r="BE47" s="14">
        <f>BD47*VLOOKUP('Données projet'!$B$11,Paramètres!$A$1:$I$89,3,0)*VLOOKUP('Données projet'!$B$11,Paramètres!$A$1:$I$89,5,0)</f>
        <v>153.98239999999998</v>
      </c>
      <c r="BF47" s="14">
        <f t="shared" si="37"/>
        <v>39.482215533662355</v>
      </c>
      <c r="BG47" s="22">
        <f t="shared" si="7"/>
        <v>336.95087205446191</v>
      </c>
      <c r="BH47" s="62">
        <f t="shared" si="8"/>
        <v>630.28420538779528</v>
      </c>
      <c r="BI47" s="62">
        <f ca="1">AVERAGE(OFFSET($BH$3,0,0,'Données projet'!$E$11+1,1))-AVERAGE(OFFSET($H$3,0,0,'Données projet'!$E$11+1,1))</f>
        <v>309.71642374647882</v>
      </c>
      <c r="BJ47" s="62">
        <f t="shared" si="38"/>
        <v>266.63880397664315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1.3973933126347873</v>
      </c>
      <c r="BQ47" s="23">
        <f>EXP(-LN(2)/25)*BQ46+(1-EXP(-LN(2)/25))/(LN(2)/25)*Calculateur!BL47*Calculateur!BN47*VLOOKUP('Données projet'!$B$11,Paramètres!$A$1:$I$89,3,0)*0.475*44/12</f>
        <v>3.3220734886251599</v>
      </c>
      <c r="BR47" s="23">
        <f>EXP(-LN(2)/2)*BR46+(1-EXP(-LN(2)/2))/(LN(2)/2)*BL47*BO47*VLOOKUP('Données projet'!$B$11,Paramètres!$A$1:$I$89,3,0)*0.475*44/12</f>
        <v>0.10359564326025728</v>
      </c>
      <c r="BS47" s="24">
        <f t="shared" si="9"/>
        <v>4.8230624445202039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20</v>
      </c>
      <c r="BY47" s="13">
        <f>IF('Données projet'!$A$114&gt;35,BY46+BX47-CG46,IF(A47&lt;'Données projet'!$A$114,$BV$205^A47,IF(A47='Données projet'!$A$114,'Données projet'!$B$114,BY46+BX47-CG46)))</f>
        <v>364.00000000000017</v>
      </c>
      <c r="BZ47" s="14">
        <f>BY47*VLOOKUP('Données projet'!$B$12,Paramètres!$A$1:$I$89,3,0)*VLOOKUP('Données projet'!$B$12,Paramètres!$A$1:$I$89,5,0)</f>
        <v>217.67200000000011</v>
      </c>
      <c r="CA47" s="14">
        <f t="shared" si="39"/>
        <v>53.60859357546007</v>
      </c>
      <c r="CB47" s="22">
        <f t="shared" si="10"/>
        <v>472.48036714392646</v>
      </c>
      <c r="CC47" s="62">
        <f t="shared" si="11"/>
        <v>765.81370047725977</v>
      </c>
      <c r="CD47" s="62">
        <f ca="1">AVERAGE(OFFSET($CC$3,0,0,'Données projet'!$E$12+1,1))-AVERAGE(OFFSET($H$3,0,0,'Données projet'!$E$12+1,1))</f>
        <v>348.62416478262719</v>
      </c>
      <c r="CE47" s="62">
        <f t="shared" si="40"/>
        <v>371.70674704563288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4.2450042175709894</v>
      </c>
      <c r="CL47" s="23">
        <f>EXP(-LN(2)/25)*CL46+(1-EXP(-LN(2)/25))/(LN(2)/25)*Calculateur!CG47*Calculateur!CI47*VLOOKUP('Données projet'!$B$12,Paramètres!$A$1:$I$89,3,0)*0.475*44/12</f>
        <v>8.2331042333974729</v>
      </c>
      <c r="CM47" s="23">
        <f>EXP(-LN(2)/2)*CM46+(1-EXP(-LN(2)/2))/(LN(2)/2)*CG47*CJ47*VLOOKUP('Données projet'!$B$12,Paramètres!$A$1:$I$89,3,0)*0.475*44/12</f>
        <v>0.13276095817110214</v>
      </c>
      <c r="CN47" s="24">
        <f t="shared" si="12"/>
        <v>12.610869409139566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371.7282125501186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411.73139494306878</v>
      </c>
      <c r="AO48" s="62">
        <f t="shared" si="36"/>
        <v>254.25036207346591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283</v>
      </c>
      <c r="BB48" s="13">
        <f>VLOOKUP(A48,'Données projet'!$A$87:$I$107,9,0)</f>
        <v>13.8</v>
      </c>
      <c r="BC48" s="13">
        <f t="array" ref="BC48">INDEX(BB:BB,MIN(IF(ISNUMBER(BB48:BB244),ROW(BB48:BB244),"")))</f>
        <v>13.8</v>
      </c>
      <c r="BD48" s="13">
        <f>IF('Données projet'!$A$88&gt;35,BD47+BC48-BL47,IF(A48&lt;'Données projet'!$A$88,$BA$205^A48,IF(A48='Données projet'!$A$88,'Données projet'!$B$88,BD47+BC48-BL47)))</f>
        <v>283</v>
      </c>
      <c r="BE48" s="14">
        <f>BD48*VLOOKUP('Données projet'!$B$11,Paramètres!$A$1:$I$89,3,0)*VLOOKUP('Données projet'!$B$11,Paramètres!$A$1:$I$89,5,0)</f>
        <v>161.876</v>
      </c>
      <c r="BF48" s="14">
        <f t="shared" si="37"/>
        <v>41.2653649487576</v>
      </c>
      <c r="BG48" s="22">
        <f t="shared" si="7"/>
        <v>353.80454395241946</v>
      </c>
      <c r="BH48" s="62">
        <f t="shared" si="8"/>
        <v>647.13787728575278</v>
      </c>
      <c r="BI48" s="62">
        <f ca="1">AVERAGE(OFFSET($BH$3,0,0,'Données projet'!$E$11+1,1))-AVERAGE(OFFSET($H$3,0,0,'Données projet'!$E$11+1,1))</f>
        <v>309.71642374647882</v>
      </c>
      <c r="BJ48" s="62">
        <f t="shared" si="38"/>
        <v>266.63880397664315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1.3699912820997797</v>
      </c>
      <c r="BQ48" s="23">
        <f>EXP(-LN(2)/25)*BQ47+(1-EXP(-LN(2)/25))/(LN(2)/25)*Calculateur!BL48*Calculateur!BN48*VLOOKUP('Données projet'!$B$11,Paramètres!$A$1:$I$89,3,0)*0.475*44/12</f>
        <v>3.231231214378453</v>
      </c>
      <c r="BR48" s="23">
        <f>EXP(-LN(2)/2)*BR47+(1-EXP(-LN(2)/2))/(LN(2)/2)*BL48*BO48*VLOOKUP('Données projet'!$B$11,Paramètres!$A$1:$I$89,3,0)*0.475*44/12</f>
        <v>7.3253181850710378E-2</v>
      </c>
      <c r="BS48" s="24">
        <f t="shared" si="9"/>
        <v>4.6744756783289434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384</v>
      </c>
      <c r="BW48" s="13">
        <f>VLOOKUP(A48,'Données projet'!$A$113:$I$133,9,0)</f>
        <v>20</v>
      </c>
      <c r="BX48" s="13">
        <f t="array" ref="BX48">INDEX(BW:BW,MIN(IF(ISNUMBER(BW48:BW244),ROW(BW48:BW244),"")))</f>
        <v>20</v>
      </c>
      <c r="BY48" s="13">
        <f>IF('Données projet'!$A$114&gt;35,BY47+BX48-CG47,IF(A48&lt;'Données projet'!$A$114,$BV$205^A48,IF(A48='Données projet'!$A$114,'Données projet'!$B$114,BY47+BX48-CG47)))</f>
        <v>384.00000000000017</v>
      </c>
      <c r="BZ48" s="14">
        <f>BY48*VLOOKUP('Données projet'!$B$12,Paramètres!$A$1:$I$89,3,0)*VLOOKUP('Données projet'!$B$12,Paramètres!$A$1:$I$89,5,0)</f>
        <v>229.63200000000015</v>
      </c>
      <c r="CA48" s="14">
        <f t="shared" si="39"/>
        <v>56.20310391330672</v>
      </c>
      <c r="CB48" s="22">
        <f t="shared" si="10"/>
        <v>497.8294726490094</v>
      </c>
      <c r="CC48" s="62">
        <f t="shared" si="11"/>
        <v>791.16280598234266</v>
      </c>
      <c r="CD48" s="62">
        <f ca="1">AVERAGE(OFFSET($CC$3,0,0,'Données projet'!$E$12+1,1))-AVERAGE(OFFSET($H$3,0,0,'Données projet'!$E$12+1,1))</f>
        <v>348.62416478262719</v>
      </c>
      <c r="CE48" s="62">
        <f t="shared" si="40"/>
        <v>371.70674704563288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57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4.1617622740613331</v>
      </c>
      <c r="CL48" s="23">
        <f>EXP(-LN(2)/25)*CL47+(1-EXP(-LN(2)/25))/(LN(2)/25)*Calculateur!CG48*Calculateur!CI48*VLOOKUP('Données projet'!$B$12,Paramètres!$A$1:$I$89,3,0)*0.475*44/12</f>
        <v>8.0079695651750846</v>
      </c>
      <c r="CM48" s="23">
        <f>EXP(-LN(2)/2)*CM47+(1-EXP(-LN(2)/2))/(LN(2)/2)*CG48*CJ48*VLOOKUP('Données projet'!$B$12,Paramètres!$A$1:$I$89,3,0)*0.475*44/12</f>
        <v>9.3876173799609913E-2</v>
      </c>
      <c r="CN48" s="24">
        <f t="shared" si="12"/>
        <v>12.263608013036027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371.7282125501186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147.23280000000005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615.85838809497</v>
      </c>
      <c r="AN49" s="62">
        <f ca="1">AVERAGE(OFFSET($AM$3,0,0,'Données projet'!$E$10+1,1))-AVERAGE(OFFSET($H$3,0,0,'Données projet'!$E$10+1,1))</f>
        <v>411.73139494306878</v>
      </c>
      <c r="AO49" s="62">
        <f t="shared" si="36"/>
        <v>254.25036207346591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13.2</v>
      </c>
      <c r="BD49" s="13">
        <f>IF('Données projet'!$A$88&gt;35,BD48+BC49-BL48,IF(A49&lt;'Données projet'!$A$88,$BA$205^A49,IF(A49='Données projet'!$A$88,'Données projet'!$B$88,BD48+BC49-BL48)))</f>
        <v>258.2</v>
      </c>
      <c r="BE49" s="14">
        <f>BD49*VLOOKUP('Données projet'!$B$11,Paramètres!$A$1:$I$89,3,0)*VLOOKUP('Données projet'!$B$11,Paramètres!$A$1:$I$89,5,0)</f>
        <v>147.69039999999998</v>
      </c>
      <c r="BF49" s="14">
        <f t="shared" si="37"/>
        <v>38.053247671549173</v>
      </c>
      <c r="BG49" s="22">
        <f t="shared" si="7"/>
        <v>323.50351969461479</v>
      </c>
      <c r="BH49" s="62">
        <f t="shared" si="8"/>
        <v>616.83685302794811</v>
      </c>
      <c r="BI49" s="62">
        <f ca="1">AVERAGE(OFFSET($BH$3,0,0,'Données projet'!$E$11+1,1))-AVERAGE(OFFSET($H$3,0,0,'Données projet'!$E$11+1,1))</f>
        <v>309.71642374647882</v>
      </c>
      <c r="BJ49" s="62">
        <f t="shared" si="38"/>
        <v>266.63880397664315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1.3431265886699753</v>
      </c>
      <c r="BQ49" s="23">
        <f>EXP(-LN(2)/25)*BQ48+(1-EXP(-LN(2)/25))/(LN(2)/25)*Calculateur!BL49*Calculateur!BN49*VLOOKUP('Données projet'!$B$11,Paramètres!$A$1:$I$89,3,0)*0.475*44/12</f>
        <v>3.1428730268982097</v>
      </c>
      <c r="BR49" s="23">
        <f>EXP(-LN(2)/2)*BR48+(1-EXP(-LN(2)/2))/(LN(2)/2)*BL49*BO49*VLOOKUP('Données projet'!$B$11,Paramètres!$A$1:$I$89,3,0)*0.475*44/12</f>
        <v>5.1797821630128638E-2</v>
      </c>
      <c r="BS49" s="24">
        <f t="shared" si="9"/>
        <v>4.5377974371983134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344.40000000000015</v>
      </c>
      <c r="BZ49" s="14">
        <f>BY49*VLOOKUP('Données projet'!$B$12,Paramètres!$A$1:$I$89,3,0)*VLOOKUP('Données projet'!$B$12,Paramètres!$A$1:$I$89,5,0)</f>
        <v>205.95120000000009</v>
      </c>
      <c r="CA49" s="14">
        <f t="shared" si="39"/>
        <v>51.049821044529857</v>
      </c>
      <c r="CB49" s="22">
        <f t="shared" si="10"/>
        <v>447.61011165255627</v>
      </c>
      <c r="CC49" s="62">
        <f t="shared" si="11"/>
        <v>740.94344498588953</v>
      </c>
      <c r="CD49" s="62">
        <f ca="1">AVERAGE(OFFSET($CC$3,0,0,'Données projet'!$E$12+1,1))-AVERAGE(OFFSET($H$3,0,0,'Données projet'!$E$12+1,1))</f>
        <v>348.62416478262719</v>
      </c>
      <c r="CE49" s="62">
        <f t="shared" si="40"/>
        <v>371.70674704563288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4.0801526542913287</v>
      </c>
      <c r="CL49" s="23">
        <f>EXP(-LN(2)/25)*CL48+(1-EXP(-LN(2)/25))/(LN(2)/25)*Calculateur!CG49*Calculateur!CI49*VLOOKUP('Données projet'!$B$12,Paramètres!$A$1:$I$89,3,0)*0.475*44/12</f>
        <v>7.7889912162945549</v>
      </c>
      <c r="CM49" s="23">
        <f>EXP(-LN(2)/2)*CM48+(1-EXP(-LN(2)/2))/(LN(2)/2)*CG49*CJ49*VLOOKUP('Données projet'!$B$12,Paramètres!$A$1:$I$89,3,0)*0.475*44/12</f>
        <v>6.6380479085551072E-2</v>
      </c>
      <c r="CN49" s="24">
        <f t="shared" si="12"/>
        <v>11.935524349671434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371.7282125501186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155.54760000000005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633.62751757602996</v>
      </c>
      <c r="AN50" s="62">
        <f ca="1">AVERAGE(OFFSET($AM$3,0,0,'Données projet'!$E$10+1,1))-AVERAGE(OFFSET($H$3,0,0,'Données projet'!$E$10+1,1))</f>
        <v>411.73139494306878</v>
      </c>
      <c r="AO50" s="62">
        <f t="shared" si="36"/>
        <v>254.25036207346591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13.2</v>
      </c>
      <c r="BD50" s="13">
        <f>IF('Données projet'!$A$88&gt;35,BD49+BC50-BL49,IF(A50&lt;'Données projet'!$A$88,$BA$205^A50,IF(A50='Données projet'!$A$88,'Données projet'!$B$88,BD49+BC50-BL49)))</f>
        <v>271.39999999999998</v>
      </c>
      <c r="BE50" s="14">
        <f>BD50*VLOOKUP('Données projet'!$B$11,Paramètres!$A$1:$I$89,3,0)*VLOOKUP('Données projet'!$B$11,Paramètres!$A$1:$I$89,5,0)</f>
        <v>155.24080000000001</v>
      </c>
      <c r="BF50" s="14">
        <f t="shared" si="37"/>
        <v>39.767185348358026</v>
      </c>
      <c r="BG50" s="22">
        <f t="shared" si="7"/>
        <v>339.63890781505688</v>
      </c>
      <c r="BH50" s="62">
        <f t="shared" si="8"/>
        <v>632.97224114839014</v>
      </c>
      <c r="BI50" s="62">
        <f ca="1">AVERAGE(OFFSET($BH$3,0,0,'Données projet'!$E$11+1,1))-AVERAGE(OFFSET($H$3,0,0,'Données projet'!$E$11+1,1))</f>
        <v>309.71642374647882</v>
      </c>
      <c r="BJ50" s="62">
        <f t="shared" si="38"/>
        <v>266.63880397664315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1.3167886954924843</v>
      </c>
      <c r="BQ50" s="23">
        <f>EXP(-LN(2)/25)*BQ49+(1-EXP(-LN(2)/25))/(LN(2)/25)*Calculateur!BL50*Calculateur!BN50*VLOOKUP('Données projet'!$B$11,Paramètres!$A$1:$I$89,3,0)*0.475*44/12</f>
        <v>3.0569309987011688</v>
      </c>
      <c r="BR50" s="23">
        <f>EXP(-LN(2)/2)*BR49+(1-EXP(-LN(2)/2))/(LN(2)/2)*BL50*BO50*VLOOKUP('Données projet'!$B$11,Paramètres!$A$1:$I$89,3,0)*0.475*44/12</f>
        <v>3.6626590925355189E-2</v>
      </c>
      <c r="BS50" s="24">
        <f t="shared" si="9"/>
        <v>4.4103462851190081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361.80000000000013</v>
      </c>
      <c r="BZ50" s="14">
        <f>BY50*VLOOKUP('Données projet'!$B$12,Paramètres!$A$1:$I$89,3,0)*VLOOKUP('Données projet'!$B$12,Paramètres!$A$1:$I$89,5,0)</f>
        <v>216.35640000000006</v>
      </c>
      <c r="CA50" s="14">
        <f t="shared" si="39"/>
        <v>53.322199188237285</v>
      </c>
      <c r="CB50" s="22">
        <f t="shared" si="10"/>
        <v>469.69022691951341</v>
      </c>
      <c r="CC50" s="62">
        <f t="shared" si="11"/>
        <v>763.02356025284666</v>
      </c>
      <c r="CD50" s="62">
        <f ca="1">AVERAGE(OFFSET($CC$3,0,0,'Données projet'!$E$12+1,1))-AVERAGE(OFFSET($H$3,0,0,'Données projet'!$E$12+1,1))</f>
        <v>348.62416478262719</v>
      </c>
      <c r="CE50" s="62">
        <f t="shared" si="40"/>
        <v>371.70674704563288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4.0001433493880612</v>
      </c>
      <c r="CL50" s="23">
        <f>EXP(-LN(2)/25)*CL49+(1-EXP(-LN(2)/25))/(LN(2)/25)*Calculateur!CG50*Calculateur!CI50*VLOOKUP('Données projet'!$B$12,Paramètres!$A$1:$I$89,3,0)*0.475*44/12</f>
        <v>7.5760008418797344</v>
      </c>
      <c r="CM50" s="23">
        <f>EXP(-LN(2)/2)*CM49+(1-EXP(-LN(2)/2))/(LN(2)/2)*CG50*CJ50*VLOOKUP('Données projet'!$B$12,Paramètres!$A$1:$I$89,3,0)*0.475*44/12</f>
        <v>4.6938086899804957E-2</v>
      </c>
      <c r="CN50" s="24">
        <f t="shared" si="12"/>
        <v>11.623082278167601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371.7282125501186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163.86240000000004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651.37624482072556</v>
      </c>
      <c r="AN51" s="62">
        <f ca="1">AVERAGE(OFFSET($AM$3,0,0,'Données projet'!$E$10+1,1))-AVERAGE(OFFSET($H$3,0,0,'Données projet'!$E$10+1,1))</f>
        <v>411.73139494306878</v>
      </c>
      <c r="AO51" s="62">
        <f t="shared" si="36"/>
        <v>254.25036207346591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13.2</v>
      </c>
      <c r="BD51" s="13">
        <f>IF('Données projet'!$A$88&gt;35,BD50+BC51-BL50,IF(A51&lt;'Données projet'!$A$88,$BA$205^A51,IF(A51='Données projet'!$A$88,'Données projet'!$B$88,BD50+BC51-BL50)))</f>
        <v>284.59999999999997</v>
      </c>
      <c r="BE51" s="14">
        <f>BD51*VLOOKUP('Données projet'!$B$11,Paramètres!$A$1:$I$89,3,0)*VLOOKUP('Données projet'!$B$11,Paramètres!$A$1:$I$89,5,0)</f>
        <v>162.7912</v>
      </c>
      <c r="BF51" s="14">
        <f t="shared" si="37"/>
        <v>41.471443274907386</v>
      </c>
      <c r="BG51" s="22">
        <f t="shared" si="7"/>
        <v>355.75743703713033</v>
      </c>
      <c r="BH51" s="62">
        <f t="shared" si="8"/>
        <v>649.09077037046359</v>
      </c>
      <c r="BI51" s="62">
        <f ca="1">AVERAGE(OFFSET($BH$3,0,0,'Données projet'!$E$11+1,1))-AVERAGE(OFFSET($H$3,0,0,'Données projet'!$E$11+1,1))</f>
        <v>309.71642374647882</v>
      </c>
      <c r="BJ51" s="62">
        <f t="shared" si="38"/>
        <v>266.63880397664315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1.2909672723356753</v>
      </c>
      <c r="BQ51" s="23">
        <f>EXP(-LN(2)/25)*BQ50+(1-EXP(-LN(2)/25))/(LN(2)/25)*Calculateur!BL51*Calculateur!BN51*VLOOKUP('Données projet'!$B$11,Paramètres!$A$1:$I$89,3,0)*0.475*44/12</f>
        <v>2.9733390597846707</v>
      </c>
      <c r="BR51" s="23">
        <f>EXP(-LN(2)/2)*BR50+(1-EXP(-LN(2)/2))/(LN(2)/2)*BL51*BO51*VLOOKUP('Données projet'!$B$11,Paramètres!$A$1:$I$89,3,0)*0.475*44/12</f>
        <v>2.5898910815064319E-2</v>
      </c>
      <c r="BS51" s="24">
        <f t="shared" si="9"/>
        <v>4.2902052429354098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379.2000000000001</v>
      </c>
      <c r="BZ51" s="14">
        <f>BY51*VLOOKUP('Données projet'!$B$12,Paramètres!$A$1:$I$89,3,0)*VLOOKUP('Données projet'!$B$12,Paramètres!$A$1:$I$89,5,0)</f>
        <v>226.76160000000007</v>
      </c>
      <c r="CA51" s="14">
        <f t="shared" si="39"/>
        <v>55.581886910575967</v>
      </c>
      <c r="CB51" s="22">
        <f t="shared" si="10"/>
        <v>491.74823970258649</v>
      </c>
      <c r="CC51" s="62">
        <f t="shared" si="11"/>
        <v>785.08157303591975</v>
      </c>
      <c r="CD51" s="62">
        <f ca="1">AVERAGE(OFFSET($CC$3,0,0,'Données projet'!$E$12+1,1))-AVERAGE(OFFSET($H$3,0,0,'Données projet'!$E$12+1,1))</f>
        <v>348.62416478262719</v>
      </c>
      <c r="CE51" s="62">
        <f t="shared" si="40"/>
        <v>371.70674704563288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3.9217029781530894</v>
      </c>
      <c r="CL51" s="23">
        <f>EXP(-LN(2)/25)*CL50+(1-EXP(-LN(2)/25))/(LN(2)/25)*Calculateur!CG51*Calculateur!CI51*VLOOKUP('Données projet'!$B$12,Paramètres!$A$1:$I$89,3,0)*0.475*44/12</f>
        <v>7.3688347004539638</v>
      </c>
      <c r="CM51" s="23">
        <f>EXP(-LN(2)/2)*CM50+(1-EXP(-LN(2)/2))/(LN(2)/2)*CG51*CJ51*VLOOKUP('Données projet'!$B$12,Paramètres!$A$1:$I$89,3,0)*0.475*44/12</f>
        <v>3.3190239542775536E-2</v>
      </c>
      <c r="CN51" s="24">
        <f t="shared" si="12"/>
        <v>11.32372791814983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371.7282125501186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669.10572320317215</v>
      </c>
      <c r="AN52" s="62">
        <f ca="1">AVERAGE(OFFSET($AM$3,0,0,'Données projet'!$E$10+1,1))-AVERAGE(OFFSET($H$3,0,0,'Données projet'!$E$10+1,1))</f>
        <v>411.73139494306878</v>
      </c>
      <c r="AO52" s="62">
        <f t="shared" si="36"/>
        <v>254.25036207346591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13.2</v>
      </c>
      <c r="BD52" s="13">
        <f>IF('Données projet'!$A$88&gt;35,BD51+BC52-BL51,IF(A52&lt;'Données projet'!$A$88,$BA$205^A52,IF(A52='Données projet'!$A$88,'Données projet'!$B$88,BD51+BC52-BL51)))</f>
        <v>297.79999999999995</v>
      </c>
      <c r="BE52" s="14">
        <f>BD52*VLOOKUP('Données projet'!$B$11,Paramètres!$A$1:$I$89,3,0)*VLOOKUP('Données projet'!$B$11,Paramètres!$A$1:$I$89,5,0)</f>
        <v>170.34159999999997</v>
      </c>
      <c r="BF52" s="14">
        <f t="shared" si="37"/>
        <v>43.166521681123569</v>
      </c>
      <c r="BG52" s="22">
        <f t="shared" si="7"/>
        <v>371.8599785946235</v>
      </c>
      <c r="BH52" s="62">
        <f t="shared" si="8"/>
        <v>665.19331192795676</v>
      </c>
      <c r="BI52" s="62">
        <f ca="1">AVERAGE(OFFSET($BH$3,0,0,'Données projet'!$E$11+1,1))-AVERAGE(OFFSET($H$3,0,0,'Données projet'!$E$11+1,1))</f>
        <v>309.71642374647882</v>
      </c>
      <c r="BJ52" s="62">
        <f t="shared" si="38"/>
        <v>266.63880397664315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1.2656521915374583</v>
      </c>
      <c r="BQ52" s="23">
        <f>EXP(-LN(2)/25)*BQ51+(1-EXP(-LN(2)/25))/(LN(2)/25)*Calculateur!BL52*Calculateur!BN52*VLOOKUP('Données projet'!$B$11,Paramètres!$A$1:$I$89,3,0)*0.475*44/12</f>
        <v>2.8920329468337536</v>
      </c>
      <c r="BR52" s="23">
        <f>EXP(-LN(2)/2)*BR51+(1-EXP(-LN(2)/2))/(LN(2)/2)*BL52*BO52*VLOOKUP('Données projet'!$B$11,Paramètres!$A$1:$I$89,3,0)*0.475*44/12</f>
        <v>1.8313295462677594E-2</v>
      </c>
      <c r="BS52" s="24">
        <f t="shared" si="9"/>
        <v>4.1759984338338896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396.60000000000008</v>
      </c>
      <c r="BZ52" s="14">
        <f>BY52*VLOOKUP('Données projet'!$B$12,Paramètres!$A$1:$I$89,3,0)*VLOOKUP('Données projet'!$B$12,Paramètres!$A$1:$I$89,5,0)</f>
        <v>237.16680000000005</v>
      </c>
      <c r="CA52" s="14">
        <f t="shared" si="39"/>
        <v>57.829533038824259</v>
      </c>
      <c r="CB52" s="22">
        <f t="shared" si="10"/>
        <v>513.78528004261909</v>
      </c>
      <c r="CC52" s="62">
        <f t="shared" si="11"/>
        <v>807.11861337595246</v>
      </c>
      <c r="CD52" s="62">
        <f ca="1">AVERAGE(OFFSET($CC$3,0,0,'Données projet'!$E$12+1,1))-AVERAGE(OFFSET($H$3,0,0,'Données projet'!$E$12+1,1))</f>
        <v>348.62416478262719</v>
      </c>
      <c r="CE52" s="62">
        <f t="shared" si="40"/>
        <v>371.70674704563288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3.8448007747541335</v>
      </c>
      <c r="CL52" s="23">
        <f>EXP(-LN(2)/25)*CL51+(1-EXP(-LN(2)/25))/(LN(2)/25)*Calculateur!CG52*Calculateur!CI52*VLOOKUP('Données projet'!$B$12,Paramètres!$A$1:$I$89,3,0)*0.475*44/12</f>
        <v>7.1673335280598751</v>
      </c>
      <c r="CM52" s="23">
        <f>EXP(-LN(2)/2)*CM51+(1-EXP(-LN(2)/2))/(LN(2)/2)*CG52*CJ52*VLOOKUP('Données projet'!$B$12,Paramètres!$A$1:$I$89,3,0)*0.475*44/12</f>
        <v>2.3469043449902478E-2</v>
      </c>
      <c r="CN52" s="24">
        <f t="shared" si="12"/>
        <v>11.03560334626391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371.7282125501186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180.49200000000002</v>
      </c>
      <c r="AK53" s="14">
        <f t="shared" si="35"/>
        <v>45.431629706642653</v>
      </c>
      <c r="AL53" s="22">
        <f t="shared" si="4"/>
        <v>393.4836550724026</v>
      </c>
      <c r="AM53" s="62">
        <f t="shared" si="5"/>
        <v>686.81698840573586</v>
      </c>
      <c r="AN53" s="62">
        <f ca="1">AVERAGE(OFFSET($AM$3,0,0,'Données projet'!$E$10+1,1))-AVERAGE(OFFSET($H$3,0,0,'Données projet'!$E$10+1,1))</f>
        <v>411.73139494306878</v>
      </c>
      <c r="AO53" s="62">
        <f t="shared" si="36"/>
        <v>254.25036207346591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311</v>
      </c>
      <c r="BB53" s="13">
        <f>VLOOKUP(A53,'Données projet'!$A$87:$I$107,9,0)</f>
        <v>13.2</v>
      </c>
      <c r="BC53" s="13">
        <f t="array" ref="BC53">INDEX(BB:BB,MIN(IF(ISNUMBER(BB53:BB249),ROW(BB53:BB249),"")))</f>
        <v>13.2</v>
      </c>
      <c r="BD53" s="13">
        <f>IF('Données projet'!$A$88&gt;35,BD52+BC53-BL52,IF(A53&lt;'Données projet'!$A$88,$BA$205^A53,IF(A53='Données projet'!$A$88,'Données projet'!$B$88,BD52+BC53-BL52)))</f>
        <v>310.99999999999994</v>
      </c>
      <c r="BE53" s="14">
        <f>BD53*VLOOKUP('Données projet'!$B$11,Paramètres!$A$1:$I$89,3,0)*VLOOKUP('Données projet'!$B$11,Paramètres!$A$1:$I$89,5,0)</f>
        <v>177.89199999999997</v>
      </c>
      <c r="BF53" s="14">
        <f t="shared" si="37"/>
        <v>44.8528739442404</v>
      </c>
      <c r="BG53" s="22">
        <f t="shared" si="7"/>
        <v>387.94732211955193</v>
      </c>
      <c r="BH53" s="62">
        <f t="shared" si="8"/>
        <v>681.28065545288518</v>
      </c>
      <c r="BI53" s="62">
        <f ca="1">AVERAGE(OFFSET($BH$3,0,0,'Données projet'!$E$11+1,1))-AVERAGE(OFFSET($H$3,0,0,'Données projet'!$E$11+1,1))</f>
        <v>309.71642374647882</v>
      </c>
      <c r="BJ53" s="62">
        <f t="shared" si="38"/>
        <v>266.63880397664315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37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1.2408335240330197</v>
      </c>
      <c r="BQ53" s="23">
        <f>EXP(-LN(2)/25)*BQ52+(1-EXP(-LN(2)/25))/(LN(2)/25)*Calculateur!BL53*Calculateur!BN53*VLOOKUP('Données projet'!$B$11,Paramètres!$A$1:$I$89,3,0)*0.475*44/12</f>
        <v>2.8129501538171819</v>
      </c>
      <c r="BR53" s="23">
        <f>EXP(-LN(2)/2)*BR52+(1-EXP(-LN(2)/2))/(LN(2)/2)*BL53*BO53*VLOOKUP('Données projet'!$B$11,Paramètres!$A$1:$I$89,3,0)*0.475*44/12</f>
        <v>1.2949455407532159E-2</v>
      </c>
      <c r="BS53" s="24">
        <f t="shared" si="9"/>
        <v>4.0667331332577339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414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414.00000000000006</v>
      </c>
      <c r="BZ53" s="14">
        <f>BY53*VLOOKUP('Données projet'!$B$12,Paramètres!$A$1:$I$89,3,0)*VLOOKUP('Données projet'!$B$12,Paramètres!$A$1:$I$89,5,0)</f>
        <v>247.57200000000003</v>
      </c>
      <c r="CA53" s="14">
        <f t="shared" si="39"/>
        <v>60.065726249156576</v>
      </c>
      <c r="CB53" s="22">
        <f t="shared" si="10"/>
        <v>535.80237321728112</v>
      </c>
      <c r="CC53" s="62">
        <f t="shared" si="11"/>
        <v>829.13570655061449</v>
      </c>
      <c r="CD53" s="62">
        <f ca="1">AVERAGE(OFFSET($CC$3,0,0,'Données projet'!$E$12+1,1))-AVERAGE(OFFSET($H$3,0,0,'Données projet'!$E$12+1,1))</f>
        <v>348.62416478262719</v>
      </c>
      <c r="CE53" s="62">
        <f t="shared" si="40"/>
        <v>371.70674704563288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47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3.7694065766581186</v>
      </c>
      <c r="CL53" s="23">
        <f>EXP(-LN(2)/25)*CL52+(1-EXP(-LN(2)/25))/(LN(2)/25)*Calculateur!CG53*Calculateur!CI53*VLOOKUP('Données projet'!$B$12,Paramètres!$A$1:$I$89,3,0)*0.475*44/12</f>
        <v>6.9713424158213888</v>
      </c>
      <c r="CM53" s="23">
        <f>EXP(-LN(2)/2)*CM52+(1-EXP(-LN(2)/2))/(LN(2)/2)*CG53*CJ53*VLOOKUP('Données projet'!$B$12,Paramètres!$A$1:$I$89,3,0)*0.475*44/12</f>
        <v>1.6595119771387768E-2</v>
      </c>
      <c r="CN53" s="24">
        <f t="shared" si="12"/>
        <v>10.757344112250895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371.7282125501186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411.73139494306878</v>
      </c>
      <c r="AO54" s="62">
        <f t="shared" si="36"/>
        <v>254.25036207346591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12.25</v>
      </c>
      <c r="BD54" s="13">
        <f>IF('Données projet'!$A$88&gt;35,BD53+BC54-BL53,IF(A54&lt;'Données projet'!$A$88,$BA$205^A54,IF(A54='Données projet'!$A$88,'Données projet'!$B$88,BD53+BC54-BL53)))</f>
        <v>286.24999999999994</v>
      </c>
      <c r="BE54" s="14">
        <f>BD54*VLOOKUP('Données projet'!$B$11,Paramètres!$A$1:$I$89,3,0)*VLOOKUP('Données projet'!$B$11,Paramètres!$A$1:$I$89,5,0)</f>
        <v>163.73499999999999</v>
      </c>
      <c r="BF54" s="14">
        <f t="shared" si="37"/>
        <v>41.683820360110872</v>
      </c>
      <c r="BG54" s="22">
        <f t="shared" si="7"/>
        <v>357.77111212719302</v>
      </c>
      <c r="BH54" s="62">
        <f t="shared" si="8"/>
        <v>651.10444546052634</v>
      </c>
      <c r="BI54" s="62">
        <f ca="1">AVERAGE(OFFSET($BH$3,0,0,'Données projet'!$E$11+1,1))-AVERAGE(OFFSET($H$3,0,0,'Données projet'!$E$11+1,1))</f>
        <v>309.71642374647882</v>
      </c>
      <c r="BJ54" s="62">
        <f t="shared" si="38"/>
        <v>266.63880397664315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1.2165015354604507</v>
      </c>
      <c r="BQ54" s="23">
        <f>EXP(-LN(2)/25)*BQ53+(1-EXP(-LN(2)/25))/(LN(2)/25)*Calculateur!BL54*Calculateur!BN54*VLOOKUP('Données projet'!$B$11,Paramètres!$A$1:$I$89,3,0)*0.475*44/12</f>
        <v>2.7360298839344317</v>
      </c>
      <c r="BR54" s="23">
        <f>EXP(-LN(2)/2)*BR53+(1-EXP(-LN(2)/2))/(LN(2)/2)*BL54*BO54*VLOOKUP('Données projet'!$B$11,Paramètres!$A$1:$I$89,3,0)*0.475*44/12</f>
        <v>9.1566477313387972E-3</v>
      </c>
      <c r="BS54" s="24">
        <f t="shared" si="9"/>
        <v>3.9616880671262211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19.2</v>
      </c>
      <c r="BY54" s="13">
        <f>IF('Données projet'!$A$114&gt;35,BY53+BX54-CG53,IF(A54&lt;'Données projet'!$A$114,$BV$205^A54,IF(A54='Données projet'!$A$114,'Données projet'!$B$114,BY53+BX54-CG53)))</f>
        <v>386.20000000000005</v>
      </c>
      <c r="BZ54" s="14">
        <f>BY54*VLOOKUP('Données projet'!$B$12,Paramètres!$A$1:$I$89,3,0)*VLOOKUP('Données projet'!$B$12,Paramètres!$A$1:$I$89,5,0)</f>
        <v>230.94760000000002</v>
      </c>
      <c r="CA54" s="14">
        <f t="shared" si="39"/>
        <v>56.487525751065782</v>
      </c>
      <c r="CB54" s="22">
        <f t="shared" si="10"/>
        <v>500.61617734977295</v>
      </c>
      <c r="CC54" s="62">
        <f t="shared" si="11"/>
        <v>793.94951068310627</v>
      </c>
      <c r="CD54" s="62">
        <f ca="1">AVERAGE(OFFSET($CC$3,0,0,'Données projet'!$E$12+1,1))-AVERAGE(OFFSET($H$3,0,0,'Données projet'!$E$12+1,1))</f>
        <v>348.62416478262719</v>
      </c>
      <c r="CE54" s="62">
        <f t="shared" si="40"/>
        <v>371.70674704563288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3.6954908128008461</v>
      </c>
      <c r="CL54" s="23">
        <f>EXP(-LN(2)/25)*CL53+(1-EXP(-LN(2)/25))/(LN(2)/25)*Calculateur!CG54*Calculateur!CI54*VLOOKUP('Données projet'!$B$12,Paramètres!$A$1:$I$89,3,0)*0.475*44/12</f>
        <v>6.7807106908537884</v>
      </c>
      <c r="CM54" s="23">
        <f>EXP(-LN(2)/2)*CM53+(1-EXP(-LN(2)/2))/(LN(2)/2)*CG54*CJ54*VLOOKUP('Données projet'!$B$12,Paramètres!$A$1:$I$89,3,0)*0.475*44/12</f>
        <v>1.1734521724951239E-2</v>
      </c>
      <c r="CN54" s="24">
        <f t="shared" si="12"/>
        <v>10.487936025379586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371.7282125501186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411.73139494306878</v>
      </c>
      <c r="AO55" s="62">
        <f t="shared" si="36"/>
        <v>254.25036207346591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12.25</v>
      </c>
      <c r="BD55" s="13">
        <f>IF('Données projet'!$A$88&gt;35,BD54+BC55-BL54,IF(A55&lt;'Données projet'!$A$88,$BA$205^A55,IF(A55='Données projet'!$A$88,'Données projet'!$B$88,BD54+BC55-BL54)))</f>
        <v>298.49999999999994</v>
      </c>
      <c r="BE55" s="14">
        <f>BD55*VLOOKUP('Données projet'!$B$11,Paramètres!$A$1:$I$89,3,0)*VLOOKUP('Données projet'!$B$11,Paramètres!$A$1:$I$89,5,0)</f>
        <v>170.74199999999996</v>
      </c>
      <c r="BF55" s="14">
        <f t="shared" si="37"/>
        <v>43.256164755747903</v>
      </c>
      <c r="BG55" s="22">
        <f t="shared" si="7"/>
        <v>372.71347028292752</v>
      </c>
      <c r="BH55" s="62">
        <f t="shared" si="8"/>
        <v>666.04680361626083</v>
      </c>
      <c r="BI55" s="62">
        <f ca="1">AVERAGE(OFFSET($BH$3,0,0,'Données projet'!$E$11+1,1))-AVERAGE(OFFSET($H$3,0,0,'Données projet'!$E$11+1,1))</f>
        <v>309.71642374647882</v>
      </c>
      <c r="BJ55" s="62">
        <f t="shared" si="38"/>
        <v>266.63880397664315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1.1926466823427422</v>
      </c>
      <c r="BQ55" s="23">
        <f>EXP(-LN(2)/25)*BQ54+(1-EXP(-LN(2)/25))/(LN(2)/25)*Calculateur!BL55*Calculateur!BN55*VLOOKUP('Données projet'!$B$11,Paramètres!$A$1:$I$89,3,0)*0.475*44/12</f>
        <v>2.6612130028766865</v>
      </c>
      <c r="BR55" s="23">
        <f>EXP(-LN(2)/2)*BR54+(1-EXP(-LN(2)/2))/(LN(2)/2)*BL55*BO55*VLOOKUP('Données projet'!$B$11,Paramètres!$A$1:$I$89,3,0)*0.475*44/12</f>
        <v>6.4747277037660797E-3</v>
      </c>
      <c r="BS55" s="24">
        <f t="shared" si="9"/>
        <v>3.8603344129231947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19.2</v>
      </c>
      <c r="BY55" s="13">
        <f>IF('Données projet'!$A$114&gt;35,BY54+BX55-CG54,IF(A55&lt;'Données projet'!$A$114,$BV$205^A55,IF(A55='Données projet'!$A$114,'Données projet'!$B$114,BY54+BX55-CG54)))</f>
        <v>405.40000000000003</v>
      </c>
      <c r="BZ55" s="14">
        <f>BY55*VLOOKUP('Données projet'!$B$12,Paramètres!$A$1:$I$89,3,0)*VLOOKUP('Données projet'!$B$12,Paramètres!$A$1:$I$89,5,0)</f>
        <v>242.42920000000007</v>
      </c>
      <c r="CA55" s="14">
        <f t="shared" si="39"/>
        <v>58.961877963646693</v>
      </c>
      <c r="CB55" s="22">
        <f t="shared" si="10"/>
        <v>524.92279412001812</v>
      </c>
      <c r="CC55" s="62">
        <f t="shared" si="11"/>
        <v>818.25612745335138</v>
      </c>
      <c r="CD55" s="62">
        <f ca="1">AVERAGE(OFFSET($CC$3,0,0,'Données projet'!$E$12+1,1))-AVERAGE(OFFSET($H$3,0,0,'Données projet'!$E$12+1,1))</f>
        <v>348.62416478262719</v>
      </c>
      <c r="CE55" s="62">
        <f t="shared" si="40"/>
        <v>371.70674704563288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3.6230244919886507</v>
      </c>
      <c r="CL55" s="23">
        <f>EXP(-LN(2)/25)*CL54+(1-EXP(-LN(2)/25))/(LN(2)/25)*Calculateur!CG55*Calculateur!CI55*VLOOKUP('Données projet'!$B$12,Paramètres!$A$1:$I$89,3,0)*0.475*44/12</f>
        <v>6.5952918004303136</v>
      </c>
      <c r="CM55" s="23">
        <f>EXP(-LN(2)/2)*CM54+(1-EXP(-LN(2)/2))/(LN(2)/2)*CG55*CJ55*VLOOKUP('Données projet'!$B$12,Paramètres!$A$1:$I$89,3,0)*0.475*44/12</f>
        <v>8.297559885693884E-3</v>
      </c>
      <c r="CN55" s="24">
        <f t="shared" si="12"/>
        <v>10.226613852304659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371.7282125501186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411.73139494306878</v>
      </c>
      <c r="AO56" s="62">
        <f t="shared" si="36"/>
        <v>254.25036207346591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12.25</v>
      </c>
      <c r="BD56" s="13">
        <f>IF('Données projet'!$A$88&gt;35,BD55+BC56-BL55,IF(A56&lt;'Données projet'!$A$88,$BA$205^A56,IF(A56='Données projet'!$A$88,'Données projet'!$B$88,BD55+BC56-BL55)))</f>
        <v>310.74999999999994</v>
      </c>
      <c r="BE56" s="14">
        <f>BD56*VLOOKUP('Données projet'!$B$11,Paramètres!$A$1:$I$89,3,0)*VLOOKUP('Données projet'!$B$11,Paramètres!$A$1:$I$89,5,0)</f>
        <v>177.749</v>
      </c>
      <c r="BF56" s="14">
        <f t="shared" si="37"/>
        <v>44.821013932875545</v>
      </c>
      <c r="BG56" s="22">
        <f t="shared" si="7"/>
        <v>387.64277426642496</v>
      </c>
      <c r="BH56" s="62">
        <f t="shared" si="8"/>
        <v>680.97610759975828</v>
      </c>
      <c r="BI56" s="62">
        <f ca="1">AVERAGE(OFFSET($BH$3,0,0,'Données projet'!$E$11+1,1))-AVERAGE(OFFSET($H$3,0,0,'Données projet'!$E$11+1,1))</f>
        <v>309.71642374647882</v>
      </c>
      <c r="BJ56" s="62">
        <f t="shared" si="38"/>
        <v>266.63880397664315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1.1692596083446483</v>
      </c>
      <c r="BQ56" s="23">
        <f>EXP(-LN(2)/25)*BQ55+(1-EXP(-LN(2)/25))/(LN(2)/25)*Calculateur!BL56*Calculateur!BN56*VLOOKUP('Données projet'!$B$11,Paramètres!$A$1:$I$89,3,0)*0.475*44/12</f>
        <v>2.588441993365914</v>
      </c>
      <c r="BR56" s="23">
        <f>EXP(-LN(2)/2)*BR55+(1-EXP(-LN(2)/2))/(LN(2)/2)*BL56*BO56*VLOOKUP('Données projet'!$B$11,Paramètres!$A$1:$I$89,3,0)*0.475*44/12</f>
        <v>4.5783238656693986E-3</v>
      </c>
      <c r="BS56" s="24">
        <f t="shared" si="9"/>
        <v>3.7622799255762316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19.2</v>
      </c>
      <c r="BY56" s="13">
        <f>IF('Données projet'!$A$114&gt;35,BY55+BX56-CG55,IF(A56&lt;'Données projet'!$A$114,$BV$205^A56,IF(A56='Données projet'!$A$114,'Données projet'!$B$114,BY55+BX56-CG55)))</f>
        <v>424.6</v>
      </c>
      <c r="BZ56" s="14">
        <f>BY56*VLOOKUP('Données projet'!$B$12,Paramètres!$A$1:$I$89,3,0)*VLOOKUP('Données projet'!$B$12,Paramètres!$A$1:$I$89,5,0)</f>
        <v>253.91080000000005</v>
      </c>
      <c r="CA56" s="14">
        <f t="shared" si="39"/>
        <v>61.422621781167194</v>
      </c>
      <c r="CB56" s="22">
        <f t="shared" si="10"/>
        <v>549.20570960219959</v>
      </c>
      <c r="CC56" s="62">
        <f t="shared" si="11"/>
        <v>842.53904293553296</v>
      </c>
      <c r="CD56" s="62">
        <f ca="1">AVERAGE(OFFSET($CC$3,0,0,'Données projet'!$E$12+1,1))-AVERAGE(OFFSET($H$3,0,0,'Données projet'!$E$12+1,1))</f>
        <v>348.62416478262719</v>
      </c>
      <c r="CE56" s="62">
        <f t="shared" si="40"/>
        <v>371.70674704563288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3.551979191527491</v>
      </c>
      <c r="CL56" s="23">
        <f>EXP(-LN(2)/25)*CL55+(1-EXP(-LN(2)/25))/(LN(2)/25)*Calculateur!CG56*Calculateur!CI56*VLOOKUP('Données projet'!$B$12,Paramètres!$A$1:$I$89,3,0)*0.475*44/12</f>
        <v>6.4149431993162249</v>
      </c>
      <c r="CM56" s="23">
        <f>EXP(-LN(2)/2)*CM55+(1-EXP(-LN(2)/2))/(LN(2)/2)*CG56*CJ56*VLOOKUP('Données projet'!$B$12,Paramètres!$A$1:$I$89,3,0)*0.475*44/12</f>
        <v>5.8672608624756196E-3</v>
      </c>
      <c r="CN56" s="24">
        <f t="shared" si="12"/>
        <v>9.9727896517061918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371.7282125501186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411.73139494306878</v>
      </c>
      <c r="AO57" s="62">
        <f t="shared" si="36"/>
        <v>254.25036207346591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12.25</v>
      </c>
      <c r="BD57" s="13">
        <f>IF('Données projet'!$A$88&gt;35,BD56+BC57-BL56,IF(A57&lt;'Données projet'!$A$88,$BA$205^A57,IF(A57='Données projet'!$A$88,'Données projet'!$B$88,BD56+BC57-BL56)))</f>
        <v>322.99999999999994</v>
      </c>
      <c r="BE57" s="14">
        <f>BD57*VLOOKUP('Données projet'!$B$11,Paramètres!$A$1:$I$89,3,0)*VLOOKUP('Données projet'!$B$11,Paramètres!$A$1:$I$89,5,0)</f>
        <v>184.75599999999997</v>
      </c>
      <c r="BF57" s="14">
        <f t="shared" si="37"/>
        <v>46.378697169162017</v>
      </c>
      <c r="BG57" s="22">
        <f t="shared" si="7"/>
        <v>402.5595975696238</v>
      </c>
      <c r="BH57" s="62">
        <f t="shared" si="8"/>
        <v>695.89293090295712</v>
      </c>
      <c r="BI57" s="62">
        <f ca="1">AVERAGE(OFFSET($BH$3,0,0,'Données projet'!$E$11+1,1))-AVERAGE(OFFSET($H$3,0,0,'Données projet'!$E$11+1,1))</f>
        <v>309.71642374647882</v>
      </c>
      <c r="BJ57" s="62">
        <f t="shared" si="38"/>
        <v>266.63880397664315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1.1463311406029504</v>
      </c>
      <c r="BQ57" s="23">
        <f>EXP(-LN(2)/25)*BQ56+(1-EXP(-LN(2)/25))/(LN(2)/25)*Calculateur!BL57*Calculateur!BN57*VLOOKUP('Données projet'!$B$11,Paramètres!$A$1:$I$89,3,0)*0.475*44/12</f>
        <v>2.5176609109370744</v>
      </c>
      <c r="BR57" s="23">
        <f>EXP(-LN(2)/2)*BR56+(1-EXP(-LN(2)/2))/(LN(2)/2)*BL57*BO57*VLOOKUP('Données projet'!$B$11,Paramètres!$A$1:$I$89,3,0)*0.475*44/12</f>
        <v>3.2373638518830399E-3</v>
      </c>
      <c r="BS57" s="24">
        <f t="shared" si="9"/>
        <v>3.6672294153919083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19.2</v>
      </c>
      <c r="BY57" s="13">
        <f>IF('Données projet'!$A$114&gt;35,BY56+BX57-CG56,IF(A57&lt;'Données projet'!$A$114,$BV$205^A57,IF(A57='Données projet'!$A$114,'Données projet'!$B$114,BY56+BX57-CG56)))</f>
        <v>443.8</v>
      </c>
      <c r="BZ57" s="14">
        <f>BY57*VLOOKUP('Données projet'!$B$12,Paramètres!$A$1:$I$89,3,0)*VLOOKUP('Données projet'!$B$12,Paramètres!$A$1:$I$89,5,0)</f>
        <v>265.39240000000007</v>
      </c>
      <c r="CA57" s="14">
        <f t="shared" si="39"/>
        <v>63.870442862391819</v>
      </c>
      <c r="CB57" s="22">
        <f t="shared" si="10"/>
        <v>573.46611798533252</v>
      </c>
      <c r="CC57" s="62">
        <f t="shared" si="11"/>
        <v>866.79945131866589</v>
      </c>
      <c r="CD57" s="62">
        <f ca="1">AVERAGE(OFFSET($CC$3,0,0,'Données projet'!$E$12+1,1))-AVERAGE(OFFSET($H$3,0,0,'Données projet'!$E$12+1,1))</f>
        <v>348.62416478262719</v>
      </c>
      <c r="CE57" s="62">
        <f t="shared" si="40"/>
        <v>371.70674704563288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3.4823270460750204</v>
      </c>
      <c r="CL57" s="23">
        <f>EXP(-LN(2)/25)*CL56+(1-EXP(-LN(2)/25))/(LN(2)/25)*Calculateur!CG57*Calculateur!CI57*VLOOKUP('Données projet'!$B$12,Paramètres!$A$1:$I$89,3,0)*0.475*44/12</f>
        <v>6.2395262401837215</v>
      </c>
      <c r="CM57" s="23">
        <f>EXP(-LN(2)/2)*CM56+(1-EXP(-LN(2)/2))/(LN(2)/2)*CG57*CJ57*VLOOKUP('Données projet'!$B$12,Paramètres!$A$1:$I$89,3,0)*0.475*44/12</f>
        <v>4.148779942846942E-3</v>
      </c>
      <c r="CN57" s="24">
        <f t="shared" si="12"/>
        <v>9.7260020662015894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371.7282125501186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411.73139494306878</v>
      </c>
      <c r="AO58" s="62">
        <f t="shared" si="36"/>
        <v>254.25036207346591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12.25</v>
      </c>
      <c r="BD58" s="13">
        <f>IF('Données projet'!$A$88&gt;35,BD57+BC58-BL57,IF(A58&lt;'Données projet'!$A$88,$BA$205^A58,IF(A58='Données projet'!$A$88,'Données projet'!$B$88,BD57+BC58-BL57)))</f>
        <v>335.24999999999994</v>
      </c>
      <c r="BE58" s="14">
        <f>BD58*VLOOKUP('Données projet'!$B$11,Paramètres!$A$1:$I$89,3,0)*VLOOKUP('Données projet'!$B$11,Paramètres!$A$1:$I$89,5,0)</f>
        <v>191.76299999999995</v>
      </c>
      <c r="BF58" s="14">
        <f t="shared" si="37"/>
        <v>47.929517351413239</v>
      </c>
      <c r="BG58" s="22">
        <f t="shared" si="7"/>
        <v>417.46446772037797</v>
      </c>
      <c r="BH58" s="62">
        <f t="shared" si="8"/>
        <v>710.79780105371128</v>
      </c>
      <c r="BI58" s="62">
        <f ca="1">AVERAGE(OFFSET($BH$3,0,0,'Données projet'!$E$11+1,1))-AVERAGE(OFFSET($H$3,0,0,'Données projet'!$E$11+1,1))</f>
        <v>309.71642374647882</v>
      </c>
      <c r="BJ58" s="62">
        <f t="shared" si="38"/>
        <v>266.63880397664315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1.1238522861286828</v>
      </c>
      <c r="BQ58" s="23">
        <f>EXP(-LN(2)/25)*BQ57+(1-EXP(-LN(2)/25))/(LN(2)/25)*Calculateur!BL58*Calculateur!BN58*VLOOKUP('Données projet'!$B$11,Paramètres!$A$1:$I$89,3,0)*0.475*44/12</f>
        <v>2.4488153409294671</v>
      </c>
      <c r="BR58" s="23">
        <f>EXP(-LN(2)/2)*BR57+(1-EXP(-LN(2)/2))/(LN(2)/2)*BL58*BO58*VLOOKUP('Données projet'!$B$11,Paramètres!$A$1:$I$89,3,0)*0.475*44/12</f>
        <v>2.2891619328346993E-3</v>
      </c>
      <c r="BS58" s="24">
        <f t="shared" si="9"/>
        <v>3.5749567889909848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463</v>
      </c>
      <c r="BW58" s="13">
        <f>VLOOKUP(A58,'Données projet'!$A$113:$I$133,9,0)</f>
        <v>19.2</v>
      </c>
      <c r="BX58" s="13">
        <f t="array" ref="BX58">INDEX(BW:BW,MIN(IF(ISNUMBER(BW58:BW254),ROW(BW58:BW254),"")))</f>
        <v>19.2</v>
      </c>
      <c r="BY58" s="13">
        <f>IF('Données projet'!$A$114&gt;35,BY57+BX58-CG57,IF(A58&lt;'Données projet'!$A$114,$BV$205^A58,IF(A58='Données projet'!$A$114,'Données projet'!$B$114,BY57+BX58-CG57)))</f>
        <v>463</v>
      </c>
      <c r="BZ58" s="14">
        <f>BY58*VLOOKUP('Données projet'!$B$12,Paramètres!$A$1:$I$89,3,0)*VLOOKUP('Données projet'!$B$12,Paramètres!$A$1:$I$89,5,0)</f>
        <v>276.87400000000002</v>
      </c>
      <c r="CA58" s="14">
        <f t="shared" si="39"/>
        <v>66.305964184031993</v>
      </c>
      <c r="CB58" s="22">
        <f t="shared" si="10"/>
        <v>597.7051042871891</v>
      </c>
      <c r="CC58" s="62">
        <f t="shared" si="11"/>
        <v>891.03843762052247</v>
      </c>
      <c r="CD58" s="62">
        <f ca="1">AVERAGE(OFFSET($CC$3,0,0,'Données projet'!$E$12+1,1))-AVERAGE(OFFSET($H$3,0,0,'Données projet'!$E$12+1,1))</f>
        <v>348.62416478262719</v>
      </c>
      <c r="CE58" s="62">
        <f t="shared" si="40"/>
        <v>371.70674704563288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48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3.4140407367112586</v>
      </c>
      <c r="CL58" s="23">
        <f>EXP(-LN(2)/25)*CL57+(1-EXP(-LN(2)/25))/(LN(2)/25)*Calculateur!CG58*Calculateur!CI58*VLOOKUP('Données projet'!$B$12,Paramètres!$A$1:$I$89,3,0)*0.475*44/12</f>
        <v>6.0689060670234731</v>
      </c>
      <c r="CM58" s="23">
        <f>EXP(-LN(2)/2)*CM57+(1-EXP(-LN(2)/2))/(LN(2)/2)*CG58*CJ58*VLOOKUP('Données projet'!$B$12,Paramètres!$A$1:$I$89,3,0)*0.475*44/12</f>
        <v>2.9336304312378098E-3</v>
      </c>
      <c r="CN58" s="24">
        <f t="shared" si="12"/>
        <v>9.4858804341659706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371.7282125501186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186.1704</v>
      </c>
      <c r="AK59" s="14">
        <f t="shared" si="35"/>
        <v>46.692281933796018</v>
      </c>
      <c r="AL59" s="22">
        <f t="shared" si="4"/>
        <v>405.56917103469476</v>
      </c>
      <c r="AM59" s="62">
        <f t="shared" si="5"/>
        <v>698.90250436802808</v>
      </c>
      <c r="AN59" s="62">
        <f ca="1">AVERAGE(OFFSET($AM$3,0,0,'Données projet'!$E$10+1,1))-AVERAGE(OFFSET($H$3,0,0,'Données projet'!$E$10+1,1))</f>
        <v>411.73139494306878</v>
      </c>
      <c r="AO59" s="62">
        <f t="shared" si="36"/>
        <v>254.25036207346591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12.25</v>
      </c>
      <c r="BD59" s="13">
        <f>IF('Données projet'!$A$88&gt;35,BD58+BC59-BL58,IF(A59&lt;'Données projet'!$A$88,$BA$205^A59,IF(A59='Données projet'!$A$88,'Données projet'!$B$88,BD58+BC59-BL58)))</f>
        <v>347.49999999999994</v>
      </c>
      <c r="BE59" s="14">
        <f>BD59*VLOOKUP('Données projet'!$B$11,Paramètres!$A$1:$I$89,3,0)*VLOOKUP('Données projet'!$B$11,Paramètres!$A$1:$I$89,5,0)</f>
        <v>198.76999999999998</v>
      </c>
      <c r="BF59" s="14">
        <f t="shared" si="37"/>
        <v>49.473753977140319</v>
      </c>
      <c r="BG59" s="22">
        <f t="shared" si="7"/>
        <v>432.35787151018599</v>
      </c>
      <c r="BH59" s="62">
        <f t="shared" si="8"/>
        <v>725.69120484351924</v>
      </c>
      <c r="BI59" s="62">
        <f ca="1">AVERAGE(OFFSET($BH$3,0,0,'Données projet'!$E$11+1,1))-AVERAGE(OFFSET($H$3,0,0,'Données projet'!$E$11+1,1))</f>
        <v>309.71642374647882</v>
      </c>
      <c r="BJ59" s="62">
        <f t="shared" si="38"/>
        <v>266.63880397664315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1.1018142282799082</v>
      </c>
      <c r="BQ59" s="23">
        <f>EXP(-LN(2)/25)*BQ58+(1-EXP(-LN(2)/25))/(LN(2)/25)*Calculateur!BL59*Calculateur!BN59*VLOOKUP('Données projet'!$B$11,Paramètres!$A$1:$I$89,3,0)*0.475*44/12</f>
        <v>2.3818523566541487</v>
      </c>
      <c r="BR59" s="23">
        <f>EXP(-LN(2)/2)*BR58+(1-EXP(-LN(2)/2))/(LN(2)/2)*BL59*BO59*VLOOKUP('Données projet'!$B$11,Paramètres!$A$1:$I$89,3,0)*0.475*44/12</f>
        <v>1.6186819259415199E-3</v>
      </c>
      <c r="BS59" s="24">
        <f t="shared" si="9"/>
        <v>3.4852852668599987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</v>
      </c>
      <c r="BY59" s="13">
        <f>IF('Données projet'!$A$114&gt;35,BY58+BX59-CG58,IF(A59&lt;'Données projet'!$A$114,$BV$205^A59,IF(A59='Données projet'!$A$114,'Données projet'!$B$114,BY58+BX59-CG58)))</f>
        <v>432</v>
      </c>
      <c r="BZ59" s="14">
        <f>BY59*VLOOKUP('Données projet'!$B$12,Paramètres!$A$1:$I$89,3,0)*VLOOKUP('Données projet'!$B$12,Paramètres!$A$1:$I$89,5,0)</f>
        <v>258.33600000000001</v>
      </c>
      <c r="CA59" s="14">
        <f t="shared" si="39"/>
        <v>62.367547966451262</v>
      </c>
      <c r="CB59" s="22">
        <f t="shared" si="10"/>
        <v>558.55867937490257</v>
      </c>
      <c r="CC59" s="62">
        <f t="shared" si="11"/>
        <v>851.89201270823582</v>
      </c>
      <c r="CD59" s="62">
        <f ca="1">AVERAGE(OFFSET($CC$3,0,0,'Données projet'!$E$12+1,1))-AVERAGE(OFFSET($H$3,0,0,'Données projet'!$E$12+1,1))</f>
        <v>348.62416478262719</v>
      </c>
      <c r="CE59" s="62">
        <f t="shared" si="40"/>
        <v>371.70674704563288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3.3470934802235845</v>
      </c>
      <c r="CL59" s="23">
        <f>EXP(-LN(2)/25)*CL58+(1-EXP(-LN(2)/25))/(LN(2)/25)*Calculateur!CG59*Calculateur!CI59*VLOOKUP('Données projet'!$B$12,Paramètres!$A$1:$I$89,3,0)*0.475*44/12</f>
        <v>5.9029515114708166</v>
      </c>
      <c r="CM59" s="23">
        <f>EXP(-LN(2)/2)*CM58+(1-EXP(-LN(2)/2))/(LN(2)/2)*CG59*CJ59*VLOOKUP('Données projet'!$B$12,Paramètres!$A$1:$I$89,3,0)*0.475*44/12</f>
        <v>2.074389971423471E-3</v>
      </c>
      <c r="CN59" s="24">
        <f t="shared" si="12"/>
        <v>9.2521193816658247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371.7282125501186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193.8768</v>
      </c>
      <c r="AK60" s="14">
        <f t="shared" si="35"/>
        <v>48.396048099527611</v>
      </c>
      <c r="AL60" s="22">
        <f t="shared" si="4"/>
        <v>421.95854377334393</v>
      </c>
      <c r="AM60" s="62">
        <f t="shared" si="5"/>
        <v>715.29187710667725</v>
      </c>
      <c r="AN60" s="62">
        <f ca="1">AVERAGE(OFFSET($AM$3,0,0,'Données projet'!$E$10+1,1))-AVERAGE(OFFSET($H$3,0,0,'Données projet'!$E$10+1,1))</f>
        <v>411.73139494306878</v>
      </c>
      <c r="AO60" s="62">
        <f t="shared" si="36"/>
        <v>254.25036207346591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12.25</v>
      </c>
      <c r="BD60" s="13">
        <f>IF('Données projet'!$A$88&gt;35,BD59+BC60-BL59,IF(A60&lt;'Données projet'!$A$88,$BA$205^A60,IF(A60='Données projet'!$A$88,'Données projet'!$B$88,BD59+BC60-BL59)))</f>
        <v>359.74999999999994</v>
      </c>
      <c r="BE60" s="14">
        <f>BD60*VLOOKUP('Données projet'!$B$11,Paramètres!$A$1:$I$89,3,0)*VLOOKUP('Données projet'!$B$11,Paramètres!$A$1:$I$89,5,0)</f>
        <v>205.77699999999996</v>
      </c>
      <c r="BF60" s="14">
        <f t="shared" si="37"/>
        <v>51.011665720992838</v>
      </c>
      <c r="BG60" s="22">
        <f t="shared" si="7"/>
        <v>447.24025946406249</v>
      </c>
      <c r="BH60" s="62">
        <f t="shared" si="8"/>
        <v>740.5735927973958</v>
      </c>
      <c r="BI60" s="62">
        <f ca="1">AVERAGE(OFFSET($BH$3,0,0,'Données projet'!$E$11+1,1))-AVERAGE(OFFSET($H$3,0,0,'Données projet'!$E$11+1,1))</f>
        <v>309.71642374647882</v>
      </c>
      <c r="BJ60" s="62">
        <f t="shared" si="38"/>
        <v>266.63880397664315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1.0802083233036599</v>
      </c>
      <c r="BQ60" s="23">
        <f>EXP(-LN(2)/25)*BQ59+(1-EXP(-LN(2)/25))/(LN(2)/25)*Calculateur!BL60*Calculateur!BN60*VLOOKUP('Données projet'!$B$11,Paramètres!$A$1:$I$89,3,0)*0.475*44/12</f>
        <v>2.3167204787052693</v>
      </c>
      <c r="BR60" s="23">
        <f>EXP(-LN(2)/2)*BR59+(1-EXP(-LN(2)/2))/(LN(2)/2)*BL60*BO60*VLOOKUP('Données projet'!$B$11,Paramètres!$A$1:$I$89,3,0)*0.475*44/12</f>
        <v>1.1445809664173497E-3</v>
      </c>
      <c r="BS60" s="24">
        <f t="shared" si="9"/>
        <v>3.3980733829753467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</v>
      </c>
      <c r="BY60" s="13">
        <f>IF('Données projet'!$A$114&gt;35,BY59+BX60-CG59,IF(A60&lt;'Données projet'!$A$114,$BV$205^A60,IF(A60='Données projet'!$A$114,'Données projet'!$B$114,BY59+BX60-CG59)))</f>
        <v>449</v>
      </c>
      <c r="BZ60" s="14">
        <f>BY60*VLOOKUP('Données projet'!$B$12,Paramètres!$A$1:$I$89,3,0)*VLOOKUP('Données projet'!$B$12,Paramètres!$A$1:$I$89,5,0)</f>
        <v>268.50200000000001</v>
      </c>
      <c r="CA60" s="14">
        <f t="shared" si="39"/>
        <v>64.531253013339168</v>
      </c>
      <c r="CB60" s="22">
        <f t="shared" si="10"/>
        <v>580.03291566489895</v>
      </c>
      <c r="CC60" s="62">
        <f t="shared" si="11"/>
        <v>873.36624899823232</v>
      </c>
      <c r="CD60" s="62">
        <f ca="1">AVERAGE(OFFSET($CC$3,0,0,'Données projet'!$E$12+1,1))-AVERAGE(OFFSET($H$3,0,0,'Données projet'!$E$12+1,1))</f>
        <v>348.62416478262719</v>
      </c>
      <c r="CE60" s="62">
        <f t="shared" si="40"/>
        <v>371.70674704563288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3.2814590186018391</v>
      </c>
      <c r="CL60" s="23">
        <f>EXP(-LN(2)/25)*CL59+(1-EXP(-LN(2)/25))/(LN(2)/25)*Calculateur!CG60*Calculateur!CI60*VLOOKUP('Données projet'!$B$12,Paramètres!$A$1:$I$89,3,0)*0.475*44/12</f>
        <v>5.741534991966919</v>
      </c>
      <c r="CM60" s="23">
        <f>EXP(-LN(2)/2)*CM59+(1-EXP(-LN(2)/2))/(LN(2)/2)*CG60*CJ60*VLOOKUP('Données projet'!$B$12,Paramètres!$A$1:$I$89,3,0)*0.475*44/12</f>
        <v>1.4668152156189049E-3</v>
      </c>
      <c r="CN60" s="24">
        <f t="shared" si="12"/>
        <v>9.0244608257843772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371.7282125501186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201.58320000000001</v>
      </c>
      <c r="AK61" s="14">
        <f t="shared" si="35"/>
        <v>50.091947337331924</v>
      </c>
      <c r="AL61" s="22">
        <f t="shared" si="4"/>
        <v>438.33421494585309</v>
      </c>
      <c r="AM61" s="62">
        <f t="shared" si="5"/>
        <v>731.66754827918635</v>
      </c>
      <c r="AN61" s="62">
        <f ca="1">AVERAGE(OFFSET($AM$3,0,0,'Données projet'!$E$10+1,1))-AVERAGE(OFFSET($H$3,0,0,'Données projet'!$E$10+1,1))</f>
        <v>411.73139494306878</v>
      </c>
      <c r="AO61" s="62">
        <f t="shared" si="36"/>
        <v>254.25036207346591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372</v>
      </c>
      <c r="BB61" s="13">
        <f>VLOOKUP(A61,'Données projet'!$A$87:$I$107,9,0)</f>
        <v>12.25</v>
      </c>
      <c r="BC61" s="13">
        <f t="array" ref="BC61">INDEX(BB:BB,MIN(IF(ISNUMBER(BB61:BB257),ROW(BB61:BB257),"")))</f>
        <v>12.25</v>
      </c>
      <c r="BD61" s="13">
        <f>IF('Données projet'!$A$88&gt;35,BD60+BC61-BL60,IF(A61&lt;'Données projet'!$A$88,$BA$205^A61,IF(A61='Données projet'!$A$88,'Données projet'!$B$88,BD60+BC61-BL60)))</f>
        <v>371.99999999999994</v>
      </c>
      <c r="BE61" s="14">
        <f>BD61*VLOOKUP('Données projet'!$B$11,Paramètres!$A$1:$I$89,3,0)*VLOOKUP('Données projet'!$B$11,Paramètres!$A$1:$I$89,5,0)</f>
        <v>212.78399999999999</v>
      </c>
      <c r="BF61" s="14">
        <f t="shared" si="37"/>
        <v>52.543492641808065</v>
      </c>
      <c r="BG61" s="22">
        <f t="shared" si="7"/>
        <v>462.11204968448237</v>
      </c>
      <c r="BH61" s="62">
        <f t="shared" si="8"/>
        <v>755.44538301781563</v>
      </c>
      <c r="BI61" s="62">
        <f ca="1">AVERAGE(OFFSET($BH$3,0,0,'Données projet'!$E$11+1,1))-AVERAGE(OFFSET($H$3,0,0,'Données projet'!$E$11+1,1))</f>
        <v>309.71642374647882</v>
      </c>
      <c r="BJ61" s="62">
        <f t="shared" si="38"/>
        <v>266.63880397664315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48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1.0590260969456951</v>
      </c>
      <c r="BQ61" s="23">
        <f>EXP(-LN(2)/25)*BQ60+(1-EXP(-LN(2)/25))/(LN(2)/25)*Calculateur!BL61*Calculateur!BN61*VLOOKUP('Données projet'!$B$11,Paramètres!$A$1:$I$89,3,0)*0.475*44/12</f>
        <v>2.2533696353840389</v>
      </c>
      <c r="BR61" s="23">
        <f>EXP(-LN(2)/2)*BR60+(1-EXP(-LN(2)/2))/(LN(2)/2)*BL61*BO61*VLOOKUP('Données projet'!$B$11,Paramètres!$A$1:$I$89,3,0)*0.475*44/12</f>
        <v>8.0934096297075996E-4</v>
      </c>
      <c r="BS61" s="24">
        <f t="shared" si="9"/>
        <v>3.3132050732927047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17</v>
      </c>
      <c r="BY61" s="13">
        <f>IF('Données projet'!$A$114&gt;35,BY60+BX61-CG60,IF(A61&lt;'Données projet'!$A$114,$BV$205^A61,IF(A61='Données projet'!$A$114,'Données projet'!$B$114,BY60+BX61-CG60)))</f>
        <v>466</v>
      </c>
      <c r="BZ61" s="14">
        <f>BY61*VLOOKUP('Données projet'!$B$12,Paramètres!$A$1:$I$89,3,0)*VLOOKUP('Données projet'!$B$12,Paramètres!$A$1:$I$89,5,0)</f>
        <v>278.66800000000001</v>
      </c>
      <c r="CA61" s="14">
        <f t="shared" si="39"/>
        <v>66.685440917424543</v>
      </c>
      <c r="CB61" s="22">
        <f t="shared" si="10"/>
        <v>601.49057626451452</v>
      </c>
      <c r="CC61" s="62">
        <f t="shared" si="11"/>
        <v>894.82390959784789</v>
      </c>
      <c r="CD61" s="62">
        <f ca="1">AVERAGE(OFFSET($CC$3,0,0,'Données projet'!$E$12+1,1))-AVERAGE(OFFSET($H$3,0,0,'Données projet'!$E$12+1,1))</f>
        <v>348.62416478262719</v>
      </c>
      <c r="CE61" s="62">
        <f t="shared" si="40"/>
        <v>371.70674704563288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3.2171116087394274</v>
      </c>
      <c r="CL61" s="23">
        <f>EXP(-LN(2)/25)*CL60+(1-EXP(-LN(2)/25))/(LN(2)/25)*Calculateur!CG61*Calculateur!CI61*VLOOKUP('Données projet'!$B$12,Paramètres!$A$1:$I$89,3,0)*0.475*44/12</f>
        <v>5.5845324156773808</v>
      </c>
      <c r="CM61" s="23">
        <f>EXP(-LN(2)/2)*CM60+(1-EXP(-LN(2)/2))/(LN(2)/2)*CG61*CJ61*VLOOKUP('Données projet'!$B$12,Paramètres!$A$1:$I$89,3,0)*0.475*44/12</f>
        <v>1.0371949857117355E-3</v>
      </c>
      <c r="CN61" s="24">
        <f t="shared" si="12"/>
        <v>8.802681219402519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371.7282125501186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209.28960000000001</v>
      </c>
      <c r="AK62" s="14">
        <f t="shared" si="35"/>
        <v>51.780314822292169</v>
      </c>
      <c r="AL62" s="22">
        <f t="shared" si="4"/>
        <v>454.69676831549214</v>
      </c>
      <c r="AM62" s="62">
        <f t="shared" si="5"/>
        <v>748.03010164882539</v>
      </c>
      <c r="AN62" s="62">
        <f ca="1">AVERAGE(OFFSET($AM$3,0,0,'Données projet'!$E$10+1,1))-AVERAGE(OFFSET($H$3,0,0,'Données projet'!$E$10+1,1))</f>
        <v>411.73139494306878</v>
      </c>
      <c r="AO62" s="62">
        <f t="shared" si="36"/>
        <v>254.25036207346591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11.375</v>
      </c>
      <c r="BD62" s="13">
        <f>IF('Données projet'!$A$88&gt;35,BD61+BC62-BL61,IF(A62&lt;'Données projet'!$A$88,$BA$205^A62,IF(A62='Données projet'!$A$88,'Données projet'!$B$88,BD61+BC62-BL61)))</f>
        <v>335.37499999999994</v>
      </c>
      <c r="BE62" s="14">
        <f>BD62*VLOOKUP('Données projet'!$B$11,Paramètres!$A$1:$I$89,3,0)*VLOOKUP('Données projet'!$B$11,Paramètres!$A$1:$I$89,5,0)</f>
        <v>191.83449999999996</v>
      </c>
      <c r="BF62" s="14">
        <f t="shared" si="37"/>
        <v>47.945307658140791</v>
      </c>
      <c r="BG62" s="22">
        <f t="shared" si="7"/>
        <v>417.61649833792848</v>
      </c>
      <c r="BH62" s="62">
        <f t="shared" si="8"/>
        <v>710.94983167126179</v>
      </c>
      <c r="BI62" s="62">
        <f ca="1">AVERAGE(OFFSET($BH$3,0,0,'Données projet'!$E$11+1,1))-AVERAGE(OFFSET($H$3,0,0,'Données projet'!$E$11+1,1))</f>
        <v>309.71642374647882</v>
      </c>
      <c r="BJ62" s="62">
        <f t="shared" si="38"/>
        <v>266.63880397664315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1.0382592411267275</v>
      </c>
      <c r="BQ62" s="23">
        <f>EXP(-LN(2)/25)*BQ61+(1-EXP(-LN(2)/25))/(LN(2)/25)*Calculateur!BL62*Calculateur!BN62*VLOOKUP('Données projet'!$B$11,Paramètres!$A$1:$I$89,3,0)*0.475*44/12</f>
        <v>2.1917511242049033</v>
      </c>
      <c r="BR62" s="23">
        <f>EXP(-LN(2)/2)*BR61+(1-EXP(-LN(2)/2))/(LN(2)/2)*BL62*BO62*VLOOKUP('Données projet'!$B$11,Paramètres!$A$1:$I$89,3,0)*0.475*44/12</f>
        <v>5.7229048320867483E-4</v>
      </c>
      <c r="BS62" s="24">
        <f t="shared" si="9"/>
        <v>3.2305826558148394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17</v>
      </c>
      <c r="BY62" s="13">
        <f>IF('Données projet'!$A$114&gt;35,BY61+BX62-CG61,IF(A62&lt;'Données projet'!$A$114,$BV$205^A62,IF(A62='Données projet'!$A$114,'Données projet'!$B$114,BY61+BX62-CG61)))</f>
        <v>483</v>
      </c>
      <c r="BZ62" s="14">
        <f>BY62*VLOOKUP('Données projet'!$B$12,Paramètres!$A$1:$I$89,3,0)*VLOOKUP('Données projet'!$B$12,Paramètres!$A$1:$I$89,5,0)</f>
        <v>288.834</v>
      </c>
      <c r="CA62" s="14">
        <f t="shared" si="39"/>
        <v>68.830498636563377</v>
      </c>
      <c r="CB62" s="22">
        <f t="shared" si="10"/>
        <v>622.93233512534789</v>
      </c>
      <c r="CC62" s="62">
        <f t="shared" si="11"/>
        <v>916.26566845868115</v>
      </c>
      <c r="CD62" s="62">
        <f ca="1">AVERAGE(OFFSET($CC$3,0,0,'Données projet'!$E$12+1,1))-AVERAGE(OFFSET($H$3,0,0,'Données projet'!$E$12+1,1))</f>
        <v>348.62416478262719</v>
      </c>
      <c r="CE62" s="62">
        <f t="shared" si="40"/>
        <v>371.70674704563288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3.1540260123363728</v>
      </c>
      <c r="CL62" s="23">
        <f>EXP(-LN(2)/25)*CL61+(1-EXP(-LN(2)/25))/(LN(2)/25)*Calculateur!CG62*Calculateur!CI62*VLOOKUP('Données projet'!$B$12,Paramètres!$A$1:$I$89,3,0)*0.475*44/12</f>
        <v>5.4318230830928869</v>
      </c>
      <c r="CM62" s="23">
        <f>EXP(-LN(2)/2)*CM61+(1-EXP(-LN(2)/2))/(LN(2)/2)*CG62*CJ62*VLOOKUP('Données projet'!$B$12,Paramètres!$A$1:$I$89,3,0)*0.475*44/12</f>
        <v>7.3340760780945245E-4</v>
      </c>
      <c r="CN62" s="24">
        <f t="shared" si="12"/>
        <v>8.5865825030370697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371.7282125501186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216.99600000000001</v>
      </c>
      <c r="AK63" s="14">
        <f t="shared" si="35"/>
        <v>53.461459647386917</v>
      </c>
      <c r="AL63" s="22">
        <f t="shared" si="4"/>
        <v>471.04674221919896</v>
      </c>
      <c r="AM63" s="62">
        <f t="shared" si="5"/>
        <v>764.38007555253228</v>
      </c>
      <c r="AN63" s="62">
        <f ca="1">AVERAGE(OFFSET($AM$3,0,0,'Données projet'!$E$10+1,1))-AVERAGE(OFFSET($H$3,0,0,'Données projet'!$E$10+1,1))</f>
        <v>411.73139494306878</v>
      </c>
      <c r="AO63" s="62">
        <f t="shared" si="36"/>
        <v>254.25036207346591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11.375</v>
      </c>
      <c r="BD63" s="13">
        <f>IF('Données projet'!$A$88&gt;35,BD62+BC63-BL62,IF(A63&lt;'Données projet'!$A$88,$BA$205^A63,IF(A63='Données projet'!$A$88,'Données projet'!$B$88,BD62+BC63-BL62)))</f>
        <v>346.74999999999994</v>
      </c>
      <c r="BE63" s="14">
        <f>BD63*VLOOKUP('Données projet'!$B$11,Paramètres!$A$1:$I$89,3,0)*VLOOKUP('Données projet'!$B$11,Paramètres!$A$1:$I$89,5,0)</f>
        <v>198.34099999999995</v>
      </c>
      <c r="BF63" s="14">
        <f t="shared" si="37"/>
        <v>49.379393175979537</v>
      </c>
      <c r="BG63" s="22">
        <f t="shared" si="7"/>
        <v>431.44635144816431</v>
      </c>
      <c r="BH63" s="62">
        <f t="shared" si="8"/>
        <v>724.77968478149762</v>
      </c>
      <c r="BI63" s="62">
        <f ca="1">AVERAGE(OFFSET($BH$3,0,0,'Données projet'!$E$11+1,1))-AVERAGE(OFFSET($H$3,0,0,'Données projet'!$E$11+1,1))</f>
        <v>309.71642374647882</v>
      </c>
      <c r="BJ63" s="62">
        <f t="shared" si="38"/>
        <v>266.63880397664315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1.0178996106838387</v>
      </c>
      <c r="BQ63" s="23">
        <f>EXP(-LN(2)/25)*BQ62+(1-EXP(-LN(2)/25))/(LN(2)/25)*Calculateur!BL63*Calculateur!BN63*VLOOKUP('Données projet'!$B$11,Paramètres!$A$1:$I$89,3,0)*0.475*44/12</f>
        <v>2.1318175744543377</v>
      </c>
      <c r="BR63" s="23">
        <f>EXP(-LN(2)/2)*BR62+(1-EXP(-LN(2)/2))/(LN(2)/2)*BL63*BO63*VLOOKUP('Données projet'!$B$11,Paramètres!$A$1:$I$89,3,0)*0.475*44/12</f>
        <v>4.0467048148537998E-4</v>
      </c>
      <c r="BS63" s="24">
        <f t="shared" si="9"/>
        <v>3.1501218556196622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500</v>
      </c>
      <c r="BW63" s="13">
        <f>VLOOKUP(A63,'Données projet'!$A$113:$I$133,9,0)</f>
        <v>17</v>
      </c>
      <c r="BX63" s="13">
        <f t="array" ref="BX63">INDEX(BW:BW,MIN(IF(ISNUMBER(BW63:BW259),ROW(BW63:BW259),"")))</f>
        <v>17</v>
      </c>
      <c r="BY63" s="13">
        <f>IF('Données projet'!$A$114&gt;35,BY62+BX63-CG62,IF(A63&lt;'Données projet'!$A$114,$BV$205^A63,IF(A63='Données projet'!$A$114,'Données projet'!$B$114,BY62+BX63-CG62)))</f>
        <v>500</v>
      </c>
      <c r="BZ63" s="14">
        <f>BY63*VLOOKUP('Données projet'!$B$12,Paramètres!$A$1:$I$89,3,0)*VLOOKUP('Données projet'!$B$12,Paramètres!$A$1:$I$89,5,0)</f>
        <v>299</v>
      </c>
      <c r="CA63" s="14">
        <f t="shared" si="39"/>
        <v>70.966784344875109</v>
      </c>
      <c r="CB63" s="22">
        <f t="shared" si="10"/>
        <v>644.35881606732414</v>
      </c>
      <c r="CC63" s="62">
        <f t="shared" si="11"/>
        <v>937.6921494006574</v>
      </c>
      <c r="CD63" s="62">
        <f ca="1">AVERAGE(OFFSET($CC$3,0,0,'Données projet'!$E$12+1,1))-AVERAGE(OFFSET($H$3,0,0,'Données projet'!$E$12+1,1))</f>
        <v>348.62416478262719</v>
      </c>
      <c r="CE63" s="62">
        <f t="shared" si="40"/>
        <v>371.70674704563288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32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3.0921774860003679</v>
      </c>
      <c r="CL63" s="23">
        <f>EXP(-LN(2)/25)*CL62+(1-EXP(-LN(2)/25))/(LN(2)/25)*Calculateur!CG63*Calculateur!CI63*VLOOKUP('Données projet'!$B$12,Paramètres!$A$1:$I$89,3,0)*0.475*44/12</f>
        <v>5.2832895952385508</v>
      </c>
      <c r="CM63" s="23">
        <f>EXP(-LN(2)/2)*CM62+(1-EXP(-LN(2)/2))/(LN(2)/2)*CG63*CJ63*VLOOKUP('Données projet'!$B$12,Paramètres!$A$1:$I$89,3,0)*0.475*44/12</f>
        <v>5.1859749285586775E-4</v>
      </c>
      <c r="CN63" s="24">
        <f t="shared" si="12"/>
        <v>8.3759856787317748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371.7282125501186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411.73139494306878</v>
      </c>
      <c r="AO64" s="62">
        <f t="shared" si="36"/>
        <v>254.25036207346591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11.375</v>
      </c>
      <c r="BD64" s="13">
        <f>IF('Données projet'!$A$88&gt;35,BD63+BC64-BL63,IF(A64&lt;'Données projet'!$A$88,$BA$205^A64,IF(A64='Données projet'!$A$88,'Données projet'!$B$88,BD63+BC64-BL63)))</f>
        <v>358.12499999999994</v>
      </c>
      <c r="BE64" s="14">
        <f>BD64*VLOOKUP('Données projet'!$B$11,Paramètres!$A$1:$I$89,3,0)*VLOOKUP('Données projet'!$B$11,Paramètres!$A$1:$I$89,5,0)</f>
        <v>204.8475</v>
      </c>
      <c r="BF64" s="14">
        <f t="shared" si="37"/>
        <v>50.808012105592304</v>
      </c>
      <c r="BG64" s="22">
        <f t="shared" si="7"/>
        <v>445.26668358390657</v>
      </c>
      <c r="BH64" s="62">
        <f t="shared" si="8"/>
        <v>738.60001691723983</v>
      </c>
      <c r="BI64" s="62">
        <f ca="1">AVERAGE(OFFSET($BH$3,0,0,'Données projet'!$E$11+1,1))-AVERAGE(OFFSET($H$3,0,0,'Données projet'!$E$11+1,1))</f>
        <v>309.71642374647882</v>
      </c>
      <c r="BJ64" s="62">
        <f t="shared" si="38"/>
        <v>266.63880397664315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0.99793922017578662</v>
      </c>
      <c r="BQ64" s="23">
        <f>EXP(-LN(2)/25)*BQ63+(1-EXP(-LN(2)/25))/(LN(2)/25)*Calculateur!BL64*Calculateur!BN64*VLOOKUP('Données projet'!$B$11,Paramètres!$A$1:$I$89,3,0)*0.475*44/12</f>
        <v>2.0735229107734701</v>
      </c>
      <c r="BR64" s="23">
        <f>EXP(-LN(2)/2)*BR63+(1-EXP(-LN(2)/2))/(LN(2)/2)*BL64*BO64*VLOOKUP('Données projet'!$B$11,Paramètres!$A$1:$I$89,3,0)*0.475*44/12</f>
        <v>2.8614524160433741E-4</v>
      </c>
      <c r="BS64" s="24">
        <f t="shared" si="9"/>
        <v>3.0717482761908612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17.399999999999999</v>
      </c>
      <c r="BY64" s="13">
        <f>IF('Données projet'!$A$114&gt;35,BY63+BX64-CG63,IF(A64&lt;'Données projet'!$A$114,$BV$205^A64,IF(A64='Données projet'!$A$114,'Données projet'!$B$114,BY63+BX64-CG63)))</f>
        <v>485.4</v>
      </c>
      <c r="BZ64" s="14">
        <f>BY64*VLOOKUP('Données projet'!$B$12,Paramètres!$A$1:$I$89,3,0)*VLOOKUP('Données projet'!$B$12,Paramètres!$A$1:$I$89,5,0)</f>
        <v>290.26920000000001</v>
      </c>
      <c r="CA64" s="14">
        <f t="shared" si="39"/>
        <v>69.13261576818384</v>
      </c>
      <c r="CB64" s="22">
        <f t="shared" si="10"/>
        <v>625.95816246292009</v>
      </c>
      <c r="CC64" s="62">
        <f t="shared" si="11"/>
        <v>919.29149579625346</v>
      </c>
      <c r="CD64" s="62">
        <f ca="1">AVERAGE(OFFSET($CC$3,0,0,'Données projet'!$E$12+1,1))-AVERAGE(OFFSET($H$3,0,0,'Données projet'!$E$12+1,1))</f>
        <v>348.62416478262719</v>
      </c>
      <c r="CE64" s="62">
        <f t="shared" si="40"/>
        <v>371.70674704563288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3.0315417715419359</v>
      </c>
      <c r="CL64" s="23">
        <f>EXP(-LN(2)/25)*CL63+(1-EXP(-LN(2)/25))/(LN(2)/25)*Calculateur!CG64*Calculateur!CI64*VLOOKUP('Données projet'!$B$12,Paramètres!$A$1:$I$89,3,0)*0.475*44/12</f>
        <v>5.1388177634206276</v>
      </c>
      <c r="CM64" s="23">
        <f>EXP(-LN(2)/2)*CM63+(1-EXP(-LN(2)/2))/(LN(2)/2)*CG64*CJ64*VLOOKUP('Données projet'!$B$12,Paramètres!$A$1:$I$89,3,0)*0.475*44/12</f>
        <v>3.6670380390472622E-4</v>
      </c>
      <c r="CN64" s="24">
        <f t="shared" si="12"/>
        <v>8.1707262387664699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371.7282125501186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411.73139494306878</v>
      </c>
      <c r="AO65" s="62">
        <f t="shared" si="36"/>
        <v>254.25036207346591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11.375</v>
      </c>
      <c r="BD65" s="13">
        <f>IF('Données projet'!$A$88&gt;35,BD64+BC65-BL64,IF(A65&lt;'Données projet'!$A$88,$BA$205^A65,IF(A65='Données projet'!$A$88,'Données projet'!$B$88,BD64+BC65-BL64)))</f>
        <v>369.49999999999994</v>
      </c>
      <c r="BE65" s="14">
        <f>BD65*VLOOKUP('Données projet'!$B$11,Paramètres!$A$1:$I$89,3,0)*VLOOKUP('Données projet'!$B$11,Paramètres!$A$1:$I$89,5,0)</f>
        <v>211.35399999999998</v>
      </c>
      <c r="BF65" s="14">
        <f t="shared" si="37"/>
        <v>52.23135799939994</v>
      </c>
      <c r="BG65" s="22">
        <f t="shared" si="7"/>
        <v>459.07783184895493</v>
      </c>
      <c r="BH65" s="62">
        <f t="shared" si="8"/>
        <v>752.41116518228819</v>
      </c>
      <c r="BI65" s="62">
        <f ca="1">AVERAGE(OFFSET($BH$3,0,0,'Données projet'!$E$11+1,1))-AVERAGE(OFFSET($H$3,0,0,'Données projet'!$E$11+1,1))</f>
        <v>309.71642374647882</v>
      </c>
      <c r="BJ65" s="62">
        <f t="shared" si="38"/>
        <v>266.63880397664315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0.97837024075096135</v>
      </c>
      <c r="BQ65" s="23">
        <f>EXP(-LN(2)/25)*BQ64+(1-EXP(-LN(2)/25))/(LN(2)/25)*Calculateur!BL65*Calculateur!BN65*VLOOKUP('Données projet'!$B$11,Paramètres!$A$1:$I$89,3,0)*0.475*44/12</f>
        <v>2.0168223177365387</v>
      </c>
      <c r="BR65" s="23">
        <f>EXP(-LN(2)/2)*BR64+(1-EXP(-LN(2)/2))/(LN(2)/2)*BL65*BO65*VLOOKUP('Données projet'!$B$11,Paramètres!$A$1:$I$89,3,0)*0.475*44/12</f>
        <v>2.0233524074268999E-4</v>
      </c>
      <c r="BS65" s="24">
        <f t="shared" si="9"/>
        <v>2.9953948937282426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17.399999999999999</v>
      </c>
      <c r="BY65" s="13">
        <f>IF('Données projet'!$A$114&gt;35,BY64+BX65-CG64,IF(A65&lt;'Données projet'!$A$114,$BV$205^A65,IF(A65='Données projet'!$A$114,'Données projet'!$B$114,BY64+BX65-CG64)))</f>
        <v>502.79999999999995</v>
      </c>
      <c r="BZ65" s="14">
        <f>BY65*VLOOKUP('Données projet'!$B$12,Paramètres!$A$1:$I$89,3,0)*VLOOKUP('Données projet'!$B$12,Paramètres!$A$1:$I$89,5,0)</f>
        <v>300.67439999999999</v>
      </c>
      <c r="CA65" s="14">
        <f t="shared" si="39"/>
        <v>71.317825137860439</v>
      </c>
      <c r="CB65" s="22">
        <f t="shared" si="10"/>
        <v>647.88645878177363</v>
      </c>
      <c r="CC65" s="62">
        <f t="shared" si="11"/>
        <v>941.21979211510688</v>
      </c>
      <c r="CD65" s="62">
        <f ca="1">AVERAGE(OFFSET($CC$3,0,0,'Données projet'!$E$12+1,1))-AVERAGE(OFFSET($H$3,0,0,'Données projet'!$E$12+1,1))</f>
        <v>348.62416478262719</v>
      </c>
      <c r="CE65" s="62">
        <f t="shared" si="40"/>
        <v>371.70674704563288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2.9720950864599001</v>
      </c>
      <c r="CL65" s="23">
        <f>EXP(-LN(2)/25)*CL64+(1-EXP(-LN(2)/25))/(LN(2)/25)*Calculateur!CG65*Calculateur!CI65*VLOOKUP('Données projet'!$B$12,Paramètres!$A$1:$I$89,3,0)*0.475*44/12</f>
        <v>4.9982965214412092</v>
      </c>
      <c r="CM65" s="23">
        <f>EXP(-LN(2)/2)*CM64+(1-EXP(-LN(2)/2))/(LN(2)/2)*CG65*CJ65*VLOOKUP('Données projet'!$B$12,Paramètres!$A$1:$I$89,3,0)*0.475*44/12</f>
        <v>2.5929874642793388E-4</v>
      </c>
      <c r="CN65" s="24">
        <f t="shared" si="12"/>
        <v>7.9706509066475375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371.7282125501186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411.73139494306878</v>
      </c>
      <c r="AO66" s="62">
        <f t="shared" si="36"/>
        <v>254.25036207346591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11.375</v>
      </c>
      <c r="BD66" s="13">
        <f>IF('Données projet'!$A$88&gt;35,BD65+BC66-BL65,IF(A66&lt;'Données projet'!$A$88,$BA$205^A66,IF(A66='Données projet'!$A$88,'Données projet'!$B$88,BD65+BC66-BL65)))</f>
        <v>380.87499999999994</v>
      </c>
      <c r="BE66" s="14">
        <f>BD66*VLOOKUP('Données projet'!$B$11,Paramètres!$A$1:$I$89,3,0)*VLOOKUP('Données projet'!$B$11,Paramètres!$A$1:$I$89,5,0)</f>
        <v>217.86049999999997</v>
      </c>
      <c r="BF66" s="14">
        <f t="shared" si="37"/>
        <v>53.64961181582801</v>
      </c>
      <c r="BG66" s="22">
        <f t="shared" si="7"/>
        <v>472.88011141256703</v>
      </c>
      <c r="BH66" s="62">
        <f t="shared" si="8"/>
        <v>766.21344474590035</v>
      </c>
      <c r="BI66" s="62">
        <f ca="1">AVERAGE(OFFSET($BH$3,0,0,'Données projet'!$E$11+1,1))-AVERAGE(OFFSET($H$3,0,0,'Données projet'!$E$11+1,1))</f>
        <v>309.71642374647882</v>
      </c>
      <c r="BJ66" s="62">
        <f t="shared" si="38"/>
        <v>266.63880397664315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0.95918499707675797</v>
      </c>
      <c r="BQ66" s="23">
        <f>EXP(-LN(2)/25)*BQ65+(1-EXP(-LN(2)/25))/(LN(2)/25)*Calculateur!BL66*Calculateur!BN66*VLOOKUP('Données projet'!$B$11,Paramètres!$A$1:$I$89,3,0)*0.475*44/12</f>
        <v>1.9616722053979569</v>
      </c>
      <c r="BR66" s="23">
        <f>EXP(-LN(2)/2)*BR65+(1-EXP(-LN(2)/2))/(LN(2)/2)*BL66*BO66*VLOOKUP('Données projet'!$B$11,Paramètres!$A$1:$I$89,3,0)*0.475*44/12</f>
        <v>1.4307262080216871E-4</v>
      </c>
      <c r="BS66" s="24">
        <f t="shared" si="9"/>
        <v>2.9210002750955173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17.399999999999999</v>
      </c>
      <c r="BY66" s="13">
        <f>IF('Données projet'!$A$114&gt;35,BY65+BX66-CG65,IF(A66&lt;'Données projet'!$A$114,$BV$205^A66,IF(A66='Données projet'!$A$114,'Données projet'!$B$114,BY65+BX66-CG65)))</f>
        <v>520.19999999999993</v>
      </c>
      <c r="BZ66" s="14">
        <f>BY66*VLOOKUP('Données projet'!$B$12,Paramètres!$A$1:$I$89,3,0)*VLOOKUP('Données projet'!$B$12,Paramètres!$A$1:$I$89,5,0)</f>
        <v>311.07959999999997</v>
      </c>
      <c r="CA66" s="14">
        <f t="shared" si="39"/>
        <v>73.49424798183118</v>
      </c>
      <c r="CB66" s="22">
        <f t="shared" si="10"/>
        <v>669.79945190168917</v>
      </c>
      <c r="CC66" s="62">
        <f t="shared" si="11"/>
        <v>963.13278523502254</v>
      </c>
      <c r="CD66" s="62">
        <f ca="1">AVERAGE(OFFSET($CC$3,0,0,'Données projet'!$E$12+1,1))-AVERAGE(OFFSET($H$3,0,0,'Données projet'!$E$12+1,1))</f>
        <v>348.62416478262719</v>
      </c>
      <c r="CE66" s="62">
        <f t="shared" si="40"/>
        <v>371.70674704563288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2.9138141146134253</v>
      </c>
      <c r="CL66" s="23">
        <f>EXP(-LN(2)/25)*CL65+(1-EXP(-LN(2)/25))/(LN(2)/25)*Calculateur!CG66*Calculateur!CI66*VLOOKUP('Données projet'!$B$12,Paramètres!$A$1:$I$89,3,0)*0.475*44/12</f>
        <v>4.8616178402134089</v>
      </c>
      <c r="CM66" s="23">
        <f>EXP(-LN(2)/2)*CM65+(1-EXP(-LN(2)/2))/(LN(2)/2)*CG66*CJ66*VLOOKUP('Données projet'!$B$12,Paramètres!$A$1:$I$89,3,0)*0.475*44/12</f>
        <v>1.8335190195236311E-4</v>
      </c>
      <c r="CN66" s="24">
        <f t="shared" si="12"/>
        <v>7.7756153067287865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371.7282125501186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411.73139494306878</v>
      </c>
      <c r="AO67" s="62">
        <f t="shared" si="36"/>
        <v>254.25036207346591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11.375</v>
      </c>
      <c r="BD67" s="13">
        <f>IF('Données projet'!$A$88&gt;35,BD66+BC67-BL66,IF(A67&lt;'Données projet'!$A$88,$BA$205^A67,IF(A67='Données projet'!$A$88,'Données projet'!$B$88,BD66+BC67-BL66)))</f>
        <v>392.24999999999994</v>
      </c>
      <c r="BE67" s="14">
        <f>BD67*VLOOKUP('Données projet'!$B$11,Paramètres!$A$1:$I$89,3,0)*VLOOKUP('Données projet'!$B$11,Paramètres!$A$1:$I$89,5,0)</f>
        <v>224.36699999999996</v>
      </c>
      <c r="BF67" s="14">
        <f t="shared" si="37"/>
        <v>55.062943090135803</v>
      </c>
      <c r="BG67" s="22">
        <f t="shared" si="7"/>
        <v>486.67381754865318</v>
      </c>
      <c r="BH67" s="62">
        <f t="shared" si="8"/>
        <v>780.00715088198649</v>
      </c>
      <c r="BI67" s="62">
        <f ca="1">AVERAGE(OFFSET($BH$3,0,0,'Données projet'!$E$11+1,1))-AVERAGE(OFFSET($H$3,0,0,'Données projet'!$E$11+1,1))</f>
        <v>309.71642374647882</v>
      </c>
      <c r="BJ67" s="62">
        <f t="shared" si="38"/>
        <v>266.63880397664315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0.94037596432916259</v>
      </c>
      <c r="BQ67" s="23">
        <f>EXP(-LN(2)/25)*BQ66+(1-EXP(-LN(2)/25))/(LN(2)/25)*Calculateur!BL67*Calculateur!BN67*VLOOKUP('Données projet'!$B$11,Paramètres!$A$1:$I$89,3,0)*0.475*44/12</f>
        <v>1.9080301757814919</v>
      </c>
      <c r="BR67" s="23">
        <f>EXP(-LN(2)/2)*BR66+(1-EXP(-LN(2)/2))/(LN(2)/2)*BL67*BO67*VLOOKUP('Données projet'!$B$11,Paramètres!$A$1:$I$89,3,0)*0.475*44/12</f>
        <v>1.01167620371345E-4</v>
      </c>
      <c r="BS67" s="24">
        <f t="shared" si="9"/>
        <v>2.8485073077310257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17.399999999999999</v>
      </c>
      <c r="BY67" s="13">
        <f>IF('Données projet'!$A$114&gt;35,BY66+BX67-CG66,IF(A67&lt;'Données projet'!$A$114,$BV$205^A67,IF(A67='Données projet'!$A$114,'Données projet'!$B$114,BY66+BX67-CG66)))</f>
        <v>537.59999999999991</v>
      </c>
      <c r="BZ67" s="14">
        <f>BY67*VLOOKUP('Données projet'!$B$12,Paramètres!$A$1:$I$89,3,0)*VLOOKUP('Données projet'!$B$12,Paramètres!$A$1:$I$89,5,0)</f>
        <v>321.48479999999995</v>
      </c>
      <c r="CA67" s="14">
        <f t="shared" si="39"/>
        <v>75.662211893590367</v>
      </c>
      <c r="CB67" s="22">
        <f t="shared" si="10"/>
        <v>691.69771238133637</v>
      </c>
      <c r="CC67" s="62">
        <f t="shared" si="11"/>
        <v>985.03104571466974</v>
      </c>
      <c r="CD67" s="62">
        <f ca="1">AVERAGE(OFFSET($CC$3,0,0,'Données projet'!$E$12+1,1))-AVERAGE(OFFSET($H$3,0,0,'Données projet'!$E$12+1,1))</f>
        <v>348.62416478262719</v>
      </c>
      <c r="CE67" s="62">
        <f t="shared" si="40"/>
        <v>371.70674704563288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2.8566759970769771</v>
      </c>
      <c r="CL67" s="23">
        <f>EXP(-LN(2)/25)*CL66+(1-EXP(-LN(2)/25))/(LN(2)/25)*Calculateur!CG67*Calculateur!CI67*VLOOKUP('Données projet'!$B$12,Paramètres!$A$1:$I$89,3,0)*0.475*44/12</f>
        <v>4.7286766447114026</v>
      </c>
      <c r="CM67" s="23">
        <f>EXP(-LN(2)/2)*CM66+(1-EXP(-LN(2)/2))/(LN(2)/2)*CG67*CJ67*VLOOKUP('Données projet'!$B$12,Paramètres!$A$1:$I$89,3,0)*0.475*44/12</f>
        <v>1.2964937321396694E-4</v>
      </c>
      <c r="CN67" s="24">
        <f t="shared" si="12"/>
        <v>7.5854822911615933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371.7282125501186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411.73139494306878</v>
      </c>
      <c r="AO68" s="62">
        <f t="shared" si="36"/>
        <v>254.25036207346591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11.375</v>
      </c>
      <c r="BD68" s="13">
        <f>IF('Données projet'!$A$88&gt;35,BD67+BC68-BL67,IF(A68&lt;'Données projet'!$A$88,$BA$205^A68,IF(A68='Données projet'!$A$88,'Données projet'!$B$88,BD67+BC68-BL67)))</f>
        <v>403.62499999999994</v>
      </c>
      <c r="BE68" s="14">
        <f>BD68*VLOOKUP('Données projet'!$B$11,Paramètres!$A$1:$I$89,3,0)*VLOOKUP('Données projet'!$B$11,Paramètres!$A$1:$I$89,5,0)</f>
        <v>230.87349999999998</v>
      </c>
      <c r="BF68" s="14">
        <f t="shared" si="37"/>
        <v>56.471510965615813</v>
      </c>
      <c r="BG68" s="22">
        <f t="shared" ref="BG68:BG131" si="61">(BE68+BF68)*0.475*44/12</f>
        <v>500.45922743178085</v>
      </c>
      <c r="BH68" s="62">
        <f t="shared" ref="BH68:BH131" si="62">BG68+(AY68+AZ68)*44/12</f>
        <v>793.7925607651141</v>
      </c>
      <c r="BI68" s="62">
        <f ca="1">AVERAGE(OFFSET($BH$3,0,0,'Données projet'!$E$11+1,1))-AVERAGE(OFFSET($H$3,0,0,'Données projet'!$E$11+1,1))</f>
        <v>309.71642374647882</v>
      </c>
      <c r="BJ68" s="62">
        <f t="shared" si="38"/>
        <v>266.63880397664315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0.92193576524137033</v>
      </c>
      <c r="BQ68" s="23">
        <f>EXP(-LN(2)/25)*BQ67+(1-EXP(-LN(2)/25))/(LN(2)/25)*Calculateur!BL68*Calculateur!BN68*VLOOKUP('Données projet'!$B$11,Paramètres!$A$1:$I$89,3,0)*0.475*44/12</f>
        <v>1.855854990285801</v>
      </c>
      <c r="BR68" s="23">
        <f>EXP(-LN(2)/2)*BR67+(1-EXP(-LN(2)/2))/(LN(2)/2)*BL68*BO68*VLOOKUP('Données projet'!$B$11,Paramètres!$A$1:$I$89,3,0)*0.475*44/12</f>
        <v>7.1536310401084353E-5</v>
      </c>
      <c r="BS68" s="24">
        <f t="shared" ref="BS68:BS131" si="63">SUM(BP68:BR68)</f>
        <v>2.7778622918375726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555</v>
      </c>
      <c r="BW68" s="13">
        <f>VLOOKUP(A68,'Données projet'!$A$113:$I$133,9,0)</f>
        <v>17.399999999999999</v>
      </c>
      <c r="BX68" s="13">
        <f t="array" ref="BX68">INDEX(BW:BW,MIN(IF(ISNUMBER(BW68:BW264),ROW(BW68:BW264),"")))</f>
        <v>17.399999999999999</v>
      </c>
      <c r="BY68" s="13">
        <f>IF('Données projet'!$A$114&gt;35,BY67+BX68-CG67,IF(A68&lt;'Données projet'!$A$114,$BV$205^A68,IF(A68='Données projet'!$A$114,'Données projet'!$B$114,BY67+BX68-CG67)))</f>
        <v>554.99999999999989</v>
      </c>
      <c r="BZ68" s="14">
        <f>BY68*VLOOKUP('Données projet'!$B$12,Paramètres!$A$1:$I$89,3,0)*VLOOKUP('Données projet'!$B$12,Paramètres!$A$1:$I$89,5,0)</f>
        <v>331.88999999999993</v>
      </c>
      <c r="CA68" s="14">
        <f t="shared" si="39"/>
        <v>77.822022056956186</v>
      </c>
      <c r="CB68" s="22">
        <f t="shared" ref="CB68:CB131" si="64">(BZ68+CA68)*0.475*44/12</f>
        <v>713.58177174919854</v>
      </c>
      <c r="CC68" s="62">
        <f t="shared" ref="CC68:CC131" si="65">CB68+(BT68+BU68)*44/12</f>
        <v>1006.9151050825319</v>
      </c>
      <c r="CD68" s="62">
        <f ca="1">AVERAGE(OFFSET($CC$3,0,0,'Données projet'!$E$12+1,1))-AVERAGE(OFFSET($H$3,0,0,'Données projet'!$E$12+1,1))</f>
        <v>348.62416478262719</v>
      </c>
      <c r="CE68" s="62">
        <f t="shared" si="40"/>
        <v>371.70674704563288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555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2.8006583231746078</v>
      </c>
      <c r="CL68" s="23">
        <f>EXP(-LN(2)/25)*CL67+(1-EXP(-LN(2)/25))/(LN(2)/25)*Calculateur!CG68*Calculateur!CI68*VLOOKUP('Données projet'!$B$12,Paramètres!$A$1:$I$89,3,0)*0.475*44/12</f>
        <v>4.5993707331914724</v>
      </c>
      <c r="CM68" s="23">
        <f>EXP(-LN(2)/2)*CM67+(1-EXP(-LN(2)/2))/(LN(2)/2)*CG68*CJ68*VLOOKUP('Données projet'!$B$12,Paramètres!$A$1:$I$89,3,0)*0.475*44/12</f>
        <v>9.1675950976181556E-5</v>
      </c>
      <c r="CN68" s="24">
        <f t="shared" ref="CN68:CN131" si="66">SUM(CK68:CM68)</f>
        <v>7.4001207323170561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371.7282125501186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766.10041433772585</v>
      </c>
      <c r="AN69" s="62">
        <f ca="1">AVERAGE(OFFSET($AM$3,0,0,'Données projet'!$E$10+1,1))-AVERAGE(OFFSET($H$3,0,0,'Données projet'!$E$10+1,1))</f>
        <v>411.73139494306878</v>
      </c>
      <c r="AO69" s="62">
        <f t="shared" ref="AO69:AO132" si="90">$AO$3</f>
        <v>254.25036207346591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415</v>
      </c>
      <c r="BB69" s="13">
        <f>VLOOKUP(A69,'Données projet'!$A$87:$I$107,9,0)</f>
        <v>11.375</v>
      </c>
      <c r="BC69" s="13">
        <f t="array" ref="BC69">INDEX(BB:BB,MIN(IF(ISNUMBER(BB69:BB265),ROW(BB69:BB265),"")))</f>
        <v>11.375</v>
      </c>
      <c r="BD69" s="13">
        <f>IF('Données projet'!$A$88&gt;35,BD68+BC69-BL68,IF(A69&lt;'Données projet'!$A$88,$BA$205^A69,IF(A69='Données projet'!$A$88,'Données projet'!$B$88,BD68+BC69-BL68)))</f>
        <v>414.99999999999994</v>
      </c>
      <c r="BE69" s="14">
        <f>BD69*VLOOKUP('Données projet'!$B$11,Paramètres!$A$1:$I$89,3,0)*VLOOKUP('Données projet'!$B$11,Paramètres!$A$1:$I$89,5,0)</f>
        <v>237.37999999999997</v>
      </c>
      <c r="BF69" s="14">
        <f t="shared" ref="BF69:BF132" si="91">EXP(-1.0587+0.8836*LN(BE69)+0.284)</f>
        <v>57.875465105279041</v>
      </c>
      <c r="BG69" s="22">
        <f t="shared" si="61"/>
        <v>514.23660172502764</v>
      </c>
      <c r="BH69" s="62">
        <f t="shared" si="62"/>
        <v>807.5699350583609</v>
      </c>
      <c r="BI69" s="62">
        <f ca="1">AVERAGE(OFFSET($BH$3,0,0,'Données projet'!$E$11+1,1))-AVERAGE(OFFSET($H$3,0,0,'Données projet'!$E$11+1,1))</f>
        <v>309.71642374647882</v>
      </c>
      <c r="BJ69" s="62">
        <f t="shared" ref="BJ69:BJ132" si="92">$BJ$3</f>
        <v>266.63880397664315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50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0.90385716721027887</v>
      </c>
      <c r="BQ69" s="23">
        <f>EXP(-LN(2)/25)*BQ68+(1-EXP(-LN(2)/25))/(LN(2)/25)*Calculateur!BL69*Calculateur!BN69*VLOOKUP('Données projet'!$B$11,Paramètres!$A$1:$I$89,3,0)*0.475*44/12</f>
        <v>1.8051065379812634</v>
      </c>
      <c r="BR69" s="23">
        <f>EXP(-LN(2)/2)*BR68+(1-EXP(-LN(2)/2))/(LN(2)/2)*BL69*BO69*VLOOKUP('Données projet'!$B$11,Paramètres!$A$1:$I$89,3,0)*0.475*44/12</f>
        <v>5.0583810185672498E-5</v>
      </c>
      <c r="BS69" s="24">
        <f t="shared" si="63"/>
        <v>2.7090142890017281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-6.7984728957526396E-14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348.62416478262719</v>
      </c>
      <c r="CE69" s="62">
        <f t="shared" ref="CE69:CE132" si="94">$CE$3</f>
        <v>371.70674704563288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2.7457391216900571</v>
      </c>
      <c r="CL69" s="23">
        <f>EXP(-LN(2)/25)*CL68+(1-EXP(-LN(2)/25))/(LN(2)/25)*Calculateur!CG69*Calculateur!CI69*VLOOKUP('Données projet'!$B$12,Paramètres!$A$1:$I$89,3,0)*0.475*44/12</f>
        <v>4.473600698621957</v>
      </c>
      <c r="CM69" s="23">
        <f>EXP(-LN(2)/2)*CM68+(1-EXP(-LN(2)/2))/(LN(2)/2)*CG69*CJ69*VLOOKUP('Données projet'!$B$12,Paramètres!$A$1:$I$89,3,0)*0.475*44/12</f>
        <v>6.4824686606983469E-5</v>
      </c>
      <c r="CN69" s="24">
        <f t="shared" si="66"/>
        <v>7.2194046449986207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371.7282125501186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224.70239999999995</v>
      </c>
      <c r="AK70" s="14">
        <f t="shared" si="89"/>
        <v>55.135667706678262</v>
      </c>
      <c r="AL70" s="22">
        <f t="shared" si="58"/>
        <v>487.38463458913128</v>
      </c>
      <c r="AM70" s="62">
        <f t="shared" si="59"/>
        <v>780.7179679224646</v>
      </c>
      <c r="AN70" s="62">
        <f ca="1">AVERAGE(OFFSET($AM$3,0,0,'Données projet'!$E$10+1,1))-AVERAGE(OFFSET($H$3,0,0,'Données projet'!$E$10+1,1))</f>
        <v>411.73139494306878</v>
      </c>
      <c r="AO70" s="62">
        <f t="shared" si="90"/>
        <v>254.25036207346591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6.75</v>
      </c>
      <c r="BD70" s="13">
        <f>IF('Données projet'!$A$88&gt;35,BD69+BC70-BL69,IF(A70&lt;'Données projet'!$A$88,$BA$205^A70,IF(A70='Données projet'!$A$88,'Données projet'!$B$88,BD69+BC70-BL69)))</f>
        <v>371.74999999999994</v>
      </c>
      <c r="BE70" s="14">
        <f>BD70*VLOOKUP('Données projet'!$B$11,Paramètres!$A$1:$I$89,3,0)*VLOOKUP('Données projet'!$B$11,Paramètres!$A$1:$I$89,5,0)</f>
        <v>212.64099999999996</v>
      </c>
      <c r="BF70" s="14">
        <f t="shared" si="91"/>
        <v>52.512290191227322</v>
      </c>
      <c r="BG70" s="22">
        <f t="shared" si="61"/>
        <v>461.80864708305415</v>
      </c>
      <c r="BH70" s="62">
        <f t="shared" si="62"/>
        <v>755.14198041638747</v>
      </c>
      <c r="BI70" s="62">
        <f ca="1">AVERAGE(OFFSET($BH$3,0,0,'Données projet'!$E$11+1,1))-AVERAGE(OFFSET($H$3,0,0,'Données projet'!$E$11+1,1))</f>
        <v>309.71642374647882</v>
      </c>
      <c r="BJ70" s="62">
        <f t="shared" si="92"/>
        <v>266.63880397664315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0.88613307945972108</v>
      </c>
      <c r="BQ70" s="23">
        <f>EXP(-LN(2)/25)*BQ69+(1-EXP(-LN(2)/25))/(LN(2)/25)*Calculateur!BL70*Calculateur!BN70*VLOOKUP('Données projet'!$B$11,Paramètres!$A$1:$I$89,3,0)*0.475*44/12</f>
        <v>1.7557458047737386</v>
      </c>
      <c r="BR70" s="23">
        <f>EXP(-LN(2)/2)*BR69+(1-EXP(-LN(2)/2))/(LN(2)/2)*BL70*BO70*VLOOKUP('Données projet'!$B$11,Paramètres!$A$1:$I$89,3,0)*0.475*44/12</f>
        <v>3.5768155200542177E-5</v>
      </c>
      <c r="BS70" s="24">
        <f t="shared" si="63"/>
        <v>2.6419146523886603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-6.7984728957526396E-14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348.62416478262719</v>
      </c>
      <c r="CE70" s="62">
        <f t="shared" si="94"/>
        <v>371.70674704563288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2.6918968522492128</v>
      </c>
      <c r="CL70" s="23">
        <f>EXP(-LN(2)/25)*CL69+(1-EXP(-LN(2)/25))/(LN(2)/25)*Calculateur!CG70*Calculateur!CI70*VLOOKUP('Données projet'!$B$12,Paramètres!$A$1:$I$89,3,0)*0.475*44/12</f>
        <v>4.3512698522617033</v>
      </c>
      <c r="CM70" s="23">
        <f>EXP(-LN(2)/2)*CM69+(1-EXP(-LN(2)/2))/(LN(2)/2)*CG70*CJ70*VLOOKUP('Données projet'!$B$12,Paramètres!$A$1:$I$89,3,0)*0.475*44/12</f>
        <v>4.5837975488090778E-5</v>
      </c>
      <c r="CN70" s="24">
        <f t="shared" si="66"/>
        <v>7.0432125424864047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371.7282125501186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231.59759999999997</v>
      </c>
      <c r="AK71" s="14">
        <f t="shared" si="89"/>
        <v>56.627980714948151</v>
      </c>
      <c r="AL71" s="22">
        <f t="shared" si="58"/>
        <v>501.99288641186791</v>
      </c>
      <c r="AM71" s="62">
        <f t="shared" si="59"/>
        <v>795.32621974520123</v>
      </c>
      <c r="AN71" s="62">
        <f ca="1">AVERAGE(OFFSET($AM$3,0,0,'Données projet'!$E$10+1,1))-AVERAGE(OFFSET($H$3,0,0,'Données projet'!$E$10+1,1))</f>
        <v>411.73139494306878</v>
      </c>
      <c r="AO71" s="62">
        <f t="shared" si="90"/>
        <v>254.25036207346591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6.75</v>
      </c>
      <c r="BD71" s="13">
        <f>IF('Données projet'!$A$88&gt;35,BD70+BC71-BL70,IF(A71&lt;'Données projet'!$A$88,$BA$205^A71,IF(A71='Données projet'!$A$88,'Données projet'!$B$88,BD70+BC71-BL70)))</f>
        <v>378.49999999999994</v>
      </c>
      <c r="BE71" s="14">
        <f>BD71*VLOOKUP('Données projet'!$B$11,Paramètres!$A$1:$I$89,3,0)*VLOOKUP('Données projet'!$B$11,Paramètres!$A$1:$I$89,5,0)</f>
        <v>216.50199999999995</v>
      </c>
      <c r="BF71" s="14">
        <f t="shared" si="91"/>
        <v>53.353904963920556</v>
      </c>
      <c r="BG71" s="22">
        <f t="shared" si="61"/>
        <v>469.99903447882821</v>
      </c>
      <c r="BH71" s="62">
        <f t="shared" si="62"/>
        <v>763.33236781216146</v>
      </c>
      <c r="BI71" s="62">
        <f ca="1">AVERAGE(OFFSET($BH$3,0,0,'Données projet'!$E$11+1,1))-AVERAGE(OFFSET($H$3,0,0,'Données projet'!$E$11+1,1))</f>
        <v>309.71642374647882</v>
      </c>
      <c r="BJ71" s="62">
        <f t="shared" si="92"/>
        <v>266.63880397664315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0.86875655025932563</v>
      </c>
      <c r="BQ71" s="23">
        <f>EXP(-LN(2)/25)*BQ70+(1-EXP(-LN(2)/25))/(LN(2)/25)*Calculateur!BL71*Calculateur!BN71*VLOOKUP('Données projet'!$B$11,Paramètres!$A$1:$I$89,3,0)*0.475*44/12</f>
        <v>1.7077348434115418</v>
      </c>
      <c r="BR71" s="23">
        <f>EXP(-LN(2)/2)*BR70+(1-EXP(-LN(2)/2))/(LN(2)/2)*BL71*BO71*VLOOKUP('Données projet'!$B$11,Paramètres!$A$1:$I$89,3,0)*0.475*44/12</f>
        <v>2.5291905092836249E-5</v>
      </c>
      <c r="BS71" s="24">
        <f t="shared" si="63"/>
        <v>2.5765166855759603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-6.7984728957526396E-14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348.62416478262719</v>
      </c>
      <c r="CE71" s="62">
        <f t="shared" si="94"/>
        <v>371.70674704563288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2.6391103968715619</v>
      </c>
      <c r="CL71" s="23">
        <f>EXP(-LN(2)/25)*CL70+(1-EXP(-LN(2)/25))/(LN(2)/25)*Calculateur!CG71*Calculateur!CI71*VLOOKUP('Données projet'!$B$12,Paramètres!$A$1:$I$89,3,0)*0.475*44/12</f>
        <v>4.2322841493282706</v>
      </c>
      <c r="CM71" s="23">
        <f>EXP(-LN(2)/2)*CM70+(1-EXP(-LN(2)/2))/(LN(2)/2)*CG71*CJ71*VLOOKUP('Données projet'!$B$12,Paramètres!$A$1:$I$89,3,0)*0.475*44/12</f>
        <v>3.2412343303491735E-5</v>
      </c>
      <c r="CN71" s="24">
        <f t="shared" si="66"/>
        <v>6.871426958543136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371.7282125501186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809.92547853368751</v>
      </c>
      <c r="AN72" s="62">
        <f ca="1">AVERAGE(OFFSET($AM$3,0,0,'Données projet'!$E$10+1,1))-AVERAGE(OFFSET($H$3,0,0,'Données projet'!$E$10+1,1))</f>
        <v>411.73139494306878</v>
      </c>
      <c r="AO72" s="62">
        <f t="shared" si="90"/>
        <v>254.25036207346591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6.75</v>
      </c>
      <c r="BD72" s="13">
        <f>IF('Données projet'!$A$88&gt;35,BD71+BC72-BL71,IF(A72&lt;'Données projet'!$A$88,$BA$205^A72,IF(A72='Données projet'!$A$88,'Données projet'!$B$88,BD71+BC72-BL71)))</f>
        <v>385.24999999999994</v>
      </c>
      <c r="BE72" s="14">
        <f>BD72*VLOOKUP('Données projet'!$B$11,Paramètres!$A$1:$I$89,3,0)*VLOOKUP('Données projet'!$B$11,Paramètres!$A$1:$I$89,5,0)</f>
        <v>220.36299999999997</v>
      </c>
      <c r="BF72" s="14">
        <f t="shared" si="91"/>
        <v>54.193774405323978</v>
      </c>
      <c r="BG72" s="22">
        <f t="shared" si="61"/>
        <v>478.18638208927251</v>
      </c>
      <c r="BH72" s="62">
        <f t="shared" si="62"/>
        <v>771.51971542260583</v>
      </c>
      <c r="BI72" s="62">
        <f ca="1">AVERAGE(OFFSET($BH$3,0,0,'Données projet'!$E$11+1,1))-AVERAGE(OFFSET($H$3,0,0,'Données projet'!$E$11+1,1))</f>
        <v>309.71642374647882</v>
      </c>
      <c r="BJ72" s="62">
        <f t="shared" si="92"/>
        <v>266.63880397664315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0.85172076419791376</v>
      </c>
      <c r="BQ72" s="23">
        <f>EXP(-LN(2)/25)*BQ71+(1-EXP(-LN(2)/25))/(LN(2)/25)*Calculateur!BL72*Calculateur!BN72*VLOOKUP('Données projet'!$B$11,Paramètres!$A$1:$I$89,3,0)*0.475*44/12</f>
        <v>1.6610367443125809</v>
      </c>
      <c r="BR72" s="23">
        <f>EXP(-LN(2)/2)*BR71+(1-EXP(-LN(2)/2))/(LN(2)/2)*BL72*BO72*VLOOKUP('Données projet'!$B$11,Paramètres!$A$1:$I$89,3,0)*0.475*44/12</f>
        <v>1.7884077600271088E-5</v>
      </c>
      <c r="BS72" s="24">
        <f t="shared" si="63"/>
        <v>2.5127753925880949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-6.7984728957526396E-14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348.62416478262719</v>
      </c>
      <c r="CE72" s="62">
        <f t="shared" si="94"/>
        <v>371.70674704563288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2.587359051687308</v>
      </c>
      <c r="CL72" s="23">
        <f>EXP(-LN(2)/25)*CL71+(1-EXP(-LN(2)/25))/(LN(2)/25)*Calculateur!CG72*Calculateur!CI72*VLOOKUP('Données projet'!$B$12,Paramètres!$A$1:$I$89,3,0)*0.475*44/12</f>
        <v>4.1165521166987382</v>
      </c>
      <c r="CM72" s="23">
        <f>EXP(-LN(2)/2)*CM71+(1-EXP(-LN(2)/2))/(LN(2)/2)*CG72*CJ72*VLOOKUP('Données projet'!$B$12,Paramètres!$A$1:$I$89,3,0)*0.475*44/12</f>
        <v>2.2918987744045389E-5</v>
      </c>
      <c r="CN72" s="24">
        <f t="shared" si="66"/>
        <v>6.7039340873737903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371.7282125501186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245.38799999999998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824.51603414890155</v>
      </c>
      <c r="AN73" s="62">
        <f ca="1">AVERAGE(OFFSET($AM$3,0,0,'Données projet'!$E$10+1,1))-AVERAGE(OFFSET($H$3,0,0,'Données projet'!$E$10+1,1))</f>
        <v>411.73139494306878</v>
      </c>
      <c r="AO73" s="62">
        <f t="shared" si="90"/>
        <v>254.25036207346591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6.75</v>
      </c>
      <c r="BD73" s="13">
        <f>IF('Données projet'!$A$88&gt;35,BD72+BC73-BL72,IF(A73&lt;'Données projet'!$A$88,$BA$205^A73,IF(A73='Données projet'!$A$88,'Données projet'!$B$88,BD72+BC73-BL72)))</f>
        <v>391.99999999999994</v>
      </c>
      <c r="BE73" s="14">
        <f>BD73*VLOOKUP('Données projet'!$B$11,Paramètres!$A$1:$I$89,3,0)*VLOOKUP('Données projet'!$B$11,Paramètres!$A$1:$I$89,5,0)</f>
        <v>224.22399999999999</v>
      </c>
      <c r="BF73" s="14">
        <f t="shared" si="91"/>
        <v>55.031932623797523</v>
      </c>
      <c r="BG73" s="22">
        <f t="shared" si="61"/>
        <v>486.3707493197806</v>
      </c>
      <c r="BH73" s="62">
        <f t="shared" si="62"/>
        <v>779.70408265311391</v>
      </c>
      <c r="BI73" s="62">
        <f ca="1">AVERAGE(OFFSET($BH$3,0,0,'Données projet'!$E$11+1,1))-AVERAGE(OFFSET($H$3,0,0,'Données projet'!$E$11+1,1))</f>
        <v>309.71642374647882</v>
      </c>
      <c r="BJ73" s="62">
        <f t="shared" si="92"/>
        <v>266.63880397664315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0.8350190395103626</v>
      </c>
      <c r="BQ73" s="23">
        <f>EXP(-LN(2)/25)*BQ72+(1-EXP(-LN(2)/25))/(LN(2)/25)*Calculateur!BL73*Calculateur!BN73*VLOOKUP('Données projet'!$B$11,Paramètres!$A$1:$I$89,3,0)*0.475*44/12</f>
        <v>1.6156156071892274</v>
      </c>
      <c r="BR73" s="23">
        <f>EXP(-LN(2)/2)*BR72+(1-EXP(-LN(2)/2))/(LN(2)/2)*BL73*BO73*VLOOKUP('Données projet'!$B$11,Paramètres!$A$1:$I$89,3,0)*0.475*44/12</f>
        <v>1.2645952546418124E-5</v>
      </c>
      <c r="BS73" s="24">
        <f t="shared" si="63"/>
        <v>2.4506472926521363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-6.7984728957526396E-14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348.62416478262719</v>
      </c>
      <c r="CE73" s="62">
        <f t="shared" si="94"/>
        <v>371.70674704563288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2.5366225188169138</v>
      </c>
      <c r="CL73" s="23">
        <f>EXP(-LN(2)/25)*CL72+(1-EXP(-LN(2)/25))/(LN(2)/25)*Calculateur!CG73*Calculateur!CI73*VLOOKUP('Données projet'!$B$12,Paramètres!$A$1:$I$89,3,0)*0.475*44/12</f>
        <v>4.0039847825875441</v>
      </c>
      <c r="CM73" s="23">
        <f>EXP(-LN(2)/2)*CM72+(1-EXP(-LN(2)/2))/(LN(2)/2)*CG73*CJ73*VLOOKUP('Données projet'!$B$12,Paramètres!$A$1:$I$89,3,0)*0.475*44/12</f>
        <v>1.6206171651745867E-5</v>
      </c>
      <c r="CN73" s="24">
        <f t="shared" si="66"/>
        <v>6.5406235075761101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371.7282125501186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230.38079999999997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411.73139494306878</v>
      </c>
      <c r="AO74" s="62">
        <f t="shared" si="90"/>
        <v>254.25036207346591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6.75</v>
      </c>
      <c r="BD74" s="13">
        <f>IF('Données projet'!$A$88&gt;35,BD73+BC74-BL73,IF(A74&lt;'Données projet'!$A$88,$BA$205^A74,IF(A74='Données projet'!$A$88,'Données projet'!$B$88,BD73+BC74-BL73)))</f>
        <v>398.74999999999994</v>
      </c>
      <c r="BE74" s="14">
        <f>BD74*VLOOKUP('Données projet'!$B$11,Paramètres!$A$1:$I$89,3,0)*VLOOKUP('Données projet'!$B$11,Paramètres!$A$1:$I$89,5,0)</f>
        <v>228.08499999999998</v>
      </c>
      <c r="BF74" s="14">
        <f t="shared" si="91"/>
        <v>55.868412485747712</v>
      </c>
      <c r="BG74" s="22">
        <f t="shared" si="61"/>
        <v>494.55219341267713</v>
      </c>
      <c r="BH74" s="62">
        <f t="shared" si="62"/>
        <v>787.88552674601044</v>
      </c>
      <c r="BI74" s="62">
        <f ca="1">AVERAGE(OFFSET($BH$3,0,0,'Données projet'!$E$11+1,1))-AVERAGE(OFFSET($H$3,0,0,'Données projet'!$E$11+1,1))</f>
        <v>309.71642374647882</v>
      </c>
      <c r="BJ74" s="62">
        <f t="shared" si="92"/>
        <v>266.63880397664315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0.81864482545688821</v>
      </c>
      <c r="BQ74" s="23">
        <f>EXP(-LN(2)/25)*BQ73+(1-EXP(-LN(2)/25))/(LN(2)/25)*Calculateur!BL74*Calculateur!BN74*VLOOKUP('Données projet'!$B$11,Paramètres!$A$1:$I$89,3,0)*0.475*44/12</f>
        <v>1.5714365134491057</v>
      </c>
      <c r="BR74" s="23">
        <f>EXP(-LN(2)/2)*BR73+(1-EXP(-LN(2)/2))/(LN(2)/2)*BL74*BO74*VLOOKUP('Données projet'!$B$11,Paramètres!$A$1:$I$89,3,0)*0.475*44/12</f>
        <v>8.9420388001355442E-6</v>
      </c>
      <c r="BS74" s="24">
        <f t="shared" si="63"/>
        <v>2.3900902809447939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-6.7984728957526396E-14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348.62416478262719</v>
      </c>
      <c r="CE74" s="62">
        <f t="shared" si="94"/>
        <v>371.70674704563288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2.4868808984098787</v>
      </c>
      <c r="CL74" s="23">
        <f>EXP(-LN(2)/25)*CL73+(1-EXP(-LN(2)/25))/(LN(2)/25)*Calculateur!CG74*Calculateur!CI74*VLOOKUP('Données projet'!$B$12,Paramètres!$A$1:$I$89,3,0)*0.475*44/12</f>
        <v>3.8944956081472792</v>
      </c>
      <c r="CM74" s="23">
        <f>EXP(-LN(2)/2)*CM73+(1-EXP(-LN(2)/2))/(LN(2)/2)*CG74*CJ74*VLOOKUP('Données projet'!$B$12,Paramètres!$A$1:$I$89,3,0)*0.475*44/12</f>
        <v>1.1459493872022694E-5</v>
      </c>
      <c r="CN74" s="24">
        <f t="shared" si="66"/>
        <v>6.3813879660510304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371.7282125501186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236.66759999999996</v>
      </c>
      <c r="AK75" s="14">
        <f t="shared" si="89"/>
        <v>57.721965974560838</v>
      </c>
      <c r="AL75" s="22">
        <f t="shared" si="58"/>
        <v>512.72849407236004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411.73139494306878</v>
      </c>
      <c r="AO75" s="62">
        <f t="shared" si="90"/>
        <v>254.25036207346591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6.75</v>
      </c>
      <c r="BD75" s="13">
        <f>IF('Données projet'!$A$88&gt;35,BD74+BC75-BL74,IF(A75&lt;'Données projet'!$A$88,$BA$205^A75,IF(A75='Données projet'!$A$88,'Données projet'!$B$88,BD74+BC75-BL74)))</f>
        <v>405.49999999999994</v>
      </c>
      <c r="BE75" s="14">
        <f>BD75*VLOOKUP('Données projet'!$B$11,Paramètres!$A$1:$I$89,3,0)*VLOOKUP('Données projet'!$B$11,Paramètres!$A$1:$I$89,5,0)</f>
        <v>231.946</v>
      </c>
      <c r="BF75" s="14">
        <f t="shared" si="91"/>
        <v>56.703245681093705</v>
      </c>
      <c r="BG75" s="22">
        <f t="shared" si="61"/>
        <v>502.73076956123822</v>
      </c>
      <c r="BH75" s="62">
        <f t="shared" si="62"/>
        <v>796.06410289457153</v>
      </c>
      <c r="BI75" s="62">
        <f ca="1">AVERAGE(OFFSET($BH$3,0,0,'Données projet'!$E$11+1,1))-AVERAGE(OFFSET($H$3,0,0,'Données projet'!$E$11+1,1))</f>
        <v>309.71642374647882</v>
      </c>
      <c r="BJ75" s="62">
        <f t="shared" si="92"/>
        <v>266.63880397664315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0.80259169975371802</v>
      </c>
      <c r="BQ75" s="23">
        <f>EXP(-LN(2)/25)*BQ74+(1-EXP(-LN(2)/25))/(LN(2)/25)*Calculateur!BL75*Calculateur!BN75*VLOOKUP('Données projet'!$B$11,Paramètres!$A$1:$I$89,3,0)*0.475*44/12</f>
        <v>1.5284654993505853</v>
      </c>
      <c r="BR75" s="23">
        <f>EXP(-LN(2)/2)*BR74+(1-EXP(-LN(2)/2))/(LN(2)/2)*BL75*BO75*VLOOKUP('Données projet'!$B$11,Paramètres!$A$1:$I$89,3,0)*0.475*44/12</f>
        <v>6.3229762732090622E-6</v>
      </c>
      <c r="BS75" s="24">
        <f t="shared" si="63"/>
        <v>2.3310635220805764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-6.7984728957526396E-14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348.62416478262719</v>
      </c>
      <c r="CE75" s="62">
        <f t="shared" si="94"/>
        <v>371.70674704563288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2.4381146808396328</v>
      </c>
      <c r="CL75" s="23">
        <f>EXP(-LN(2)/25)*CL74+(1-EXP(-LN(2)/25))/(LN(2)/25)*Calculateur!CG75*Calculateur!CI75*VLOOKUP('Données projet'!$B$12,Paramètres!$A$1:$I$89,3,0)*0.475*44/12</f>
        <v>3.788000420939869</v>
      </c>
      <c r="CM75" s="23">
        <f>EXP(-LN(2)/2)*CM74+(1-EXP(-LN(2)/2))/(LN(2)/2)*CG75*CJ75*VLOOKUP('Données projet'!$B$12,Paramètres!$A$1:$I$89,3,0)*0.475*44/12</f>
        <v>8.1030858258729336E-6</v>
      </c>
      <c r="CN75" s="24">
        <f t="shared" si="66"/>
        <v>6.2261232048653277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371.7282125501186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411.73139494306878</v>
      </c>
      <c r="AO76" s="62">
        <f t="shared" si="90"/>
        <v>254.25036207346591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6.75</v>
      </c>
      <c r="BD76" s="13">
        <f>IF('Données projet'!$A$88&gt;35,BD75+BC76-BL75,IF(A76&lt;'Données projet'!$A$88,$BA$205^A76,IF(A76='Données projet'!$A$88,'Données projet'!$B$88,BD75+BC76-BL75)))</f>
        <v>412.24999999999994</v>
      </c>
      <c r="BE76" s="14">
        <f>BD76*VLOOKUP('Données projet'!$B$11,Paramètres!$A$1:$I$89,3,0)*VLOOKUP('Données projet'!$B$11,Paramètres!$A$1:$I$89,5,0)</f>
        <v>235.80699999999999</v>
      </c>
      <c r="BF76" s="14">
        <f t="shared" si="91"/>
        <v>57.536462784250709</v>
      </c>
      <c r="BG76" s="22">
        <f t="shared" si="61"/>
        <v>510.90653101590328</v>
      </c>
      <c r="BH76" s="62">
        <f t="shared" si="62"/>
        <v>804.23986434923654</v>
      </c>
      <c r="BI76" s="62">
        <f ca="1">AVERAGE(OFFSET($BH$3,0,0,'Données projet'!$E$11+1,1))-AVERAGE(OFFSET($H$3,0,0,'Données projet'!$E$11+1,1))</f>
        <v>309.71642374647882</v>
      </c>
      <c r="BJ76" s="62">
        <f t="shared" si="92"/>
        <v>266.63880397664315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0.78685336605414713</v>
      </c>
      <c r="BQ76" s="23">
        <f>EXP(-LN(2)/25)*BQ75+(1-EXP(-LN(2)/25))/(LN(2)/25)*Calculateur!BL76*Calculateur!BN76*VLOOKUP('Données projet'!$B$11,Paramètres!$A$1:$I$89,3,0)*0.475*44/12</f>
        <v>1.4866695298923363</v>
      </c>
      <c r="BR76" s="23">
        <f>EXP(-LN(2)/2)*BR75+(1-EXP(-LN(2)/2))/(LN(2)/2)*BL76*BO76*VLOOKUP('Données projet'!$B$11,Paramètres!$A$1:$I$89,3,0)*0.475*44/12</f>
        <v>4.4710194000677721E-6</v>
      </c>
      <c r="BS76" s="24">
        <f t="shared" si="63"/>
        <v>2.2735273669658835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-6.7984728957526396E-14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348.62416478262719</v>
      </c>
      <c r="CE76" s="62">
        <f t="shared" si="94"/>
        <v>371.70674704563288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2.3903047390514836</v>
      </c>
      <c r="CL76" s="23">
        <f>EXP(-LN(2)/25)*CL75+(1-EXP(-LN(2)/25))/(LN(2)/25)*Calculateur!CG76*Calculateur!CI76*VLOOKUP('Données projet'!$B$12,Paramètres!$A$1:$I$89,3,0)*0.475*44/12</f>
        <v>3.6844173502269837</v>
      </c>
      <c r="CM76" s="23">
        <f>EXP(-LN(2)/2)*CM75+(1-EXP(-LN(2)/2))/(LN(2)/2)*CG76*CJ76*VLOOKUP('Données projet'!$B$12,Paramètres!$A$1:$I$89,3,0)*0.475*44/12</f>
        <v>5.7297469360113472E-6</v>
      </c>
      <c r="CN76" s="24">
        <f t="shared" si="66"/>
        <v>6.0747278190254024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371.7282125501186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249.24119999999994</v>
      </c>
      <c r="AK77" s="14">
        <f t="shared" si="89"/>
        <v>60.42342651744692</v>
      </c>
      <c r="AL77" s="22">
        <f t="shared" si="58"/>
        <v>539.33255785121992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411.73139494306878</v>
      </c>
      <c r="AO77" s="62">
        <f t="shared" si="90"/>
        <v>254.25036207346591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419</v>
      </c>
      <c r="BB77" s="13">
        <f>VLOOKUP(A77,'Données projet'!$A$87:$I$107,9,0)</f>
        <v>6.75</v>
      </c>
      <c r="BC77" s="13">
        <f t="array" ref="BC77">INDEX(BB:BB,MIN(IF(ISNUMBER(BB77:BB273),ROW(BB77:BB273),"")))</f>
        <v>6.75</v>
      </c>
      <c r="BD77" s="13">
        <f>IF('Données projet'!$A$88&gt;35,BD76+BC77-BL76,IF(A77&lt;'Données projet'!$A$88,$BA$205^A77,IF(A77='Données projet'!$A$88,'Données projet'!$B$88,BD76+BC77-BL76)))</f>
        <v>418.99999999999994</v>
      </c>
      <c r="BE77" s="14">
        <f>BD77*VLOOKUP('Données projet'!$B$11,Paramètres!$A$1:$I$89,3,0)*VLOOKUP('Données projet'!$B$11,Paramètres!$A$1:$I$89,5,0)</f>
        <v>239.66799999999998</v>
      </c>
      <c r="BF77" s="14">
        <f t="shared" si="91"/>
        <v>58.368093311006277</v>
      </c>
      <c r="BG77" s="22">
        <f t="shared" si="61"/>
        <v>519.07952918333581</v>
      </c>
      <c r="BH77" s="62">
        <f t="shared" si="62"/>
        <v>812.41286251666907</v>
      </c>
      <c r="BI77" s="62">
        <f ca="1">AVERAGE(OFFSET($BH$3,0,0,'Données projet'!$E$11+1,1))-AVERAGE(OFFSET($H$3,0,0,'Données projet'!$E$11+1,1))</f>
        <v>309.71642374647882</v>
      </c>
      <c r="BJ77" s="62">
        <f t="shared" si="92"/>
        <v>266.63880397664315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20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0.77142365147898917</v>
      </c>
      <c r="BQ77" s="23">
        <f>EXP(-LN(2)/25)*BQ76+(1-EXP(-LN(2)/25))/(LN(2)/25)*Calculateur!BL77*Calculateur!BN77*VLOOKUP('Données projet'!$B$11,Paramètres!$A$1:$I$89,3,0)*0.475*44/12</f>
        <v>1.4460164734168777</v>
      </c>
      <c r="BR77" s="23">
        <f>EXP(-LN(2)/2)*BR76+(1-EXP(-LN(2)/2))/(LN(2)/2)*BL77*BO77*VLOOKUP('Données projet'!$B$11,Paramètres!$A$1:$I$89,3,0)*0.475*44/12</f>
        <v>3.1614881366045311E-6</v>
      </c>
      <c r="BS77" s="24">
        <f t="shared" si="63"/>
        <v>2.2174432863840035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-6.7984728957526396E-14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348.62416478262719</v>
      </c>
      <c r="CE77" s="62">
        <f t="shared" si="94"/>
        <v>371.70674704563288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2.3434323210606149</v>
      </c>
      <c r="CL77" s="23">
        <f>EXP(-LN(2)/25)*CL76+(1-EXP(-LN(2)/25))/(LN(2)/25)*Calculateur!CG77*Calculateur!CI77*VLOOKUP('Données projet'!$B$12,Paramètres!$A$1:$I$89,3,0)*0.475*44/12</f>
        <v>3.5836667640299393</v>
      </c>
      <c r="CM77" s="23">
        <f>EXP(-LN(2)/2)*CM76+(1-EXP(-LN(2)/2))/(LN(2)/2)*CG77*CJ77*VLOOKUP('Données projet'!$B$12,Paramètres!$A$1:$I$89,3,0)*0.475*44/12</f>
        <v>4.0515429129364668E-6</v>
      </c>
      <c r="CN77" s="24">
        <f t="shared" si="66"/>
        <v>5.927103136633467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371.7282125501186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255.52799999999993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411.73139494306878</v>
      </c>
      <c r="AO78" s="62">
        <f t="shared" si="90"/>
        <v>254.25036207346591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5.625</v>
      </c>
      <c r="BD78" s="13">
        <f>IF('Données projet'!$A$88&gt;35,BD77+BC78-BL77,IF(A78&lt;'Données projet'!$A$88,$BA$205^A78,IF(A78='Données projet'!$A$88,'Données projet'!$B$88,BD77+BC78-BL77)))</f>
        <v>404.62499999999994</v>
      </c>
      <c r="BE78" s="14">
        <f>BD78*VLOOKUP('Données projet'!$B$11,Paramètres!$A$1:$I$89,3,0)*VLOOKUP('Données projet'!$B$11,Paramètres!$A$1:$I$89,5,0)</f>
        <v>231.44549999999995</v>
      </c>
      <c r="BF78" s="14">
        <f t="shared" si="91"/>
        <v>56.595118370327334</v>
      </c>
      <c r="BG78" s="22">
        <f t="shared" si="61"/>
        <v>501.67074366165338</v>
      </c>
      <c r="BH78" s="62">
        <f t="shared" si="62"/>
        <v>795.00407699498669</v>
      </c>
      <c r="BI78" s="62">
        <f ca="1">AVERAGE(OFFSET($BH$3,0,0,'Données projet'!$E$11+1,1))-AVERAGE(OFFSET($H$3,0,0,'Données projet'!$E$11+1,1))</f>
        <v>309.71642374647882</v>
      </c>
      <c r="BJ78" s="62">
        <f t="shared" si="92"/>
        <v>266.63880397664315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0.75629650419545336</v>
      </c>
      <c r="BQ78" s="23">
        <f>EXP(-LN(2)/25)*BQ77+(1-EXP(-LN(2)/25))/(LN(2)/25)*Calculateur!BL78*Calculateur!BN78*VLOOKUP('Données projet'!$B$11,Paramètres!$A$1:$I$89,3,0)*0.475*44/12</f>
        <v>1.4064750769085916</v>
      </c>
      <c r="BR78" s="23">
        <f>EXP(-LN(2)/2)*BR77+(1-EXP(-LN(2)/2))/(LN(2)/2)*BL78*BO78*VLOOKUP('Données projet'!$B$11,Paramètres!$A$1:$I$89,3,0)*0.475*44/12</f>
        <v>2.235509700033886E-6</v>
      </c>
      <c r="BS78" s="24">
        <f t="shared" si="63"/>
        <v>2.1627738166137451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-6.7984728957526396E-14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348.62416478262719</v>
      </c>
      <c r="CE78" s="62">
        <f t="shared" si="94"/>
        <v>371.70674704563288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2.2974790425971952</v>
      </c>
      <c r="CL78" s="23">
        <f>EXP(-LN(2)/25)*CL77+(1-EXP(-LN(2)/25))/(LN(2)/25)*Calculateur!CG78*Calculateur!CI78*VLOOKUP('Données projet'!$B$12,Paramètres!$A$1:$I$89,3,0)*0.475*44/12</f>
        <v>3.4856712079106962</v>
      </c>
      <c r="CM78" s="23">
        <f>EXP(-LN(2)/2)*CM77+(1-EXP(-LN(2)/2))/(LN(2)/2)*CG78*CJ78*VLOOKUP('Données projet'!$B$12,Paramètres!$A$1:$I$89,3,0)*0.475*44/12</f>
        <v>2.8648734680056736E-6</v>
      </c>
      <c r="CN78" s="24">
        <f t="shared" si="66"/>
        <v>5.7831531153813591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371.7282125501186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240.3179999999999</v>
      </c>
      <c r="AK79" s="14">
        <f t="shared" si="89"/>
        <v>58.507944457766484</v>
      </c>
      <c r="AL79" s="22">
        <f t="shared" si="58"/>
        <v>520.45518659727634</v>
      </c>
      <c r="AM79" s="62">
        <f t="shared" si="59"/>
        <v>813.78851993060971</v>
      </c>
      <c r="AN79" s="62">
        <f ca="1">AVERAGE(OFFSET($AM$3,0,0,'Données projet'!$E$10+1,1))-AVERAGE(OFFSET($H$3,0,0,'Données projet'!$E$10+1,1))</f>
        <v>411.73139494306878</v>
      </c>
      <c r="AO79" s="62">
        <f t="shared" si="90"/>
        <v>254.25036207346591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5.625</v>
      </c>
      <c r="BD79" s="13">
        <f>IF('Données projet'!$A$88&gt;35,BD78+BC79-BL78,IF(A79&lt;'Données projet'!$A$88,$BA$205^A79,IF(A79='Données projet'!$A$88,'Données projet'!$B$88,BD78+BC79-BL78)))</f>
        <v>410.24999999999994</v>
      </c>
      <c r="BE79" s="14">
        <f>BD79*VLOOKUP('Données projet'!$B$11,Paramètres!$A$1:$I$89,3,0)*VLOOKUP('Données projet'!$B$11,Paramètres!$A$1:$I$89,5,0)</f>
        <v>234.66299999999995</v>
      </c>
      <c r="BF79" s="14">
        <f t="shared" si="91"/>
        <v>57.289750356834169</v>
      </c>
      <c r="BG79" s="22">
        <f t="shared" si="61"/>
        <v>508.48437353815274</v>
      </c>
      <c r="BH79" s="62">
        <f t="shared" si="62"/>
        <v>801.81770687148605</v>
      </c>
      <c r="BI79" s="62">
        <f ca="1">AVERAGE(OFFSET($BH$3,0,0,'Données projet'!$E$11+1,1))-AVERAGE(OFFSET($H$3,0,0,'Données projet'!$E$11+1,1))</f>
        <v>309.71642374647882</v>
      </c>
      <c r="BJ79" s="62">
        <f t="shared" si="92"/>
        <v>266.63880397664315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0.74146599104349897</v>
      </c>
      <c r="BQ79" s="23">
        <f>EXP(-LN(2)/25)*BQ78+(1-EXP(-LN(2)/25))/(LN(2)/25)*Calculateur!BL79*Calculateur!BN79*VLOOKUP('Données projet'!$B$11,Paramètres!$A$1:$I$89,3,0)*0.475*44/12</f>
        <v>1.3680149419672165</v>
      </c>
      <c r="BR79" s="23">
        <f>EXP(-LN(2)/2)*BR78+(1-EXP(-LN(2)/2))/(LN(2)/2)*BL79*BO79*VLOOKUP('Données projet'!$B$11,Paramètres!$A$1:$I$89,3,0)*0.475*44/12</f>
        <v>1.5807440683022656E-6</v>
      </c>
      <c r="BS79" s="24">
        <f t="shared" si="63"/>
        <v>2.1094825137547835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-6.7984728957526396E-14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348.62416478262719</v>
      </c>
      <c r="CE79" s="62">
        <f t="shared" si="94"/>
        <v>371.70674704563288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2.2524268798957108</v>
      </c>
      <c r="CL79" s="23">
        <f>EXP(-LN(2)/25)*CL78+(1-EXP(-LN(2)/25))/(LN(2)/25)*Calculateur!CG79*Calculateur!CI79*VLOOKUP('Données projet'!$B$12,Paramètres!$A$1:$I$89,3,0)*0.475*44/12</f>
        <v>3.390355345426896</v>
      </c>
      <c r="CM79" s="23">
        <f>EXP(-LN(2)/2)*CM78+(1-EXP(-LN(2)/2))/(LN(2)/2)*CG79*CJ79*VLOOKUP('Données projet'!$B$12,Paramètres!$A$1:$I$89,3,0)*0.475*44/12</f>
        <v>2.0257714564682334E-6</v>
      </c>
      <c r="CN79" s="24">
        <f t="shared" si="66"/>
        <v>5.6427842510940636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371.7282125501186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246.4019999999999</v>
      </c>
      <c r="AK80" s="14">
        <f t="shared" si="89"/>
        <v>59.814834475385474</v>
      </c>
      <c r="AL80" s="22">
        <f t="shared" si="58"/>
        <v>533.32765337796286</v>
      </c>
      <c r="AM80" s="62">
        <f t="shared" si="59"/>
        <v>826.66098671129612</v>
      </c>
      <c r="AN80" s="62">
        <f ca="1">AVERAGE(OFFSET($AM$3,0,0,'Données projet'!$E$10+1,1))-AVERAGE(OFFSET($H$3,0,0,'Données projet'!$E$10+1,1))</f>
        <v>411.73139494306878</v>
      </c>
      <c r="AO80" s="62">
        <f t="shared" si="90"/>
        <v>254.25036207346591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5.625</v>
      </c>
      <c r="BD80" s="13">
        <f>IF('Données projet'!$A$88&gt;35,BD79+BC80-BL79,IF(A80&lt;'Données projet'!$A$88,$BA$205^A80,IF(A80='Données projet'!$A$88,'Données projet'!$B$88,BD79+BC80-BL79)))</f>
        <v>415.87499999999994</v>
      </c>
      <c r="BE80" s="14">
        <f>BD80*VLOOKUP('Données projet'!$B$11,Paramètres!$A$1:$I$89,3,0)*VLOOKUP('Données projet'!$B$11,Paramètres!$A$1:$I$89,5,0)</f>
        <v>237.88049999999998</v>
      </c>
      <c r="BF80" s="14">
        <f t="shared" si="91"/>
        <v>57.983274573421546</v>
      </c>
      <c r="BG80" s="22">
        <f t="shared" si="61"/>
        <v>515.2960740487091</v>
      </c>
      <c r="BH80" s="62">
        <f t="shared" si="62"/>
        <v>808.62940738204247</v>
      </c>
      <c r="BI80" s="62">
        <f ca="1">AVERAGE(OFFSET($BH$3,0,0,'Données projet'!$E$11+1,1))-AVERAGE(OFFSET($H$3,0,0,'Données projet'!$E$11+1,1))</f>
        <v>309.71642374647882</v>
      </c>
      <c r="BJ80" s="62">
        <f t="shared" si="92"/>
        <v>266.63880397664315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0.72692629520873453</v>
      </c>
      <c r="BQ80" s="23">
        <f>EXP(-LN(2)/25)*BQ79+(1-EXP(-LN(2)/25))/(LN(2)/25)*Calculateur!BL80*Calculateur!BN80*VLOOKUP('Données projet'!$B$11,Paramètres!$A$1:$I$89,3,0)*0.475*44/12</f>
        <v>1.3306065014383439</v>
      </c>
      <c r="BR80" s="23">
        <f>EXP(-LN(2)/2)*BR79+(1-EXP(-LN(2)/2))/(LN(2)/2)*BL80*BO80*VLOOKUP('Données projet'!$B$11,Paramètres!$A$1:$I$89,3,0)*0.475*44/12</f>
        <v>1.117754850016943E-6</v>
      </c>
      <c r="BS80" s="24">
        <f t="shared" si="63"/>
        <v>2.0575339144019282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-6.7984728957526396E-14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348.62416478262719</v>
      </c>
      <c r="CE80" s="62">
        <f t="shared" si="94"/>
        <v>371.70674704563288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2.2082581626256967</v>
      </c>
      <c r="CL80" s="23">
        <f>EXP(-LN(2)/25)*CL79+(1-EXP(-LN(2)/25))/(LN(2)/25)*Calculateur!CG80*Calculateur!CI80*VLOOKUP('Données projet'!$B$12,Paramètres!$A$1:$I$89,3,0)*0.475*44/12</f>
        <v>3.2976459002151586</v>
      </c>
      <c r="CM80" s="23">
        <f>EXP(-LN(2)/2)*CM79+(1-EXP(-LN(2)/2))/(LN(2)/2)*CG80*CJ80*VLOOKUP('Données projet'!$B$12,Paramètres!$A$1:$I$89,3,0)*0.475*44/12</f>
        <v>1.4324367340028368E-6</v>
      </c>
      <c r="CN80" s="24">
        <f t="shared" si="66"/>
        <v>5.505905495277589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371.7282125501186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252.4859999999999</v>
      </c>
      <c r="AK81" s="14">
        <f t="shared" si="89"/>
        <v>61.117973383957384</v>
      </c>
      <c r="AL81" s="22">
        <f t="shared" si="58"/>
        <v>546.193586977059</v>
      </c>
      <c r="AM81" s="62">
        <f t="shared" si="59"/>
        <v>839.52692031039237</v>
      </c>
      <c r="AN81" s="62">
        <f ca="1">AVERAGE(OFFSET($AM$3,0,0,'Données projet'!$E$10+1,1))-AVERAGE(OFFSET($H$3,0,0,'Données projet'!$E$10+1,1))</f>
        <v>411.73139494306878</v>
      </c>
      <c r="AO81" s="62">
        <f t="shared" si="90"/>
        <v>254.25036207346591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5.625</v>
      </c>
      <c r="BD81" s="13">
        <f>IF('Données projet'!$A$88&gt;35,BD80+BC81-BL80,IF(A81&lt;'Données projet'!$A$88,$BA$205^A81,IF(A81='Données projet'!$A$88,'Données projet'!$B$88,BD80+BC81-BL80)))</f>
        <v>421.49999999999994</v>
      </c>
      <c r="BE81" s="14">
        <f>BD81*VLOOKUP('Données projet'!$B$11,Paramètres!$A$1:$I$89,3,0)*VLOOKUP('Données projet'!$B$11,Paramètres!$A$1:$I$89,5,0)</f>
        <v>241.09799999999998</v>
      </c>
      <c r="BF81" s="14">
        <f t="shared" si="91"/>
        <v>58.675707735379945</v>
      </c>
      <c r="BG81" s="22">
        <f t="shared" si="61"/>
        <v>522.10587430578664</v>
      </c>
      <c r="BH81" s="62">
        <f t="shared" si="62"/>
        <v>815.43920763912001</v>
      </c>
      <c r="BI81" s="62">
        <f ca="1">AVERAGE(OFFSET($BH$3,0,0,'Données projet'!$E$11+1,1))-AVERAGE(OFFSET($H$3,0,0,'Données projet'!$E$11+1,1))</f>
        <v>309.71642374647882</v>
      </c>
      <c r="BJ81" s="62">
        <f t="shared" si="92"/>
        <v>266.63880397664315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0.71267171394095108</v>
      </c>
      <c r="BQ81" s="23">
        <f>EXP(-LN(2)/25)*BQ80+(1-EXP(-LN(2)/25))/(LN(2)/25)*Calculateur!BL81*Calculateur!BN81*VLOOKUP('Données projet'!$B$11,Paramètres!$A$1:$I$89,3,0)*0.475*44/12</f>
        <v>1.2942209966829576</v>
      </c>
      <c r="BR81" s="23">
        <f>EXP(-LN(2)/2)*BR80+(1-EXP(-LN(2)/2))/(LN(2)/2)*BL81*BO81*VLOOKUP('Données projet'!$B$11,Paramètres!$A$1:$I$89,3,0)*0.475*44/12</f>
        <v>7.9037203415113278E-7</v>
      </c>
      <c r="BS81" s="24">
        <f t="shared" si="63"/>
        <v>2.0068935009959428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-6.7984728957526396E-14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348.62416478262719</v>
      </c>
      <c r="CE81" s="62">
        <f t="shared" si="94"/>
        <v>371.70674704563288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2.16495556696109</v>
      </c>
      <c r="CL81" s="23">
        <f>EXP(-LN(2)/25)*CL80+(1-EXP(-LN(2)/25))/(LN(2)/25)*Calculateur!CG81*Calculateur!CI81*VLOOKUP('Données projet'!$B$12,Paramètres!$A$1:$I$89,3,0)*0.475*44/12</f>
        <v>3.2074715996581142</v>
      </c>
      <c r="CM81" s="23">
        <f>EXP(-LN(2)/2)*CM80+(1-EXP(-LN(2)/2))/(LN(2)/2)*CG81*CJ81*VLOOKUP('Données projet'!$B$12,Paramètres!$A$1:$I$89,3,0)*0.475*44/12</f>
        <v>1.0128857282341167E-6</v>
      </c>
      <c r="CN81" s="24">
        <f t="shared" si="66"/>
        <v>5.372428179504932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371.7282125501186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258.56999999999994</v>
      </c>
      <c r="AK82" s="14">
        <f t="shared" si="89"/>
        <v>62.417461971173843</v>
      </c>
      <c r="AL82" s="22">
        <f t="shared" si="58"/>
        <v>559.05316293312762</v>
      </c>
      <c r="AM82" s="62">
        <f t="shared" si="59"/>
        <v>852.38649626646088</v>
      </c>
      <c r="AN82" s="62">
        <f ca="1">AVERAGE(OFFSET($AM$3,0,0,'Données projet'!$E$10+1,1))-AVERAGE(OFFSET($H$3,0,0,'Données projet'!$E$10+1,1))</f>
        <v>411.73139494306878</v>
      </c>
      <c r="AO82" s="62">
        <f t="shared" si="90"/>
        <v>254.25036207346591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5.625</v>
      </c>
      <c r="BD82" s="13">
        <f>IF('Données projet'!$A$88&gt;35,BD81+BC82-BL81,IF(A82&lt;'Données projet'!$A$88,$BA$205^A82,IF(A82='Données projet'!$A$88,'Données projet'!$B$88,BD81+BC82-BL81)))</f>
        <v>427.12499999999994</v>
      </c>
      <c r="BE82" s="14">
        <f>BD82*VLOOKUP('Données projet'!$B$11,Paramètres!$A$1:$I$89,3,0)*VLOOKUP('Données projet'!$B$11,Paramètres!$A$1:$I$89,5,0)</f>
        <v>244.31549999999999</v>
      </c>
      <c r="BF82" s="14">
        <f t="shared" si="91"/>
        <v>59.36706608622147</v>
      </c>
      <c r="BG82" s="22">
        <f t="shared" si="61"/>
        <v>528.91380260016911</v>
      </c>
      <c r="BH82" s="62">
        <f t="shared" si="62"/>
        <v>822.24713593350248</v>
      </c>
      <c r="BI82" s="62">
        <f ca="1">AVERAGE(OFFSET($BH$3,0,0,'Données projet'!$E$11+1,1))-AVERAGE(OFFSET($H$3,0,0,'Données projet'!$E$11+1,1))</f>
        <v>309.71642374647882</v>
      </c>
      <c r="BJ82" s="62">
        <f t="shared" si="92"/>
        <v>266.63880397664315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0.69869665631739275</v>
      </c>
      <c r="BQ82" s="23">
        <f>EXP(-LN(2)/25)*BQ81+(1-EXP(-LN(2)/25))/(LN(2)/25)*Calculateur!BL82*Calculateur!BN82*VLOOKUP('Données projet'!$B$11,Paramètres!$A$1:$I$89,3,0)*0.475*44/12</f>
        <v>1.2588304554685379</v>
      </c>
      <c r="BR82" s="23">
        <f>EXP(-LN(2)/2)*BR81+(1-EXP(-LN(2)/2))/(LN(2)/2)*BL82*BO82*VLOOKUP('Données projet'!$B$11,Paramètres!$A$1:$I$89,3,0)*0.475*44/12</f>
        <v>5.5887742500847151E-7</v>
      </c>
      <c r="BS82" s="24">
        <f t="shared" si="63"/>
        <v>1.9575276706633555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-6.7984728957526396E-14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348.62416478262719</v>
      </c>
      <c r="CE82" s="62">
        <f t="shared" si="94"/>
        <v>371.70674704563288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2.1225021087854912</v>
      </c>
      <c r="CL82" s="23">
        <f>EXP(-LN(2)/25)*CL81+(1-EXP(-LN(2)/25))/(LN(2)/25)*Calculateur!CG82*Calculateur!CI82*VLOOKUP('Données projet'!$B$12,Paramètres!$A$1:$I$89,3,0)*0.475*44/12</f>
        <v>3.1197631200918625</v>
      </c>
      <c r="CM82" s="23">
        <f>EXP(-LN(2)/2)*CM81+(1-EXP(-LN(2)/2))/(LN(2)/2)*CG82*CJ82*VLOOKUP('Données projet'!$B$12,Paramètres!$A$1:$I$89,3,0)*0.475*44/12</f>
        <v>7.1621836700141841E-7</v>
      </c>
      <c r="CN82" s="24">
        <f t="shared" si="66"/>
        <v>5.2422659450957214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371.7282125501186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264.65399999999988</v>
      </c>
      <c r="AK83" s="14">
        <f t="shared" si="89"/>
        <v>63.71339601121106</v>
      </c>
      <c r="AL83" s="22">
        <f t="shared" si="58"/>
        <v>571.90654805285897</v>
      </c>
      <c r="AM83" s="62">
        <f t="shared" si="59"/>
        <v>865.23988138619234</v>
      </c>
      <c r="AN83" s="62">
        <f ca="1">AVERAGE(OFFSET($AM$3,0,0,'Données projet'!$E$10+1,1))-AVERAGE(OFFSET($H$3,0,0,'Données projet'!$E$10+1,1))</f>
        <v>411.73139494306878</v>
      </c>
      <c r="AO83" s="62">
        <f t="shared" si="90"/>
        <v>254.25036207346591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5.625</v>
      </c>
      <c r="BD83" s="13">
        <f>IF('Données projet'!$A$88&gt;35,BD82+BC83-BL82,IF(A83&lt;'Données projet'!$A$88,$BA$205^A83,IF(A83='Données projet'!$A$88,'Données projet'!$B$88,BD82+BC83-BL82)))</f>
        <v>432.74999999999994</v>
      </c>
      <c r="BE83" s="14">
        <f>BD83*VLOOKUP('Données projet'!$B$11,Paramètres!$A$1:$I$89,3,0)*VLOOKUP('Données projet'!$B$11,Paramètres!$A$1:$I$89,5,0)</f>
        <v>247.53299999999996</v>
      </c>
      <c r="BF83" s="14">
        <f t="shared" si="91"/>
        <v>60.057365417030148</v>
      </c>
      <c r="BG83" s="22">
        <f t="shared" si="61"/>
        <v>535.71988643466068</v>
      </c>
      <c r="BH83" s="62">
        <f t="shared" si="62"/>
        <v>829.05321976799405</v>
      </c>
      <c r="BI83" s="62">
        <f ca="1">AVERAGE(OFFSET($BH$3,0,0,'Données projet'!$E$11+1,1))-AVERAGE(OFFSET($H$3,0,0,'Données projet'!$E$11+1,1))</f>
        <v>309.71642374647882</v>
      </c>
      <c r="BJ83" s="62">
        <f t="shared" si="92"/>
        <v>266.63880397664315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0.68499564104988897</v>
      </c>
      <c r="BQ83" s="23">
        <f>EXP(-LN(2)/25)*BQ82+(1-EXP(-LN(2)/25))/(LN(2)/25)*Calculateur!BL83*Calculateur!BN83*VLOOKUP('Données projet'!$B$11,Paramètres!$A$1:$I$89,3,0)*0.475*44/12</f>
        <v>1.2244076704647342</v>
      </c>
      <c r="BR83" s="23">
        <f>EXP(-LN(2)/2)*BR82+(1-EXP(-LN(2)/2))/(LN(2)/2)*BL83*BO83*VLOOKUP('Données projet'!$B$11,Paramètres!$A$1:$I$89,3,0)*0.475*44/12</f>
        <v>3.9518601707556639E-7</v>
      </c>
      <c r="BS83" s="24">
        <f t="shared" si="63"/>
        <v>1.9094037067006402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-6.7984728957526396E-14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348.62416478262719</v>
      </c>
      <c r="CE83" s="62">
        <f t="shared" si="94"/>
        <v>371.70674704563288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2.080881137030663</v>
      </c>
      <c r="CL83" s="23">
        <f>EXP(-LN(2)/25)*CL82+(1-EXP(-LN(2)/25))/(LN(2)/25)*Calculateur!CG83*Calculateur!CI83*VLOOKUP('Données projet'!$B$12,Paramètres!$A$1:$I$89,3,0)*0.475*44/12</f>
        <v>3.0344530335117383</v>
      </c>
      <c r="CM83" s="23">
        <f>EXP(-LN(2)/2)*CM82+(1-EXP(-LN(2)/2))/(LN(2)/2)*CG83*CJ83*VLOOKUP('Données projet'!$B$12,Paramètres!$A$1:$I$89,3,0)*0.475*44/12</f>
        <v>5.0644286411705835E-7</v>
      </c>
      <c r="CN83" s="24">
        <f t="shared" si="66"/>
        <v>5.1153346769852659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371.7282125501186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249.24119999999988</v>
      </c>
      <c r="AK84" s="14">
        <f t="shared" si="89"/>
        <v>60.42342651744687</v>
      </c>
      <c r="AL84" s="22">
        <f t="shared" si="58"/>
        <v>539.3325578512198</v>
      </c>
      <c r="AM84" s="62">
        <f t="shared" si="59"/>
        <v>832.66589118455317</v>
      </c>
      <c r="AN84" s="62">
        <f ca="1">AVERAGE(OFFSET($AM$3,0,0,'Données projet'!$E$10+1,1))-AVERAGE(OFFSET($H$3,0,0,'Données projet'!$E$10+1,1))</f>
        <v>411.73139494306878</v>
      </c>
      <c r="AO84" s="62">
        <f t="shared" si="90"/>
        <v>254.25036207346591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5.625</v>
      </c>
      <c r="BD84" s="13">
        <f>IF('Données projet'!$A$88&gt;35,BD83+BC84-BL83,IF(A84&lt;'Données projet'!$A$88,$BA$205^A84,IF(A84='Données projet'!$A$88,'Données projet'!$B$88,BD83+BC84-BL83)))</f>
        <v>438.37499999999994</v>
      </c>
      <c r="BE84" s="14">
        <f>BD84*VLOOKUP('Données projet'!$B$11,Paramètres!$A$1:$I$89,3,0)*VLOOKUP('Données projet'!$B$11,Paramètres!$A$1:$I$89,5,0)</f>
        <v>250.75049999999996</v>
      </c>
      <c r="BF84" s="14">
        <f t="shared" si="91"/>
        <v>60.746621084776628</v>
      </c>
      <c r="BG84" s="22">
        <f t="shared" si="61"/>
        <v>542.52415255598589</v>
      </c>
      <c r="BH84" s="62">
        <f t="shared" si="62"/>
        <v>835.85748588931915</v>
      </c>
      <c r="BI84" s="62">
        <f ca="1">AVERAGE(OFFSET($BH$3,0,0,'Données projet'!$E$11+1,1))-AVERAGE(OFFSET($H$3,0,0,'Données projet'!$E$11+1,1))</f>
        <v>309.71642374647882</v>
      </c>
      <c r="BJ84" s="62">
        <f t="shared" si="92"/>
        <v>266.63880397664315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0.67156329433498674</v>
      </c>
      <c r="BQ84" s="23">
        <f>EXP(-LN(2)/25)*BQ83+(1-EXP(-LN(2)/25))/(LN(2)/25)*Calculateur!BL84*Calculateur!BN84*VLOOKUP('Données projet'!$B$11,Paramètres!$A$1:$I$89,3,0)*0.475*44/12</f>
        <v>1.190926178327075</v>
      </c>
      <c r="BR84" s="23">
        <f>EXP(-LN(2)/2)*BR83+(1-EXP(-LN(2)/2))/(LN(2)/2)*BL84*BO84*VLOOKUP('Données projet'!$B$11,Paramètres!$A$1:$I$89,3,0)*0.475*44/12</f>
        <v>2.7943871250423575E-7</v>
      </c>
      <c r="BS84" s="24">
        <f t="shared" si="63"/>
        <v>1.8624897521007744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-6.7984728957526396E-14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348.62416478262719</v>
      </c>
      <c r="CE84" s="62">
        <f t="shared" si="94"/>
        <v>371.70674704563288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2.0400763271456612</v>
      </c>
      <c r="CL84" s="23">
        <f>EXP(-LN(2)/25)*CL83+(1-EXP(-LN(2)/25))/(LN(2)/25)*Calculateur!CG84*Calculateur!CI84*VLOOKUP('Données projet'!$B$12,Paramètres!$A$1:$I$89,3,0)*0.475*44/12</f>
        <v>2.9514757557354101</v>
      </c>
      <c r="CM84" s="23">
        <f>EXP(-LN(2)/2)*CM83+(1-EXP(-LN(2)/2))/(LN(2)/2)*CG84*CJ84*VLOOKUP('Données projet'!$B$12,Paramètres!$A$1:$I$89,3,0)*0.475*44/12</f>
        <v>3.581091835007092E-7</v>
      </c>
      <c r="CN84" s="24">
        <f t="shared" si="66"/>
        <v>4.9915524409902545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371.7282125501186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255.12239999999991</v>
      </c>
      <c r="AK85" s="14">
        <f t="shared" si="89"/>
        <v>61.681527554261443</v>
      </c>
      <c r="AL85" s="22">
        <f t="shared" si="58"/>
        <v>551.7668404903385</v>
      </c>
      <c r="AM85" s="62">
        <f t="shared" si="59"/>
        <v>845.10017382367187</v>
      </c>
      <c r="AN85" s="62">
        <f ca="1">AVERAGE(OFFSET($AM$3,0,0,'Données projet'!$E$10+1,1))-AVERAGE(OFFSET($H$3,0,0,'Données projet'!$E$10+1,1))</f>
        <v>411.73139494306878</v>
      </c>
      <c r="AO85" s="62">
        <f t="shared" si="90"/>
        <v>254.25036207346591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444</v>
      </c>
      <c r="BB85" s="13">
        <f>VLOOKUP(A85,'Données projet'!$A$87:$I$107,9,0)</f>
        <v>5.625</v>
      </c>
      <c r="BC85" s="13">
        <f t="array" ref="BC85">INDEX(BB:BB,MIN(IF(ISNUMBER(BB85:BB281),ROW(BB85:BB281),"")))</f>
        <v>5.625</v>
      </c>
      <c r="BD85" s="13">
        <f>IF('Données projet'!$A$88&gt;35,BD84+BC85-BL84,IF(A85&lt;'Données projet'!$A$88,$BA$205^A85,IF(A85='Données projet'!$A$88,'Données projet'!$B$88,BD84+BC85-BL84)))</f>
        <v>443.99999999999994</v>
      </c>
      <c r="BE85" s="14">
        <f>BD85*VLOOKUP('Données projet'!$B$11,Paramètres!$A$1:$I$89,3,0)*VLOOKUP('Données projet'!$B$11,Paramètres!$A$1:$I$89,5,0)</f>
        <v>253.96799999999999</v>
      </c>
      <c r="BF85" s="14">
        <f t="shared" si="91"/>
        <v>61.434848029666512</v>
      </c>
      <c r="BG85" s="22">
        <f t="shared" si="61"/>
        <v>549.32662698500246</v>
      </c>
      <c r="BH85" s="62">
        <f t="shared" si="62"/>
        <v>842.65996031833583</v>
      </c>
      <c r="BI85" s="62">
        <f ca="1">AVERAGE(OFFSET($BH$3,0,0,'Données projet'!$E$11+1,1))-AVERAGE(OFFSET($H$3,0,0,'Données projet'!$E$11+1,1))</f>
        <v>309.71642374647882</v>
      </c>
      <c r="BJ85" s="62">
        <f t="shared" si="92"/>
        <v>266.63880397664315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444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0.65839434774624128</v>
      </c>
      <c r="BQ85" s="23">
        <f>EXP(-LN(2)/25)*BQ84+(1-EXP(-LN(2)/25))/(LN(2)/25)*Calculateur!BL85*Calculateur!BN85*VLOOKUP('Données projet'!$B$11,Paramètres!$A$1:$I$89,3,0)*0.475*44/12</f>
        <v>1.1583602393526353</v>
      </c>
      <c r="BR85" s="23">
        <f>EXP(-LN(2)/2)*BR84+(1-EXP(-LN(2)/2))/(LN(2)/2)*BL85*BO85*VLOOKUP('Données projet'!$B$11,Paramètres!$A$1:$I$89,3,0)*0.475*44/12</f>
        <v>1.9759300853778319E-7</v>
      </c>
      <c r="BS85" s="24">
        <f t="shared" si="63"/>
        <v>1.8167547846918852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-6.7984728957526396E-14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348.62416478262719</v>
      </c>
      <c r="CE85" s="62">
        <f t="shared" si="94"/>
        <v>371.70674704563288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2.0000716746940275</v>
      </c>
      <c r="CL85" s="23">
        <f>EXP(-LN(2)/25)*CL84+(1-EXP(-LN(2)/25))/(LN(2)/25)*Calculateur!CG85*Calculateur!CI85*VLOOKUP('Données projet'!$B$12,Paramètres!$A$1:$I$89,3,0)*0.475*44/12</f>
        <v>2.8707674959834608</v>
      </c>
      <c r="CM85" s="23">
        <f>EXP(-LN(2)/2)*CM84+(1-EXP(-LN(2)/2))/(LN(2)/2)*CG85*CJ85*VLOOKUP('Données projet'!$B$12,Paramètres!$A$1:$I$89,3,0)*0.475*44/12</f>
        <v>2.5322143205852918E-7</v>
      </c>
      <c r="CN85" s="24">
        <f t="shared" si="66"/>
        <v>4.8708394238989206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371.7282125501186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261.00359999999995</v>
      </c>
      <c r="AK86" s="14">
        <f t="shared" si="89"/>
        <v>62.936256929541173</v>
      </c>
      <c r="AL86" s="22">
        <f t="shared" si="58"/>
        <v>564.19525081895074</v>
      </c>
      <c r="AM86" s="62">
        <f t="shared" si="59"/>
        <v>857.52858415228411</v>
      </c>
      <c r="AN86" s="62">
        <f ca="1">AVERAGE(OFFSET($AM$3,0,0,'Données projet'!$E$10+1,1))-AVERAGE(OFFSET($H$3,0,0,'Données projet'!$E$10+1,1))</f>
        <v>411.73139494306878</v>
      </c>
      <c r="AO86" s="62">
        <f t="shared" si="90"/>
        <v>254.25036207346591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-3.2514435588382188E-14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309.71642374647882</v>
      </c>
      <c r="BJ86" s="62">
        <f t="shared" si="92"/>
        <v>266.63880397664315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0.64548363616783677</v>
      </c>
      <c r="BQ86" s="23">
        <f>EXP(-LN(2)/25)*BQ85+(1-EXP(-LN(2)/25))/(LN(2)/25)*Calculateur!BL86*Calculateur!BN86*VLOOKUP('Données projet'!$B$11,Paramètres!$A$1:$I$89,3,0)*0.475*44/12</f>
        <v>1.1266848176920199</v>
      </c>
      <c r="BR86" s="23">
        <f>EXP(-LN(2)/2)*BR85+(1-EXP(-LN(2)/2))/(LN(2)/2)*BL86*BO86*VLOOKUP('Données projet'!$B$11,Paramètres!$A$1:$I$89,3,0)*0.475*44/12</f>
        <v>1.3971935625211788E-7</v>
      </c>
      <c r="BS86" s="24">
        <f t="shared" si="63"/>
        <v>1.7721685935792129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-6.7984728957526396E-14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348.62416478262719</v>
      </c>
      <c r="CE86" s="62">
        <f t="shared" si="94"/>
        <v>371.70674704563288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1.9608514890765418</v>
      </c>
      <c r="CL86" s="23">
        <f>EXP(-LN(2)/25)*CL85+(1-EXP(-LN(2)/25))/(LN(2)/25)*Calculateur!CG86*Calculateur!CI86*VLOOKUP('Données projet'!$B$12,Paramètres!$A$1:$I$89,3,0)*0.475*44/12</f>
        <v>2.7922662078386917</v>
      </c>
      <c r="CM86" s="23">
        <f>EXP(-LN(2)/2)*CM85+(1-EXP(-LN(2)/2))/(LN(2)/2)*CG86*CJ86*VLOOKUP('Données projet'!$B$12,Paramètres!$A$1:$I$89,3,0)*0.475*44/12</f>
        <v>1.790545917503546E-7</v>
      </c>
      <c r="CN86" s="24">
        <f t="shared" si="66"/>
        <v>4.7531178759698252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371.7282125501186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266.88479999999993</v>
      </c>
      <c r="AK87" s="14">
        <f t="shared" si="89"/>
        <v>64.18769936370569</v>
      </c>
      <c r="AL87" s="22">
        <f t="shared" si="58"/>
        <v>576.61793639178723</v>
      </c>
      <c r="AM87" s="62">
        <f t="shared" si="59"/>
        <v>869.95126972512048</v>
      </c>
      <c r="AN87" s="62">
        <f ca="1">AVERAGE(OFFSET($AM$3,0,0,'Données projet'!$E$10+1,1))-AVERAGE(OFFSET($H$3,0,0,'Données projet'!$E$10+1,1))</f>
        <v>411.73139494306878</v>
      </c>
      <c r="AO87" s="62">
        <f t="shared" si="90"/>
        <v>254.25036207346591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-3.2514435588382188E-14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309.71642374647882</v>
      </c>
      <c r="BJ87" s="62">
        <f t="shared" si="92"/>
        <v>266.63880397664315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0.63282609576872828</v>
      </c>
      <c r="BQ87" s="23">
        <f>EXP(-LN(2)/25)*BQ86+(1-EXP(-LN(2)/25))/(LN(2)/25)*Calculateur!BL87*Calculateur!BN87*VLOOKUP('Données projet'!$B$11,Paramètres!$A$1:$I$89,3,0)*0.475*44/12</f>
        <v>1.0958755621024521</v>
      </c>
      <c r="BR87" s="23">
        <f>EXP(-LN(2)/2)*BR86+(1-EXP(-LN(2)/2))/(LN(2)/2)*BL87*BO87*VLOOKUP('Données projet'!$B$11,Paramètres!$A$1:$I$89,3,0)*0.475*44/12</f>
        <v>9.8796504268891597E-8</v>
      </c>
      <c r="BS87" s="24">
        <f t="shared" si="63"/>
        <v>1.7287017566676846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-6.7984728957526396E-14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348.62416478262719</v>
      </c>
      <c r="CE87" s="62">
        <f t="shared" si="94"/>
        <v>371.70674704563288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1.9224003873770639</v>
      </c>
      <c r="CL87" s="23">
        <f>EXP(-LN(2)/25)*CL86+(1-EXP(-LN(2)/25))/(LN(2)/25)*Calculateur!CG87*Calculateur!CI87*VLOOKUP('Données projet'!$B$12,Paramètres!$A$1:$I$89,3,0)*0.475*44/12</f>
        <v>2.7159115415464448</v>
      </c>
      <c r="CM87" s="23">
        <f>EXP(-LN(2)/2)*CM86+(1-EXP(-LN(2)/2))/(LN(2)/2)*CG87*CJ87*VLOOKUP('Données projet'!$B$12,Paramètres!$A$1:$I$89,3,0)*0.475*44/12</f>
        <v>1.2661071602926459E-7</v>
      </c>
      <c r="CN87" s="24">
        <f t="shared" si="66"/>
        <v>4.6383120555342243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371.7282125501186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272.76599999999996</v>
      </c>
      <c r="AK88" s="14">
        <f t="shared" si="89"/>
        <v>65.43593563008757</v>
      </c>
      <c r="AL88" s="22">
        <f t="shared" si="58"/>
        <v>589.03503788906914</v>
      </c>
      <c r="AM88" s="62">
        <f t="shared" si="59"/>
        <v>882.3683712224024</v>
      </c>
      <c r="AN88" s="62">
        <f ca="1">AVERAGE(OFFSET($AM$3,0,0,'Données projet'!$E$10+1,1))-AVERAGE(OFFSET($H$3,0,0,'Données projet'!$E$10+1,1))</f>
        <v>411.73139494306878</v>
      </c>
      <c r="AO88" s="62">
        <f t="shared" si="90"/>
        <v>254.25036207346591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-3.2514435588382188E-14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309.71642374647882</v>
      </c>
      <c r="BJ88" s="62">
        <f t="shared" si="92"/>
        <v>266.63880397664315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0.62041676201650897</v>
      </c>
      <c r="BQ88" s="23">
        <f>EXP(-LN(2)/25)*BQ87+(1-EXP(-LN(2)/25))/(LN(2)/25)*Calculateur!BL88*Calculateur!BN88*VLOOKUP('Données projet'!$B$11,Paramètres!$A$1:$I$89,3,0)*0.475*44/12</f>
        <v>1.0659087872271693</v>
      </c>
      <c r="BR88" s="23">
        <f>EXP(-LN(2)/2)*BR87+(1-EXP(-LN(2)/2))/(LN(2)/2)*BL88*BO88*VLOOKUP('Données projet'!$B$11,Paramètres!$A$1:$I$89,3,0)*0.475*44/12</f>
        <v>6.9859678126058939E-8</v>
      </c>
      <c r="BS88" s="24">
        <f t="shared" si="63"/>
        <v>1.6863256191033562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-6.7984728957526396E-14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348.62416478262719</v>
      </c>
      <c r="CE88" s="62">
        <f t="shared" si="94"/>
        <v>371.70674704563288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1.8847032883290564</v>
      </c>
      <c r="CL88" s="23">
        <f>EXP(-LN(2)/25)*CL87+(1-EXP(-LN(2)/25))/(LN(2)/25)*Calculateur!CG88*Calculateur!CI88*VLOOKUP('Données projet'!$B$12,Paramètres!$A$1:$I$89,3,0)*0.475*44/12</f>
        <v>2.6416447976192767</v>
      </c>
      <c r="CM88" s="23">
        <f>EXP(-LN(2)/2)*CM87+(1-EXP(-LN(2)/2))/(LN(2)/2)*CG88*CJ88*VLOOKUP('Données projet'!$B$12,Paramètres!$A$1:$I$89,3,0)*0.475*44/12</f>
        <v>8.9527295875177301E-8</v>
      </c>
      <c r="CN88" s="24">
        <f t="shared" si="66"/>
        <v>4.5263481754756292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371.7282125501186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256.94759999999991</v>
      </c>
      <c r="AK89" s="14">
        <f t="shared" si="89"/>
        <v>62.071283104858246</v>
      </c>
      <c r="AL89" s="22">
        <f t="shared" si="58"/>
        <v>555.62455474096134</v>
      </c>
      <c r="AM89" s="62">
        <f t="shared" si="59"/>
        <v>848.95788807429471</v>
      </c>
      <c r="AN89" s="62">
        <f ca="1">AVERAGE(OFFSET($AM$3,0,0,'Données projet'!$E$10+1,1))-AVERAGE(OFFSET($H$3,0,0,'Données projet'!$E$10+1,1))</f>
        <v>411.73139494306878</v>
      </c>
      <c r="AO89" s="62">
        <f t="shared" si="90"/>
        <v>254.25036207346591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-3.2514435588382188E-14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309.71642374647882</v>
      </c>
      <c r="BJ89" s="62">
        <f t="shared" si="92"/>
        <v>266.63880397664315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0.60825076773022446</v>
      </c>
      <c r="BQ89" s="23">
        <f>EXP(-LN(2)/25)*BQ88+(1-EXP(-LN(2)/25))/(LN(2)/25)*Calculateur!BL89*Calculateur!BN89*VLOOKUP('Données projet'!$B$11,Paramètres!$A$1:$I$89,3,0)*0.475*44/12</f>
        <v>1.0367614553867355</v>
      </c>
      <c r="BR89" s="23">
        <f>EXP(-LN(2)/2)*BR88+(1-EXP(-LN(2)/2))/(LN(2)/2)*BL89*BO89*VLOOKUP('Données projet'!$B$11,Paramètres!$A$1:$I$89,3,0)*0.475*44/12</f>
        <v>4.9398252134445798E-8</v>
      </c>
      <c r="BS89" s="24">
        <f t="shared" si="63"/>
        <v>1.6450122725152121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-6.7984728957526396E-14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348.62416478262719</v>
      </c>
      <c r="CE89" s="62">
        <f t="shared" si="94"/>
        <v>371.70674704563288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1.8477454064004204</v>
      </c>
      <c r="CL89" s="23">
        <f>EXP(-LN(2)/25)*CL88+(1-EXP(-LN(2)/25))/(LN(2)/25)*Calculateur!CG89*Calculateur!CI89*VLOOKUP('Données projet'!$B$12,Paramètres!$A$1:$I$89,3,0)*0.475*44/12</f>
        <v>2.5694088817103151</v>
      </c>
      <c r="CM89" s="23">
        <f>EXP(-LN(2)/2)*CM88+(1-EXP(-LN(2)/2))/(LN(2)/2)*CG89*CJ89*VLOOKUP('Données projet'!$B$12,Paramètres!$A$1:$I$89,3,0)*0.475*44/12</f>
        <v>6.3305358014632294E-8</v>
      </c>
      <c r="CN89" s="24">
        <f t="shared" si="66"/>
        <v>4.4171543514160936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371.7282125501186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262.42319999999989</v>
      </c>
      <c r="AK90" s="14">
        <f t="shared" si="89"/>
        <v>63.238627062047733</v>
      </c>
      <c r="AL90" s="22">
        <f t="shared" si="58"/>
        <v>567.19434879973289</v>
      </c>
      <c r="AM90" s="62">
        <f t="shared" si="59"/>
        <v>860.52768213306626</v>
      </c>
      <c r="AN90" s="62">
        <f ca="1">AVERAGE(OFFSET($AM$3,0,0,'Données projet'!$E$10+1,1))-AVERAGE(OFFSET($H$3,0,0,'Données projet'!$E$10+1,1))</f>
        <v>411.73139494306878</v>
      </c>
      <c r="AO90" s="62">
        <f t="shared" si="90"/>
        <v>254.25036207346591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-3.2514435588382188E-14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309.71642374647882</v>
      </c>
      <c r="BJ90" s="62">
        <f t="shared" si="92"/>
        <v>266.63880397664315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0.5963233411713702</v>
      </c>
      <c r="BQ90" s="23">
        <f>EXP(-LN(2)/25)*BQ89+(1-EXP(-LN(2)/25))/(LN(2)/25)*Calculateur!BL90*Calculateur!BN90*VLOOKUP('Données projet'!$B$11,Paramètres!$A$1:$I$89,3,0)*0.475*44/12</f>
        <v>1.0084111588682698</v>
      </c>
      <c r="BR90" s="23">
        <f>EXP(-LN(2)/2)*BR89+(1-EXP(-LN(2)/2))/(LN(2)/2)*BL90*BO90*VLOOKUP('Données projet'!$B$11,Paramètres!$A$1:$I$89,3,0)*0.475*44/12</f>
        <v>3.4929839063029469E-8</v>
      </c>
      <c r="BS90" s="24">
        <f t="shared" si="63"/>
        <v>1.604734534969479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-6.7984728957526396E-14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348.62416478262719</v>
      </c>
      <c r="CE90" s="62">
        <f t="shared" si="94"/>
        <v>371.70674704563288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1.8115122459943227</v>
      </c>
      <c r="CL90" s="23">
        <f>EXP(-LN(2)/25)*CL89+(1-EXP(-LN(2)/25))/(LN(2)/25)*Calculateur!CG90*Calculateur!CI90*VLOOKUP('Données projet'!$B$12,Paramètres!$A$1:$I$89,3,0)*0.475*44/12</f>
        <v>2.4991482607206059</v>
      </c>
      <c r="CM90" s="23">
        <f>EXP(-LN(2)/2)*CM89+(1-EXP(-LN(2)/2))/(LN(2)/2)*CG90*CJ90*VLOOKUP('Données projet'!$B$12,Paramètres!$A$1:$I$89,3,0)*0.475*44/12</f>
        <v>4.476364793758865E-8</v>
      </c>
      <c r="CN90" s="24">
        <f t="shared" si="66"/>
        <v>4.3106605514785761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371.7282125501186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267.89879999999988</v>
      </c>
      <c r="AK91" s="14">
        <f t="shared" si="89"/>
        <v>64.403139057834508</v>
      </c>
      <c r="AL91" s="22">
        <f t="shared" si="58"/>
        <v>578.75921052572812</v>
      </c>
      <c r="AM91" s="62">
        <f t="shared" si="59"/>
        <v>872.09254385906138</v>
      </c>
      <c r="AN91" s="62">
        <f ca="1">AVERAGE(OFFSET($AM$3,0,0,'Données projet'!$E$10+1,1))-AVERAGE(OFFSET($H$3,0,0,'Données projet'!$E$10+1,1))</f>
        <v>411.73139494306878</v>
      </c>
      <c r="AO91" s="62">
        <f t="shared" si="90"/>
        <v>254.25036207346591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-3.2514435588382188E-14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309.71642374647882</v>
      </c>
      <c r="BJ91" s="62">
        <f t="shared" si="92"/>
        <v>266.63880397664315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0.58462980417232324</v>
      </c>
      <c r="BQ91" s="23">
        <f>EXP(-LN(2)/25)*BQ90+(1-EXP(-LN(2)/25))/(LN(2)/25)*Calculateur!BL91*Calculateur!BN91*VLOOKUP('Données projet'!$B$11,Paramètres!$A$1:$I$89,3,0)*0.475*44/12</f>
        <v>0.98083610269897892</v>
      </c>
      <c r="BR91" s="23">
        <f>EXP(-LN(2)/2)*BR90+(1-EXP(-LN(2)/2))/(LN(2)/2)*BL91*BO91*VLOOKUP('Données projet'!$B$11,Paramètres!$A$1:$I$89,3,0)*0.475*44/12</f>
        <v>2.4699126067222899E-8</v>
      </c>
      <c r="BS91" s="24">
        <f t="shared" si="63"/>
        <v>1.5654659315704282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-6.7984728957526396E-14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348.62416478262719</v>
      </c>
      <c r="CE91" s="62">
        <f t="shared" si="94"/>
        <v>371.70674704563288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1.775989595763743</v>
      </c>
      <c r="CL91" s="23">
        <f>EXP(-LN(2)/25)*CL90+(1-EXP(-LN(2)/25))/(LN(2)/25)*Calculateur!CG91*Calculateur!CI91*VLOOKUP('Données projet'!$B$12,Paramètres!$A$1:$I$89,3,0)*0.475*44/12</f>
        <v>2.4308089201067058</v>
      </c>
      <c r="CM91" s="23">
        <f>EXP(-LN(2)/2)*CM90+(1-EXP(-LN(2)/2))/(LN(2)/2)*CG91*CJ91*VLOOKUP('Données projet'!$B$12,Paramètres!$A$1:$I$89,3,0)*0.475*44/12</f>
        <v>3.1652679007316147E-8</v>
      </c>
      <c r="CN91" s="24">
        <f t="shared" si="66"/>
        <v>4.2067985475231273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371.7282125501186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273.37439999999987</v>
      </c>
      <c r="AK92" s="14">
        <f t="shared" si="89"/>
        <v>65.564883644654373</v>
      </c>
      <c r="AL92" s="22">
        <f t="shared" si="58"/>
        <v>590.3192523477727</v>
      </c>
      <c r="AM92" s="62">
        <f t="shared" si="59"/>
        <v>883.65258568110607</v>
      </c>
      <c r="AN92" s="62">
        <f ca="1">AVERAGE(OFFSET($AM$3,0,0,'Données projet'!$E$10+1,1))-AVERAGE(OFFSET($H$3,0,0,'Données projet'!$E$10+1,1))</f>
        <v>411.73139494306878</v>
      </c>
      <c r="AO92" s="62">
        <f t="shared" si="90"/>
        <v>254.25036207346591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-3.2514435588382188E-14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309.71642374647882</v>
      </c>
      <c r="BJ92" s="62">
        <f t="shared" si="92"/>
        <v>266.63880397664315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0.5731655703014743</v>
      </c>
      <c r="BQ92" s="23">
        <f>EXP(-LN(2)/25)*BQ91+(1-EXP(-LN(2)/25))/(LN(2)/25)*Calculateur!BL92*Calculateur!BN92*VLOOKUP('Données projet'!$B$11,Paramètres!$A$1:$I$89,3,0)*0.475*44/12</f>
        <v>0.9540150878907464</v>
      </c>
      <c r="BR92" s="23">
        <f>EXP(-LN(2)/2)*BR91+(1-EXP(-LN(2)/2))/(LN(2)/2)*BL92*BO92*VLOOKUP('Données projet'!$B$11,Paramètres!$A$1:$I$89,3,0)*0.475*44/12</f>
        <v>1.7464919531514735E-8</v>
      </c>
      <c r="BS92" s="24">
        <f t="shared" si="63"/>
        <v>1.5271806756571402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-6.7984728957526396E-14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348.62416478262719</v>
      </c>
      <c r="CE92" s="62">
        <f t="shared" si="94"/>
        <v>371.70674704563288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1.7411635230375078</v>
      </c>
      <c r="CL92" s="23">
        <f>EXP(-LN(2)/25)*CL91+(1-EXP(-LN(2)/25))/(LN(2)/25)*Calculateur!CG92*Calculateur!CI92*VLOOKUP('Données projet'!$B$12,Paramètres!$A$1:$I$89,3,0)*0.475*44/12</f>
        <v>2.3643383223557026</v>
      </c>
      <c r="CM92" s="23">
        <f>EXP(-LN(2)/2)*CM91+(1-EXP(-LN(2)/2))/(LN(2)/2)*CG92*CJ92*VLOOKUP('Données projet'!$B$12,Paramètres!$A$1:$I$89,3,0)*0.475*44/12</f>
        <v>2.2381823968794325E-8</v>
      </c>
      <c r="CN92" s="24">
        <f t="shared" si="66"/>
        <v>4.1055018677750343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371.7282125501186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278.84999999999985</v>
      </c>
      <c r="AK93" s="14">
        <f t="shared" si="89"/>
        <v>66.723922641152967</v>
      </c>
      <c r="AL93" s="22">
        <f t="shared" si="58"/>
        <v>601.87458193334112</v>
      </c>
      <c r="AM93" s="62">
        <f t="shared" si="59"/>
        <v>895.20791526667449</v>
      </c>
      <c r="AN93" s="62">
        <f ca="1">AVERAGE(OFFSET($AM$3,0,0,'Données projet'!$E$10+1,1))-AVERAGE(OFFSET($H$3,0,0,'Données projet'!$E$10+1,1))</f>
        <v>411.73139494306878</v>
      </c>
      <c r="AO93" s="62">
        <f t="shared" si="90"/>
        <v>254.25036207346591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-3.2514435588382188E-14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309.71642374647882</v>
      </c>
      <c r="BJ93" s="62">
        <f t="shared" si="92"/>
        <v>266.63880397664315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0.56192614306434052</v>
      </c>
      <c r="BQ93" s="23">
        <f>EXP(-LN(2)/25)*BQ92+(1-EXP(-LN(2)/25))/(LN(2)/25)*Calculateur!BL93*Calculateur!BN93*VLOOKUP('Données projet'!$B$11,Paramètres!$A$1:$I$89,3,0)*0.475*44/12</f>
        <v>0.92792749514290085</v>
      </c>
      <c r="BR93" s="23">
        <f>EXP(-LN(2)/2)*BR92+(1-EXP(-LN(2)/2))/(LN(2)/2)*BL93*BO93*VLOOKUP('Données projet'!$B$11,Paramètres!$A$1:$I$89,3,0)*0.475*44/12</f>
        <v>1.234956303361145E-8</v>
      </c>
      <c r="BS93" s="24">
        <f t="shared" si="63"/>
        <v>1.4898536505568043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-6.7984728957526396E-14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348.62416478262719</v>
      </c>
      <c r="CE93" s="62">
        <f t="shared" si="94"/>
        <v>371.70674704563288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1.7070203683556271</v>
      </c>
      <c r="CL93" s="23">
        <f>EXP(-LN(2)/25)*CL92+(1-EXP(-LN(2)/25))/(LN(2)/25)*Calculateur!CG93*Calculateur!CI93*VLOOKUP('Données projet'!$B$12,Paramètres!$A$1:$I$89,3,0)*0.475*44/12</f>
        <v>2.2996853665957375</v>
      </c>
      <c r="CM93" s="23">
        <f>EXP(-LN(2)/2)*CM92+(1-EXP(-LN(2)/2))/(LN(2)/2)*CG93*CJ93*VLOOKUP('Données projet'!$B$12,Paramètres!$A$1:$I$89,3,0)*0.475*44/12</f>
        <v>1.5826339503658074E-8</v>
      </c>
      <c r="CN93" s="24">
        <f t="shared" si="66"/>
        <v>4.0067057507777042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371.7282125501186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262.62599999999986</v>
      </c>
      <c r="AK94" s="14">
        <f t="shared" si="89"/>
        <v>63.281807230823397</v>
      </c>
      <c r="AL94" s="22">
        <f t="shared" si="58"/>
        <v>567.62276426035044</v>
      </c>
      <c r="AM94" s="62">
        <f t="shared" si="59"/>
        <v>860.95609759368381</v>
      </c>
      <c r="AN94" s="62">
        <f ca="1">AVERAGE(OFFSET($AM$3,0,0,'Données projet'!$E$10+1,1))-AVERAGE(OFFSET($H$3,0,0,'Données projet'!$E$10+1,1))</f>
        <v>411.73139494306878</v>
      </c>
      <c r="AO94" s="62">
        <f t="shared" si="90"/>
        <v>254.25036207346591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-3.2514435588382188E-14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309.71642374647882</v>
      </c>
      <c r="BJ94" s="62">
        <f t="shared" si="92"/>
        <v>266.63880397664315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0.55090711413995319</v>
      </c>
      <c r="BQ94" s="23">
        <f>EXP(-LN(2)/25)*BQ93+(1-EXP(-LN(2)/25))/(LN(2)/25)*Calculateur!BL94*Calculateur!BN94*VLOOKUP('Données projet'!$B$11,Paramètres!$A$1:$I$89,3,0)*0.475*44/12</f>
        <v>0.90255326899063204</v>
      </c>
      <c r="BR94" s="23">
        <f>EXP(-LN(2)/2)*BR93+(1-EXP(-LN(2)/2))/(LN(2)/2)*BL94*BO94*VLOOKUP('Données projet'!$B$11,Paramètres!$A$1:$I$89,3,0)*0.475*44/12</f>
        <v>8.7324597657573673E-9</v>
      </c>
      <c r="BS94" s="24">
        <f t="shared" si="63"/>
        <v>1.4534603918630451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-6.7984728957526396E-14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348.62416478262719</v>
      </c>
      <c r="CE94" s="62">
        <f t="shared" si="94"/>
        <v>371.70674704563288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1.6735467401117901</v>
      </c>
      <c r="CL94" s="23">
        <f>EXP(-LN(2)/25)*CL93+(1-EXP(-LN(2)/25))/(LN(2)/25)*Calculateur!CG94*Calculateur!CI94*VLOOKUP('Données projet'!$B$12,Paramètres!$A$1:$I$89,3,0)*0.475*44/12</f>
        <v>2.2368003493109798</v>
      </c>
      <c r="CM94" s="23">
        <f>EXP(-LN(2)/2)*CM93+(1-EXP(-LN(2)/2))/(LN(2)/2)*CG94*CJ94*VLOOKUP('Données projet'!$B$12,Paramètres!$A$1:$I$89,3,0)*0.475*44/12</f>
        <v>1.1190911984397163E-8</v>
      </c>
      <c r="CN94" s="24">
        <f t="shared" si="66"/>
        <v>3.9103471006136821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371.7282125501186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267.69599999999986</v>
      </c>
      <c r="AK95" s="14">
        <f t="shared" si="89"/>
        <v>64.360058723585439</v>
      </c>
      <c r="AL95" s="22">
        <f t="shared" si="58"/>
        <v>578.33096894357766</v>
      </c>
      <c r="AM95" s="62">
        <f t="shared" si="59"/>
        <v>871.66430227691103</v>
      </c>
      <c r="AN95" s="62">
        <f ca="1">AVERAGE(OFFSET($AM$3,0,0,'Données projet'!$E$10+1,1))-AVERAGE(OFFSET($H$3,0,0,'Données projet'!$E$10+1,1))</f>
        <v>411.73139494306878</v>
      </c>
      <c r="AO95" s="62">
        <f t="shared" si="90"/>
        <v>254.25036207346591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-3.2514435588382188E-14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309.71642374647882</v>
      </c>
      <c r="BJ95" s="62">
        <f t="shared" si="92"/>
        <v>266.63880397664315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0.54010416165182906</v>
      </c>
      <c r="BQ95" s="23">
        <f>EXP(-LN(2)/25)*BQ94+(1-EXP(-LN(2)/25))/(LN(2)/25)*Calculateur!BL95*Calculateur!BN95*VLOOKUP('Données projet'!$B$11,Paramètres!$A$1:$I$89,3,0)*0.475*44/12</f>
        <v>0.87787290238686966</v>
      </c>
      <c r="BR95" s="23">
        <f>EXP(-LN(2)/2)*BR94+(1-EXP(-LN(2)/2))/(LN(2)/2)*BL95*BO95*VLOOKUP('Données projet'!$B$11,Paramètres!$A$1:$I$89,3,0)*0.475*44/12</f>
        <v>6.1747815168057248E-9</v>
      </c>
      <c r="BS95" s="24">
        <f t="shared" si="63"/>
        <v>1.4179770702134804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-6.7984728957526396E-14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348.62416478262719</v>
      </c>
      <c r="CE95" s="62">
        <f t="shared" si="94"/>
        <v>371.70674704563288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1.6407295093009173</v>
      </c>
      <c r="CL95" s="23">
        <f>EXP(-LN(2)/25)*CL94+(1-EXP(-LN(2)/25))/(LN(2)/25)*Calculateur!CG95*Calculateur!CI95*VLOOKUP('Données projet'!$B$12,Paramètres!$A$1:$I$89,3,0)*0.475*44/12</f>
        <v>2.175634926130853</v>
      </c>
      <c r="CM95" s="23">
        <f>EXP(-LN(2)/2)*CM94+(1-EXP(-LN(2)/2))/(LN(2)/2)*CG95*CJ95*VLOOKUP('Données projet'!$B$12,Paramètres!$A$1:$I$89,3,0)*0.475*44/12</f>
        <v>7.9131697518290368E-9</v>
      </c>
      <c r="CN95" s="24">
        <f t="shared" si="66"/>
        <v>3.81636444334494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371.7282125501186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272.76599999999985</v>
      </c>
      <c r="AK96" s="14">
        <f t="shared" si="89"/>
        <v>65.43593563008757</v>
      </c>
      <c r="AL96" s="22">
        <f t="shared" si="58"/>
        <v>589.03503788906892</v>
      </c>
      <c r="AM96" s="62">
        <f t="shared" si="59"/>
        <v>882.36837122240217</v>
      </c>
      <c r="AN96" s="62">
        <f ca="1">AVERAGE(OFFSET($AM$3,0,0,'Données projet'!$E$10+1,1))-AVERAGE(OFFSET($H$3,0,0,'Données projet'!$E$10+1,1))</f>
        <v>411.73139494306878</v>
      </c>
      <c r="AO96" s="62">
        <f t="shared" si="90"/>
        <v>254.25036207346591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-3.2514435588382188E-14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309.71642374647882</v>
      </c>
      <c r="BJ96" s="62">
        <f t="shared" si="92"/>
        <v>266.63880397664315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0.52951304847284664</v>
      </c>
      <c r="BQ96" s="23">
        <f>EXP(-LN(2)/25)*BQ95+(1-EXP(-LN(2)/25))/(LN(2)/25)*Calculateur!BL96*Calculateur!BN96*VLOOKUP('Données projet'!$B$11,Paramètres!$A$1:$I$89,3,0)*0.475*44/12</f>
        <v>0.85386742170577112</v>
      </c>
      <c r="BR96" s="23">
        <f>EXP(-LN(2)/2)*BR95+(1-EXP(-LN(2)/2))/(LN(2)/2)*BL96*BO96*VLOOKUP('Données projet'!$B$11,Paramètres!$A$1:$I$89,3,0)*0.475*44/12</f>
        <v>4.3662298828786837E-9</v>
      </c>
      <c r="BS96" s="24">
        <f t="shared" si="63"/>
        <v>1.3833804745448475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-6.7984728957526396E-14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348.62416478262719</v>
      </c>
      <c r="CE96" s="62">
        <f t="shared" si="94"/>
        <v>371.70674704563288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1.6085558043697115</v>
      </c>
      <c r="CL96" s="23">
        <f>EXP(-LN(2)/25)*CL95+(1-EXP(-LN(2)/25))/(LN(2)/25)*Calculateur!CG96*Calculateur!CI96*VLOOKUP('Données projet'!$B$12,Paramètres!$A$1:$I$89,3,0)*0.475*44/12</f>
        <v>2.1161420746641366</v>
      </c>
      <c r="CM96" s="23">
        <f>EXP(-LN(2)/2)*CM95+(1-EXP(-LN(2)/2))/(LN(2)/2)*CG96*CJ96*VLOOKUP('Données projet'!$B$12,Paramètres!$A$1:$I$89,3,0)*0.475*44/12</f>
        <v>5.5954559921985813E-9</v>
      </c>
      <c r="CN96" s="24">
        <f t="shared" si="66"/>
        <v>3.7246978846293044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371.7282125501186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277.83599999999984</v>
      </c>
      <c r="AK97" s="14">
        <f t="shared" si="89"/>
        <v>66.509487177652261</v>
      </c>
      <c r="AL97" s="22">
        <f t="shared" si="58"/>
        <v>599.73505683441078</v>
      </c>
      <c r="AM97" s="62">
        <f t="shared" si="59"/>
        <v>893.06839016774416</v>
      </c>
      <c r="AN97" s="62">
        <f ca="1">AVERAGE(OFFSET($AM$3,0,0,'Données projet'!$E$10+1,1))-AVERAGE(OFFSET($H$3,0,0,'Données projet'!$E$10+1,1))</f>
        <v>411.73139494306878</v>
      </c>
      <c r="AO97" s="62">
        <f t="shared" si="90"/>
        <v>254.25036207346591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-3.2514435588382188E-14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309.71642374647882</v>
      </c>
      <c r="BJ97" s="62">
        <f t="shared" si="92"/>
        <v>266.63880397664315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0.51912962056336298</v>
      </c>
      <c r="BQ97" s="23">
        <f>EXP(-LN(2)/25)*BQ96+(1-EXP(-LN(2)/25))/(LN(2)/25)*Calculateur!BL97*Calculateur!BN97*VLOOKUP('Données projet'!$B$11,Paramètres!$A$1:$I$89,3,0)*0.475*44/12</f>
        <v>0.83051837215629065</v>
      </c>
      <c r="BR97" s="23">
        <f>EXP(-LN(2)/2)*BR96+(1-EXP(-LN(2)/2))/(LN(2)/2)*BL97*BO97*VLOOKUP('Données projet'!$B$11,Paramètres!$A$1:$I$89,3,0)*0.475*44/12</f>
        <v>3.0873907584028624E-9</v>
      </c>
      <c r="BS97" s="24">
        <f t="shared" si="63"/>
        <v>1.3496479958070444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-6.7984728957526396E-14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348.62416478262719</v>
      </c>
      <c r="CE97" s="62">
        <f t="shared" si="94"/>
        <v>371.70674704563288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1.5770130061681844</v>
      </c>
      <c r="CL97" s="23">
        <f>EXP(-LN(2)/25)*CL96+(1-EXP(-LN(2)/25))/(LN(2)/25)*Calculateur!CG97*Calculateur!CI97*VLOOKUP('Données projet'!$B$12,Paramètres!$A$1:$I$89,3,0)*0.475*44/12</f>
        <v>2.0582760583493704</v>
      </c>
      <c r="CM97" s="23">
        <f>EXP(-LN(2)/2)*CM96+(1-EXP(-LN(2)/2))/(LN(2)/2)*CG97*CJ97*VLOOKUP('Données projet'!$B$12,Paramètres!$A$1:$I$89,3,0)*0.475*44/12</f>
        <v>3.9565848759145184E-9</v>
      </c>
      <c r="CN97" s="24">
        <f t="shared" si="66"/>
        <v>3.6352890684741399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371.7282125501186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282.90599999999989</v>
      </c>
      <c r="AK98" s="14">
        <f t="shared" si="89"/>
        <v>67.580760694123455</v>
      </c>
      <c r="AL98" s="22">
        <f t="shared" si="58"/>
        <v>610.43110820893151</v>
      </c>
      <c r="AM98" s="62">
        <f t="shared" si="59"/>
        <v>903.76444154226488</v>
      </c>
      <c r="AN98" s="62">
        <f ca="1">AVERAGE(OFFSET($AM$3,0,0,'Données projet'!$E$10+1,1))-AVERAGE(OFFSET($H$3,0,0,'Données projet'!$E$10+1,1))</f>
        <v>411.73139494306878</v>
      </c>
      <c r="AO98" s="62">
        <f t="shared" si="90"/>
        <v>254.25036207346591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-3.2514435588382188E-14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309.71642374647882</v>
      </c>
      <c r="BJ98" s="62">
        <f t="shared" si="92"/>
        <v>266.63880397664315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0.50894980534191858</v>
      </c>
      <c r="BQ98" s="23">
        <f>EXP(-LN(2)/25)*BQ97+(1-EXP(-LN(2)/25))/(LN(2)/25)*Calculateur!BL98*Calculateur!BN98*VLOOKUP('Données projet'!$B$11,Paramètres!$A$1:$I$89,3,0)*0.475*44/12</f>
        <v>0.8078078035946139</v>
      </c>
      <c r="BR98" s="23">
        <f>EXP(-LN(2)/2)*BR97+(1-EXP(-LN(2)/2))/(LN(2)/2)*BL98*BO98*VLOOKUP('Données projet'!$B$11,Paramètres!$A$1:$I$89,3,0)*0.475*44/12</f>
        <v>2.1831149414393418E-9</v>
      </c>
      <c r="BS98" s="24">
        <f t="shared" si="63"/>
        <v>1.3167576111196475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-6.7984728957526396E-14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348.62416478262719</v>
      </c>
      <c r="CE98" s="62">
        <f t="shared" si="94"/>
        <v>371.70674704563288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1.546088743000182</v>
      </c>
      <c r="CL98" s="23">
        <f>EXP(-LN(2)/25)*CL97+(1-EXP(-LN(2)/25))/(LN(2)/25)*Calculateur!CG98*Calculateur!CI98*VLOOKUP('Données projet'!$B$12,Paramètres!$A$1:$I$89,3,0)*0.475*44/12</f>
        <v>2.0019923912937734</v>
      </c>
      <c r="CM98" s="23">
        <f>EXP(-LN(2)/2)*CM97+(1-EXP(-LN(2)/2))/(LN(2)/2)*CG98*CJ98*VLOOKUP('Données projet'!$B$12,Paramètres!$A$1:$I$89,3,0)*0.475*44/12</f>
        <v>2.7977279960992906E-9</v>
      </c>
      <c r="CN98" s="24">
        <f t="shared" si="66"/>
        <v>3.5480811370916832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371.7282125501186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266.47919999999988</v>
      </c>
      <c r="AK99" s="14">
        <f t="shared" si="89"/>
        <v>64.101496824889622</v>
      </c>
      <c r="AL99" s="22">
        <f t="shared" si="58"/>
        <v>575.76138030334926</v>
      </c>
      <c r="AM99" s="62">
        <f t="shared" si="59"/>
        <v>869.09471363668263</v>
      </c>
      <c r="AN99" s="62">
        <f ca="1">AVERAGE(OFFSET($AM$3,0,0,'Données projet'!$E$10+1,1))-AVERAGE(OFFSET($H$3,0,0,'Données projet'!$E$10+1,1))</f>
        <v>411.73139494306878</v>
      </c>
      <c r="AO99" s="62">
        <f t="shared" si="90"/>
        <v>254.25036207346591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-3.2514435588382188E-14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309.71642374647882</v>
      </c>
      <c r="BJ99" s="62">
        <f t="shared" si="92"/>
        <v>266.63880397664315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0.49896961008789253</v>
      </c>
      <c r="BQ99" s="23">
        <f>EXP(-LN(2)/25)*BQ98+(1-EXP(-LN(2)/25))/(LN(2)/25)*Calculateur!BL99*Calculateur!BN99*VLOOKUP('Données projet'!$B$11,Paramètres!$A$1:$I$89,3,0)*0.475*44/12</f>
        <v>0.78571825672455309</v>
      </c>
      <c r="BR99" s="23">
        <f>EXP(-LN(2)/2)*BR98+(1-EXP(-LN(2)/2))/(LN(2)/2)*BL99*BO99*VLOOKUP('Données projet'!$B$11,Paramètres!$A$1:$I$89,3,0)*0.475*44/12</f>
        <v>1.5436953792014312E-9</v>
      </c>
      <c r="BS99" s="24">
        <f t="shared" si="63"/>
        <v>1.2846878683561411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-6.7984728957526396E-14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348.62416478262719</v>
      </c>
      <c r="CE99" s="62">
        <f t="shared" si="94"/>
        <v>371.70674704563288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1.515770885770966</v>
      </c>
      <c r="CL99" s="23">
        <f>EXP(-LN(2)/25)*CL98+(1-EXP(-LN(2)/25))/(LN(2)/25)*Calculateur!CG99*Calculateur!CI99*VLOOKUP('Données projet'!$B$12,Paramètres!$A$1:$I$89,3,0)*0.475*44/12</f>
        <v>1.947247804073641</v>
      </c>
      <c r="CM99" s="23">
        <f>EXP(-LN(2)/2)*CM98+(1-EXP(-LN(2)/2))/(LN(2)/2)*CG99*CJ99*VLOOKUP('Données projet'!$B$12,Paramètres!$A$1:$I$89,3,0)*0.475*44/12</f>
        <v>1.9782924379572592E-9</v>
      </c>
      <c r="CN99" s="24">
        <f t="shared" si="66"/>
        <v>3.4630186918228998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371.7282125501186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271.34639999999985</v>
      </c>
      <c r="AK100" s="14">
        <f t="shared" si="89"/>
        <v>65.134926573557308</v>
      </c>
      <c r="AL100" s="22">
        <f t="shared" si="58"/>
        <v>586.03831044894537</v>
      </c>
      <c r="AM100" s="62">
        <f t="shared" si="59"/>
        <v>879.37164378227862</v>
      </c>
      <c r="AN100" s="62">
        <f ca="1">AVERAGE(OFFSET($AM$3,0,0,'Données projet'!$E$10+1,1))-AVERAGE(OFFSET($H$3,0,0,'Données projet'!$E$10+1,1))</f>
        <v>411.73139494306878</v>
      </c>
      <c r="AO100" s="62">
        <f t="shared" si="90"/>
        <v>254.25036207346591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-3.2514435588382188E-14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309.71642374647882</v>
      </c>
      <c r="BJ100" s="62">
        <f t="shared" si="92"/>
        <v>266.63880397664315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0.4891851203754799</v>
      </c>
      <c r="BQ100" s="23">
        <f>EXP(-LN(2)/25)*BQ99+(1-EXP(-LN(2)/25))/(LN(2)/25)*Calculateur!BL100*Calculateur!BN100*VLOOKUP('Données projet'!$B$11,Paramètres!$A$1:$I$89,3,0)*0.475*44/12</f>
        <v>0.76423274967529287</v>
      </c>
      <c r="BR100" s="23">
        <f>EXP(-LN(2)/2)*BR99+(1-EXP(-LN(2)/2))/(LN(2)/2)*BL100*BO100*VLOOKUP('Données projet'!$B$11,Paramètres!$A$1:$I$89,3,0)*0.475*44/12</f>
        <v>1.0915574707196709E-9</v>
      </c>
      <c r="BS100" s="24">
        <f t="shared" si="63"/>
        <v>1.2534178711423303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-6.7984728957526396E-14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348.62416478262719</v>
      </c>
      <c r="CE100" s="62">
        <f t="shared" si="94"/>
        <v>371.70674704563288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1.486047543229948</v>
      </c>
      <c r="CL100" s="23">
        <f>EXP(-LN(2)/25)*CL99+(1-EXP(-LN(2)/25))/(LN(2)/25)*Calculateur!CG100*Calculateur!CI100*VLOOKUP('Données projet'!$B$12,Paramètres!$A$1:$I$89,3,0)*0.475*44/12</f>
        <v>1.8940002104699358</v>
      </c>
      <c r="CM100" s="23">
        <f>EXP(-LN(2)/2)*CM99+(1-EXP(-LN(2)/2))/(LN(2)/2)*CG100*CJ100*VLOOKUP('Données projet'!$B$12,Paramètres!$A$1:$I$89,3,0)*0.475*44/12</f>
        <v>1.3988639980496453E-9</v>
      </c>
      <c r="CN100" s="24">
        <f t="shared" si="66"/>
        <v>3.3800477550987482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371.7282125501186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276.21359999999987</v>
      </c>
      <c r="AK101" s="14">
        <f t="shared" si="89"/>
        <v>66.166200760877416</v>
      </c>
      <c r="AL101" s="22">
        <f t="shared" si="58"/>
        <v>596.31148632519455</v>
      </c>
      <c r="AM101" s="62">
        <f t="shared" si="59"/>
        <v>889.64481965852792</v>
      </c>
      <c r="AN101" s="62">
        <f ca="1">AVERAGE(OFFSET($AM$3,0,0,'Données projet'!$E$10+1,1))-AVERAGE(OFFSET($H$3,0,0,'Données projet'!$E$10+1,1))</f>
        <v>411.73139494306878</v>
      </c>
      <c r="AO101" s="62">
        <f t="shared" si="90"/>
        <v>254.25036207346591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-3.2514435588382188E-14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309.71642374647882</v>
      </c>
      <c r="BJ101" s="62">
        <f t="shared" si="92"/>
        <v>266.63880397664315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0.47959249853837821</v>
      </c>
      <c r="BQ101" s="23">
        <f>EXP(-LN(2)/25)*BQ100+(1-EXP(-LN(2)/25))/(LN(2)/25)*Calculateur!BL101*Calculateur!BN101*VLOOKUP('Données projet'!$B$11,Paramètres!$A$1:$I$89,3,0)*0.475*44/12</f>
        <v>0.74333476494616835</v>
      </c>
      <c r="BR101" s="23">
        <f>EXP(-LN(2)/2)*BR100+(1-EXP(-LN(2)/2))/(LN(2)/2)*BL101*BO101*VLOOKUP('Données projet'!$B$11,Paramètres!$A$1:$I$89,3,0)*0.475*44/12</f>
        <v>7.718476896007156E-10</v>
      </c>
      <c r="BS101" s="24">
        <f t="shared" si="63"/>
        <v>1.2229272642563942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-6.7984728957526396E-14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348.62416478262719</v>
      </c>
      <c r="CE101" s="62">
        <f t="shared" si="94"/>
        <v>371.70674704563288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1.4569070573067107</v>
      </c>
      <c r="CL101" s="23">
        <f>EXP(-LN(2)/25)*CL100+(1-EXP(-LN(2)/25))/(LN(2)/25)*Calculateur!CG101*Calculateur!CI101*VLOOKUP('Données projet'!$B$12,Paramètres!$A$1:$I$89,3,0)*0.475*44/12</f>
        <v>1.8422086751134932</v>
      </c>
      <c r="CM101" s="23">
        <f>EXP(-LN(2)/2)*CM100+(1-EXP(-LN(2)/2))/(LN(2)/2)*CG101*CJ101*VLOOKUP('Données projet'!$B$12,Paramètres!$A$1:$I$89,3,0)*0.475*44/12</f>
        <v>9.8914621897862959E-10</v>
      </c>
      <c r="CN101" s="24">
        <f t="shared" si="66"/>
        <v>3.2991157334093502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371.7282125501186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281.0807999999999</v>
      </c>
      <c r="AK102" s="14">
        <f t="shared" si="89"/>
        <v>67.19536175254612</v>
      </c>
      <c r="AL102" s="22">
        <f t="shared" si="58"/>
        <v>606.58098171901759</v>
      </c>
      <c r="AM102" s="62">
        <f t="shared" si="59"/>
        <v>899.91431505235096</v>
      </c>
      <c r="AN102" s="62">
        <f ca="1">AVERAGE(OFFSET($AM$3,0,0,'Données projet'!$E$10+1,1))-AVERAGE(OFFSET($H$3,0,0,'Données projet'!$E$10+1,1))</f>
        <v>411.73139494306878</v>
      </c>
      <c r="AO102" s="62">
        <f t="shared" si="90"/>
        <v>254.25036207346591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-3.2514435588382188E-14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309.71642374647882</v>
      </c>
      <c r="BJ102" s="62">
        <f t="shared" si="92"/>
        <v>266.63880397664315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0.47018798216458052</v>
      </c>
      <c r="BQ102" s="23">
        <f>EXP(-LN(2)/25)*BQ101+(1-EXP(-LN(2)/25))/(LN(2)/25)*Calculateur!BL102*Calculateur!BN102*VLOOKUP('Données projet'!$B$11,Paramètres!$A$1:$I$89,3,0)*0.475*44/12</f>
        <v>0.72300823670843894</v>
      </c>
      <c r="BR102" s="23">
        <f>EXP(-LN(2)/2)*BR101+(1-EXP(-LN(2)/2))/(LN(2)/2)*BL102*BO102*VLOOKUP('Données projet'!$B$11,Paramètres!$A$1:$I$89,3,0)*0.475*44/12</f>
        <v>5.4577873535983546E-10</v>
      </c>
      <c r="BS102" s="24">
        <f t="shared" si="63"/>
        <v>1.1931962194187982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-6.7984728957526396E-14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348.62416478262719</v>
      </c>
      <c r="CE102" s="62">
        <f t="shared" si="94"/>
        <v>371.70674704563288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1.4283379985384865</v>
      </c>
      <c r="CL102" s="23">
        <f>EXP(-LN(2)/25)*CL101+(1-EXP(-LN(2)/25))/(LN(2)/25)*Calculateur!CG102*Calculateur!CI102*VLOOKUP('Données projet'!$B$12,Paramètres!$A$1:$I$89,3,0)*0.475*44/12</f>
        <v>1.791833382014971</v>
      </c>
      <c r="CM102" s="23">
        <f>EXP(-LN(2)/2)*CM101+(1-EXP(-LN(2)/2))/(LN(2)/2)*CG102*CJ102*VLOOKUP('Données projet'!$B$12,Paramètres!$A$1:$I$89,3,0)*0.475*44/12</f>
        <v>6.9943199902482266E-10</v>
      </c>
      <c r="CN102" s="24">
        <f t="shared" si="66"/>
        <v>3.2201713812528898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371.7282125501186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285.94799999999992</v>
      </c>
      <c r="AK103" s="14">
        <f t="shared" si="89"/>
        <v>68.222450362989363</v>
      </c>
      <c r="AL103" s="22">
        <f t="shared" si="58"/>
        <v>616.84686771553959</v>
      </c>
      <c r="AM103" s="62">
        <f t="shared" si="59"/>
        <v>910.18020104887296</v>
      </c>
      <c r="AN103" s="62">
        <f ca="1">AVERAGE(OFFSET($AM$3,0,0,'Données projet'!$E$10+1,1))-AVERAGE(OFFSET($H$3,0,0,'Données projet'!$E$10+1,1))</f>
        <v>411.73139494306878</v>
      </c>
      <c r="AO103" s="62">
        <f t="shared" si="90"/>
        <v>254.25036207346591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-3.2514435588382188E-14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309.71642374647882</v>
      </c>
      <c r="BJ103" s="62">
        <f t="shared" si="92"/>
        <v>266.63880397664315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0.46096788262068444</v>
      </c>
      <c r="BQ103" s="23">
        <f>EXP(-LN(2)/25)*BQ102+(1-EXP(-LN(2)/25))/(LN(2)/25)*Calculateur!BL103*Calculateur!BN103*VLOOKUP('Données projet'!$B$11,Paramètres!$A$1:$I$89,3,0)*0.475*44/12</f>
        <v>0.70323753845429593</v>
      </c>
      <c r="BR103" s="23">
        <f>EXP(-LN(2)/2)*BR102+(1-EXP(-LN(2)/2))/(LN(2)/2)*BL103*BO103*VLOOKUP('Données projet'!$B$11,Paramètres!$A$1:$I$89,3,0)*0.475*44/12</f>
        <v>3.859238448003578E-10</v>
      </c>
      <c r="BS103" s="24">
        <f t="shared" si="63"/>
        <v>1.1642054214609041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-6.7984728957526396E-14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348.62416478262719</v>
      </c>
      <c r="CE103" s="62">
        <f t="shared" si="94"/>
        <v>371.70674704563288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1.4003291615873021</v>
      </c>
      <c r="CL103" s="23">
        <f>EXP(-LN(2)/25)*CL102+(1-EXP(-LN(2)/25))/(LN(2)/25)*Calculateur!CG103*Calculateur!CI103*VLOOKUP('Données projet'!$B$12,Paramètres!$A$1:$I$89,3,0)*0.475*44/12</f>
        <v>1.7428356039553494</v>
      </c>
      <c r="CM103" s="23">
        <f>EXP(-LN(2)/2)*CM102+(1-EXP(-LN(2)/2))/(LN(2)/2)*CG103*CJ103*VLOOKUP('Données projet'!$B$12,Paramètres!$A$1:$I$89,3,0)*0.475*44/12</f>
        <v>4.945731094893148E-10</v>
      </c>
      <c r="CN103" s="24">
        <f t="shared" si="66"/>
        <v>3.1431647660372248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371.7282125501186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269.31839999999994</v>
      </c>
      <c r="AK104" s="14">
        <f t="shared" si="89"/>
        <v>64.70459529265311</v>
      </c>
      <c r="AL104" s="22">
        <f t="shared" si="58"/>
        <v>581.75671680137077</v>
      </c>
      <c r="AM104" s="62">
        <f t="shared" si="59"/>
        <v>875.09005013470414</v>
      </c>
      <c r="AN104" s="62">
        <f ca="1">AVERAGE(OFFSET($AM$3,0,0,'Données projet'!$E$10+1,1))-AVERAGE(OFFSET($H$3,0,0,'Données projet'!$E$10+1,1))</f>
        <v>411.73139494306878</v>
      </c>
      <c r="AO104" s="62">
        <f t="shared" si="90"/>
        <v>254.25036207346591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-3.2514435588382188E-14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309.71642374647882</v>
      </c>
      <c r="BJ104" s="62">
        <f t="shared" si="92"/>
        <v>266.63880397664315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0.45192858360513871</v>
      </c>
      <c r="BQ104" s="23">
        <f>EXP(-LN(2)/25)*BQ103+(1-EXP(-LN(2)/25))/(LN(2)/25)*Calculateur!BL104*Calculateur!BN104*VLOOKUP('Données projet'!$B$11,Paramètres!$A$1:$I$89,3,0)*0.475*44/12</f>
        <v>0.68400747098360837</v>
      </c>
      <c r="BR104" s="23">
        <f>EXP(-LN(2)/2)*BR103+(1-EXP(-LN(2)/2))/(LN(2)/2)*BL104*BO104*VLOOKUP('Données projet'!$B$11,Paramètres!$A$1:$I$89,3,0)*0.475*44/12</f>
        <v>2.7288936767991773E-10</v>
      </c>
      <c r="BS104" s="24">
        <f t="shared" si="63"/>
        <v>1.1359360548616364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-6.7984728957526396E-14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348.62416478262719</v>
      </c>
      <c r="CE104" s="62">
        <f t="shared" si="94"/>
        <v>371.70674704563288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1.3728695608450268</v>
      </c>
      <c r="CL104" s="23">
        <f>EXP(-LN(2)/25)*CL103+(1-EXP(-LN(2)/25))/(LN(2)/25)*Calculateur!CG104*Calculateur!CI104*VLOOKUP('Données projet'!$B$12,Paramètres!$A$1:$I$89,3,0)*0.475*44/12</f>
        <v>1.6951776727134493</v>
      </c>
      <c r="CM104" s="23">
        <f>EXP(-LN(2)/2)*CM103+(1-EXP(-LN(2)/2))/(LN(2)/2)*CG104*CJ104*VLOOKUP('Données projet'!$B$12,Paramètres!$A$1:$I$89,3,0)*0.475*44/12</f>
        <v>3.4971599951241133E-10</v>
      </c>
      <c r="CN104" s="24">
        <f t="shared" si="66"/>
        <v>3.0680472339081919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371.7282125501186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273.98279999999994</v>
      </c>
      <c r="AK105" s="14">
        <f t="shared" si="89"/>
        <v>65.693798259477774</v>
      </c>
      <c r="AL105" s="22">
        <f t="shared" si="58"/>
        <v>591.6034086352571</v>
      </c>
      <c r="AM105" s="62">
        <f t="shared" si="59"/>
        <v>884.93674196859047</v>
      </c>
      <c r="AN105" s="62">
        <f ca="1">AVERAGE(OFFSET($AM$3,0,0,'Données projet'!$E$10+1,1))-AVERAGE(OFFSET($H$3,0,0,'Données projet'!$E$10+1,1))</f>
        <v>411.73139494306878</v>
      </c>
      <c r="AO105" s="62">
        <f t="shared" si="90"/>
        <v>254.25036207346591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-3.2514435588382188E-14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309.71642374647882</v>
      </c>
      <c r="BJ105" s="62">
        <f t="shared" si="92"/>
        <v>266.63880397664315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0.44306653972985982</v>
      </c>
      <c r="BQ105" s="23">
        <f>EXP(-LN(2)/25)*BQ104+(1-EXP(-LN(2)/25))/(LN(2)/25)*Calculateur!BL105*Calculateur!BN105*VLOOKUP('Données projet'!$B$11,Paramètres!$A$1:$I$89,3,0)*0.475*44/12</f>
        <v>0.66530325071917207</v>
      </c>
      <c r="BR105" s="23">
        <f>EXP(-LN(2)/2)*BR104+(1-EXP(-LN(2)/2))/(LN(2)/2)*BL105*BO105*VLOOKUP('Données projet'!$B$11,Paramètres!$A$1:$I$89,3,0)*0.475*44/12</f>
        <v>1.929619224001789E-10</v>
      </c>
      <c r="BS105" s="24">
        <f t="shared" si="63"/>
        <v>1.1083697906419938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-6.7984728957526396E-14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348.62416478262719</v>
      </c>
      <c r="CE105" s="62">
        <f t="shared" si="94"/>
        <v>371.70674704563288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1.3459484261246046</v>
      </c>
      <c r="CL105" s="23">
        <f>EXP(-LN(2)/25)*CL104+(1-EXP(-LN(2)/25))/(LN(2)/25)*Calculateur!CG105*Calculateur!CI105*VLOOKUP('Données projet'!$B$12,Paramètres!$A$1:$I$89,3,0)*0.475*44/12</f>
        <v>1.6488229501075806</v>
      </c>
      <c r="CM105" s="23">
        <f>EXP(-LN(2)/2)*CM104+(1-EXP(-LN(2)/2))/(LN(2)/2)*CG105*CJ105*VLOOKUP('Données projet'!$B$12,Paramètres!$A$1:$I$89,3,0)*0.475*44/12</f>
        <v>2.472865547446574E-10</v>
      </c>
      <c r="CN105" s="24">
        <f t="shared" si="66"/>
        <v>2.9947713764794717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371.7282125501186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278.6472</v>
      </c>
      <c r="AK106" s="14">
        <f t="shared" si="89"/>
        <v>66.681042819901123</v>
      </c>
      <c r="AL106" s="22">
        <f t="shared" si="58"/>
        <v>601.44668957799445</v>
      </c>
      <c r="AM106" s="62">
        <f t="shared" si="59"/>
        <v>894.78002291132771</v>
      </c>
      <c r="AN106" s="62">
        <f ca="1">AVERAGE(OFFSET($AM$3,0,0,'Données projet'!$E$10+1,1))-AVERAGE(OFFSET($H$3,0,0,'Données projet'!$E$10+1,1))</f>
        <v>411.73139494306878</v>
      </c>
      <c r="AO106" s="62">
        <f t="shared" si="90"/>
        <v>254.25036207346591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-3.2514435588382188E-14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309.71642374647882</v>
      </c>
      <c r="BJ106" s="62">
        <f t="shared" si="92"/>
        <v>266.63880397664315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0.43437827512966215</v>
      </c>
      <c r="BQ106" s="23">
        <f>EXP(-LN(2)/25)*BQ105+(1-EXP(-LN(2)/25))/(LN(2)/25)*Calculateur!BL106*Calculateur!BN106*VLOOKUP('Données projet'!$B$11,Paramètres!$A$1:$I$89,3,0)*0.475*44/12</f>
        <v>0.64711049834147893</v>
      </c>
      <c r="BR106" s="23">
        <f>EXP(-LN(2)/2)*BR105+(1-EXP(-LN(2)/2))/(LN(2)/2)*BL106*BO106*VLOOKUP('Données projet'!$B$11,Paramètres!$A$1:$I$89,3,0)*0.475*44/12</f>
        <v>1.3644468383995886E-10</v>
      </c>
      <c r="BS106" s="24">
        <f t="shared" si="63"/>
        <v>1.0814887736075858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-6.7984728957526396E-14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348.62416478262719</v>
      </c>
      <c r="CE106" s="62">
        <f t="shared" si="94"/>
        <v>371.70674704563288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1.3195551984357792</v>
      </c>
      <c r="CL106" s="23">
        <f>EXP(-LN(2)/25)*CL105+(1-EXP(-LN(2)/25))/(LN(2)/25)*Calculateur!CG106*Calculateur!CI106*VLOOKUP('Données projet'!$B$12,Paramètres!$A$1:$I$89,3,0)*0.475*44/12</f>
        <v>1.6037357998290582</v>
      </c>
      <c r="CM106" s="23">
        <f>EXP(-LN(2)/2)*CM105+(1-EXP(-LN(2)/2))/(LN(2)/2)*CG106*CJ106*VLOOKUP('Données projet'!$B$12,Paramètres!$A$1:$I$89,3,0)*0.475*44/12</f>
        <v>1.7485799975620567E-10</v>
      </c>
      <c r="CN106" s="24">
        <f t="shared" si="66"/>
        <v>2.9232909984396955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371.7282125501186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283.3116</v>
      </c>
      <c r="AK107" s="14">
        <f t="shared" si="89"/>
        <v>67.666365540271272</v>
      </c>
      <c r="AL107" s="22">
        <f t="shared" si="58"/>
        <v>611.28662331597241</v>
      </c>
      <c r="AM107" s="62">
        <f t="shared" si="59"/>
        <v>904.61995664930578</v>
      </c>
      <c r="AN107" s="62">
        <f ca="1">AVERAGE(OFFSET($AM$3,0,0,'Données projet'!$E$10+1,1))-AVERAGE(OFFSET($H$3,0,0,'Données projet'!$E$10+1,1))</f>
        <v>411.73139494306878</v>
      </c>
      <c r="AO107" s="62">
        <f t="shared" si="90"/>
        <v>254.25036207346591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-3.2514435588382188E-14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309.71642374647882</v>
      </c>
      <c r="BJ107" s="62">
        <f t="shared" si="92"/>
        <v>266.63880397664315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0.42586038209895621</v>
      </c>
      <c r="BQ107" s="23">
        <f>EXP(-LN(2)/25)*BQ106+(1-EXP(-LN(2)/25))/(LN(2)/25)*Calculateur!BL107*Calculateur!BN107*VLOOKUP('Données projet'!$B$11,Paramètres!$A$1:$I$89,3,0)*0.475*44/12</f>
        <v>0.62941522773426906</v>
      </c>
      <c r="BR107" s="23">
        <f>EXP(-LN(2)/2)*BR106+(1-EXP(-LN(2)/2))/(LN(2)/2)*BL107*BO107*VLOOKUP('Données projet'!$B$11,Paramètres!$A$1:$I$89,3,0)*0.475*44/12</f>
        <v>9.648096120008945E-11</v>
      </c>
      <c r="BS107" s="24">
        <f t="shared" si="63"/>
        <v>1.0552756099297063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-6.7984728957526396E-14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348.62416478262719</v>
      </c>
      <c r="CE107" s="62">
        <f t="shared" si="94"/>
        <v>371.70674704563288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1.2936795258436524</v>
      </c>
      <c r="CL107" s="23">
        <f>EXP(-LN(2)/25)*CL106+(1-EXP(-LN(2)/25))/(LN(2)/25)*Calculateur!CG107*Calculateur!CI107*VLOOKUP('Données projet'!$B$12,Paramètres!$A$1:$I$89,3,0)*0.475*44/12</f>
        <v>1.5598815600459324</v>
      </c>
      <c r="CM107" s="23">
        <f>EXP(-LN(2)/2)*CM106+(1-EXP(-LN(2)/2))/(LN(2)/2)*CG107*CJ107*VLOOKUP('Données projet'!$B$12,Paramètres!$A$1:$I$89,3,0)*0.475*44/12</f>
        <v>1.236432773723287E-10</v>
      </c>
      <c r="CN107" s="24">
        <f t="shared" si="66"/>
        <v>2.8535610860132281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371.7282125501186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287.976</v>
      </c>
      <c r="AK108" s="14">
        <f t="shared" si="89"/>
        <v>68.649801713863141</v>
      </c>
      <c r="AL108" s="22">
        <f t="shared" si="58"/>
        <v>621.12327131831159</v>
      </c>
      <c r="AM108" s="62">
        <f t="shared" si="59"/>
        <v>914.45660465164497</v>
      </c>
      <c r="AN108" s="62">
        <f ca="1">AVERAGE(OFFSET($AM$3,0,0,'Données projet'!$E$10+1,1))-AVERAGE(OFFSET($H$3,0,0,'Données projet'!$E$10+1,1))</f>
        <v>411.73139494306878</v>
      </c>
      <c r="AO108" s="62">
        <f t="shared" si="90"/>
        <v>254.25036207346591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-3.2514435588382188E-14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309.71642374647882</v>
      </c>
      <c r="BJ108" s="62">
        <f t="shared" si="92"/>
        <v>266.63880397664315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0.41750951975518064</v>
      </c>
      <c r="BQ108" s="23">
        <f>EXP(-LN(2)/25)*BQ107+(1-EXP(-LN(2)/25))/(LN(2)/25)*Calculateur!BL108*Calculateur!BN108*VLOOKUP('Données projet'!$B$11,Paramètres!$A$1:$I$89,3,0)*0.475*44/12</f>
        <v>0.61220383523236721</v>
      </c>
      <c r="BR108" s="23">
        <f>EXP(-LN(2)/2)*BR107+(1-EXP(-LN(2)/2))/(LN(2)/2)*BL108*BO108*VLOOKUP('Données projet'!$B$11,Paramètres!$A$1:$I$89,3,0)*0.475*44/12</f>
        <v>6.8222341919979432E-11</v>
      </c>
      <c r="BS108" s="24">
        <f t="shared" si="63"/>
        <v>1.0297133550557702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-6.7984728957526396E-14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348.62416478262719</v>
      </c>
      <c r="CE108" s="62">
        <f t="shared" si="94"/>
        <v>371.70674704563288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1.2683112594084553</v>
      </c>
      <c r="CL108" s="23">
        <f>EXP(-LN(2)/25)*CL107+(1-EXP(-LN(2)/25))/(LN(2)/25)*Calculateur!CG108*Calculateur!CI108*VLOOKUP('Données projet'!$B$12,Paramètres!$A$1:$I$89,3,0)*0.475*44/12</f>
        <v>1.5172265167558703</v>
      </c>
      <c r="CM108" s="23">
        <f>EXP(-LN(2)/2)*CM107+(1-EXP(-LN(2)/2))/(LN(2)/2)*CG108*CJ108*VLOOKUP('Données projet'!$B$12,Paramètres!$A$1:$I$89,3,0)*0.475*44/12</f>
        <v>8.7428999878102833E-11</v>
      </c>
      <c r="CN108" s="24">
        <f t="shared" si="66"/>
        <v>2.7855377762517546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371.7282125501186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271.95480000000003</v>
      </c>
      <c r="AK109" s="14">
        <f t="shared" si="89"/>
        <v>65.263952845017442</v>
      </c>
      <c r="AL109" s="22">
        <f t="shared" si="58"/>
        <v>587.322661205072</v>
      </c>
      <c r="AM109" s="62">
        <f t="shared" si="59"/>
        <v>880.65599453840537</v>
      </c>
      <c r="AN109" s="62">
        <f ca="1">AVERAGE(OFFSET($AM$3,0,0,'Données projet'!$E$10+1,1))-AVERAGE(OFFSET($H$3,0,0,'Données projet'!$E$10+1,1))</f>
        <v>411.73139494306878</v>
      </c>
      <c r="AO109" s="62">
        <f t="shared" si="90"/>
        <v>254.25036207346591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-3.2514435588382188E-14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309.71642374647882</v>
      </c>
      <c r="BJ109" s="62">
        <f t="shared" si="92"/>
        <v>266.63880397664315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0.40932241272844344</v>
      </c>
      <c r="BQ109" s="23">
        <f>EXP(-LN(2)/25)*BQ108+(1-EXP(-LN(2)/25))/(LN(2)/25)*Calculateur!BL109*Calculateur!BN109*VLOOKUP('Données projet'!$B$11,Paramètres!$A$1:$I$89,3,0)*0.475*44/12</f>
        <v>0.59546308916353763</v>
      </c>
      <c r="BR109" s="23">
        <f>EXP(-LN(2)/2)*BR108+(1-EXP(-LN(2)/2))/(LN(2)/2)*BL109*BO109*VLOOKUP('Données projet'!$B$11,Paramètres!$A$1:$I$89,3,0)*0.475*44/12</f>
        <v>4.8240480600044725E-11</v>
      </c>
      <c r="BS109" s="24">
        <f t="shared" si="63"/>
        <v>1.0047855019402216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-6.7984728957526396E-14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348.62416478262719</v>
      </c>
      <c r="CE109" s="62">
        <f t="shared" si="94"/>
        <v>371.70674704563288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1.2434404492049378</v>
      </c>
      <c r="CL109" s="23">
        <f>EXP(-LN(2)/25)*CL108+(1-EXP(-LN(2)/25))/(LN(2)/25)*Calculateur!CG109*Calculateur!CI109*VLOOKUP('Données projet'!$B$12,Paramètres!$A$1:$I$89,3,0)*0.475*44/12</f>
        <v>1.4757378778677062</v>
      </c>
      <c r="CM109" s="23">
        <f>EXP(-LN(2)/2)*CM108+(1-EXP(-LN(2)/2))/(LN(2)/2)*CG109*CJ109*VLOOKUP('Données projet'!$B$12,Paramètres!$A$1:$I$89,3,0)*0.475*44/12</f>
        <v>6.182163868616435E-11</v>
      </c>
      <c r="CN109" s="24">
        <f t="shared" si="66"/>
        <v>2.7191783271344656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371.7282125501186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276.21359999999999</v>
      </c>
      <c r="AK110" s="14">
        <f t="shared" si="89"/>
        <v>66.166200760877473</v>
      </c>
      <c r="AL110" s="22">
        <f t="shared" si="58"/>
        <v>596.31148632519489</v>
      </c>
      <c r="AM110" s="62">
        <f t="shared" si="59"/>
        <v>889.64481965852815</v>
      </c>
      <c r="AN110" s="62">
        <f ca="1">AVERAGE(OFFSET($AM$3,0,0,'Données projet'!$E$10+1,1))-AVERAGE(OFFSET($H$3,0,0,'Données projet'!$E$10+1,1))</f>
        <v>411.73139494306878</v>
      </c>
      <c r="AO110" s="62">
        <f t="shared" si="90"/>
        <v>254.25036207346591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-3.2514435588382188E-14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309.71642374647882</v>
      </c>
      <c r="BJ110" s="62">
        <f t="shared" si="92"/>
        <v>266.63880397664315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0.40129584987685835</v>
      </c>
      <c r="BQ110" s="23">
        <f>EXP(-LN(2)/25)*BQ109+(1-EXP(-LN(2)/25))/(LN(2)/25)*Calculateur!BL110*Calculateur!BN110*VLOOKUP('Données projet'!$B$11,Paramètres!$A$1:$I$89,3,0)*0.475*44/12</f>
        <v>0.57918011967631777</v>
      </c>
      <c r="BR110" s="23">
        <f>EXP(-LN(2)/2)*BR109+(1-EXP(-LN(2)/2))/(LN(2)/2)*BL110*BO110*VLOOKUP('Données projet'!$B$11,Paramètres!$A$1:$I$89,3,0)*0.475*44/12</f>
        <v>3.4111170959989716E-11</v>
      </c>
      <c r="BS110" s="24">
        <f t="shared" si="63"/>
        <v>0.98047596958728733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-6.7984728957526396E-14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348.62416478262719</v>
      </c>
      <c r="CE110" s="62">
        <f t="shared" si="94"/>
        <v>371.70674704563288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1.2190573404198148</v>
      </c>
      <c r="CL110" s="23">
        <f>EXP(-LN(2)/25)*CL109+(1-EXP(-LN(2)/25))/(LN(2)/25)*Calculateur!CG110*Calculateur!CI110*VLOOKUP('Données projet'!$B$12,Paramètres!$A$1:$I$89,3,0)*0.475*44/12</f>
        <v>1.4353837479917315</v>
      </c>
      <c r="CM110" s="23">
        <f>EXP(-LN(2)/2)*CM109+(1-EXP(-LN(2)/2))/(LN(2)/2)*CG110*CJ110*VLOOKUP('Données projet'!$B$12,Paramètres!$A$1:$I$89,3,0)*0.475*44/12</f>
        <v>4.3714499939051416E-11</v>
      </c>
      <c r="CN110" s="24">
        <f t="shared" si="66"/>
        <v>2.6544410884552607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371.7282125501186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280.47239999999999</v>
      </c>
      <c r="AK111" s="14">
        <f t="shared" si="89"/>
        <v>67.066830784504006</v>
      </c>
      <c r="AL111" s="22">
        <f t="shared" si="58"/>
        <v>605.29749361634447</v>
      </c>
      <c r="AM111" s="62">
        <f t="shared" si="59"/>
        <v>898.63082694967784</v>
      </c>
      <c r="AN111" s="62">
        <f ca="1">AVERAGE(OFFSET($AM$3,0,0,'Données projet'!$E$10+1,1))-AVERAGE(OFFSET($H$3,0,0,'Données projet'!$E$10+1,1))</f>
        <v>411.73139494306878</v>
      </c>
      <c r="AO111" s="62">
        <f t="shared" si="90"/>
        <v>254.25036207346591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-3.2514435588382188E-14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309.71642374647882</v>
      </c>
      <c r="BJ111" s="62">
        <f t="shared" si="92"/>
        <v>266.63880397664315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0.3934266830270729</v>
      </c>
      <c r="BQ111" s="23">
        <f>EXP(-LN(2)/25)*BQ110+(1-EXP(-LN(2)/25))/(LN(2)/25)*Calculateur!BL111*Calculateur!BN111*VLOOKUP('Données projet'!$B$11,Paramètres!$A$1:$I$89,3,0)*0.475*44/12</f>
        <v>0.56334240884601006</v>
      </c>
      <c r="BR111" s="23">
        <f>EXP(-LN(2)/2)*BR110+(1-EXP(-LN(2)/2))/(LN(2)/2)*BL111*BO111*VLOOKUP('Données projet'!$B$11,Paramètres!$A$1:$I$89,3,0)*0.475*44/12</f>
        <v>2.4120240300022363E-11</v>
      </c>
      <c r="BS111" s="24">
        <f t="shared" si="63"/>
        <v>0.95676909189720316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-6.7984728957526396E-14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348.62416478262719</v>
      </c>
      <c r="CE111" s="62">
        <f t="shared" si="94"/>
        <v>371.70674704563288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1.1951523695257402</v>
      </c>
      <c r="CL111" s="23">
        <f>EXP(-LN(2)/25)*CL110+(1-EXP(-LN(2)/25))/(LN(2)/25)*Calculateur!CG111*Calculateur!CI111*VLOOKUP('Données projet'!$B$12,Paramètres!$A$1:$I$89,3,0)*0.475*44/12</f>
        <v>1.396133103919347</v>
      </c>
      <c r="CM111" s="23">
        <f>EXP(-LN(2)/2)*CM110+(1-EXP(-LN(2)/2))/(LN(2)/2)*CG111*CJ111*VLOOKUP('Données projet'!$B$12,Paramètres!$A$1:$I$89,3,0)*0.475*44/12</f>
        <v>3.0910819343082175E-11</v>
      </c>
      <c r="CN111" s="24">
        <f t="shared" si="66"/>
        <v>2.591285473475998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371.7282125501186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284.7312</v>
      </c>
      <c r="AK112" s="14">
        <f t="shared" si="89"/>
        <v>67.96587032005101</v>
      </c>
      <c r="AL112" s="22">
        <f t="shared" si="58"/>
        <v>614.28073080742217</v>
      </c>
      <c r="AM112" s="62">
        <f t="shared" si="59"/>
        <v>907.61406414075554</v>
      </c>
      <c r="AN112" s="62">
        <f ca="1">AVERAGE(OFFSET($AM$3,0,0,'Données projet'!$E$10+1,1))-AVERAGE(OFFSET($H$3,0,0,'Données projet'!$E$10+1,1))</f>
        <v>411.73139494306878</v>
      </c>
      <c r="AO112" s="62">
        <f t="shared" si="90"/>
        <v>254.25036207346591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-3.2514435588382188E-14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309.71642374647882</v>
      </c>
      <c r="BJ112" s="62">
        <f t="shared" si="92"/>
        <v>266.63880397664315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0.38571182573949392</v>
      </c>
      <c r="BQ112" s="23">
        <f>EXP(-LN(2)/25)*BQ111+(1-EXP(-LN(2)/25))/(LN(2)/25)*Calculateur!BL112*Calculateur!BN112*VLOOKUP('Données projet'!$B$11,Paramètres!$A$1:$I$89,3,0)*0.475*44/12</f>
        <v>0.54793778105122615</v>
      </c>
      <c r="BR112" s="23">
        <f>EXP(-LN(2)/2)*BR111+(1-EXP(-LN(2)/2))/(LN(2)/2)*BL112*BO112*VLOOKUP('Données projet'!$B$11,Paramètres!$A$1:$I$89,3,0)*0.475*44/12</f>
        <v>1.7055585479994858E-11</v>
      </c>
      <c r="BS112" s="24">
        <f t="shared" si="63"/>
        <v>0.93364960680777564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-6.7984728957526396E-14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348.62416478262719</v>
      </c>
      <c r="CE112" s="62">
        <f t="shared" si="94"/>
        <v>371.70674704563288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1.1717161605303059</v>
      </c>
      <c r="CL112" s="23">
        <f>EXP(-LN(2)/25)*CL111+(1-EXP(-LN(2)/25))/(LN(2)/25)*Calculateur!CG112*Calculateur!CI112*VLOOKUP('Données projet'!$B$12,Paramètres!$A$1:$I$89,3,0)*0.475*44/12</f>
        <v>1.3579557707732235</v>
      </c>
      <c r="CM112" s="23">
        <f>EXP(-LN(2)/2)*CM111+(1-EXP(-LN(2)/2))/(LN(2)/2)*CG112*CJ112*VLOOKUP('Données projet'!$B$12,Paramètres!$A$1:$I$89,3,0)*0.475*44/12</f>
        <v>2.1857249969525708E-11</v>
      </c>
      <c r="CN112" s="24">
        <f t="shared" si="66"/>
        <v>2.5296719313253866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371.7282125501186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288.98999999999995</v>
      </c>
      <c r="AK113" s="14">
        <f t="shared" si="89"/>
        <v>68.863345904836791</v>
      </c>
      <c r="AL113" s="22">
        <f t="shared" si="58"/>
        <v>623.26124411759065</v>
      </c>
      <c r="AM113" s="62">
        <f t="shared" si="59"/>
        <v>916.59457745092391</v>
      </c>
      <c r="AN113" s="62">
        <f ca="1">AVERAGE(OFFSET($AM$3,0,0,'Données projet'!$E$10+1,1))-AVERAGE(OFFSET($H$3,0,0,'Données projet'!$E$10+1,1))</f>
        <v>411.73139494306878</v>
      </c>
      <c r="AO113" s="62">
        <f t="shared" si="90"/>
        <v>254.25036207346591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-3.2514435588382188E-14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309.71642374647882</v>
      </c>
      <c r="BJ113" s="62">
        <f t="shared" si="92"/>
        <v>266.63880397664315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0.37814825209772607</v>
      </c>
      <c r="BQ113" s="23">
        <f>EXP(-LN(2)/25)*BQ112+(1-EXP(-LN(2)/25))/(LN(2)/25)*Calculateur!BL113*Calculateur!BN113*VLOOKUP('Données projet'!$B$11,Paramètres!$A$1:$I$89,3,0)*0.475*44/12</f>
        <v>0.53295439361358476</v>
      </c>
      <c r="BR113" s="23">
        <f>EXP(-LN(2)/2)*BR112+(1-EXP(-LN(2)/2))/(LN(2)/2)*BL113*BO113*VLOOKUP('Données projet'!$B$11,Paramètres!$A$1:$I$89,3,0)*0.475*44/12</f>
        <v>1.2060120150011181E-11</v>
      </c>
      <c r="BS113" s="24">
        <f t="shared" si="63"/>
        <v>0.91110264572337096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-6.7984728957526396E-14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348.62416478262719</v>
      </c>
      <c r="CE113" s="62">
        <f t="shared" si="94"/>
        <v>371.70674704563288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1.148739521298596</v>
      </c>
      <c r="CL113" s="23">
        <f>EXP(-LN(2)/25)*CL112+(1-EXP(-LN(2)/25))/(LN(2)/25)*Calculateur!CG113*Calculateur!CI113*VLOOKUP('Données projet'!$B$12,Paramètres!$A$1:$I$89,3,0)*0.475*44/12</f>
        <v>1.3208223988096393</v>
      </c>
      <c r="CM113" s="23">
        <f>EXP(-LN(2)/2)*CM112+(1-EXP(-LN(2)/2))/(LN(2)/2)*CG113*CJ113*VLOOKUP('Données projet'!$B$12,Paramètres!$A$1:$I$89,3,0)*0.475*44/12</f>
        <v>1.5455409671541087E-11</v>
      </c>
      <c r="CN113" s="24">
        <f t="shared" si="66"/>
        <v>2.4695619201236907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371.7282125501186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273.57719999999995</v>
      </c>
      <c r="AK114" s="14">
        <f t="shared" si="89"/>
        <v>65.60785888991505</v>
      </c>
      <c r="AL114" s="22">
        <f t="shared" si="58"/>
        <v>590.74731089993531</v>
      </c>
      <c r="AM114" s="62">
        <f t="shared" si="59"/>
        <v>884.08064423326869</v>
      </c>
      <c r="AN114" s="62">
        <f ca="1">AVERAGE(OFFSET($AM$3,0,0,'Données projet'!$E$10+1,1))-AVERAGE(OFFSET($H$3,0,0,'Données projet'!$E$10+1,1))</f>
        <v>411.73139494306878</v>
      </c>
      <c r="AO114" s="62">
        <f t="shared" si="90"/>
        <v>254.25036207346591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-3.2514435588382188E-14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309.71642374647882</v>
      </c>
      <c r="BJ114" s="62">
        <f t="shared" si="92"/>
        <v>266.63880397664315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0.37073299552174888</v>
      </c>
      <c r="BQ114" s="23">
        <f>EXP(-LN(2)/25)*BQ113+(1-EXP(-LN(2)/25))/(LN(2)/25)*Calculateur!BL114*Calculateur!BN114*VLOOKUP('Données projet'!$B$11,Paramètres!$A$1:$I$89,3,0)*0.475*44/12</f>
        <v>0.51838072769336785</v>
      </c>
      <c r="BR114" s="23">
        <f>EXP(-LN(2)/2)*BR113+(1-EXP(-LN(2)/2))/(LN(2)/2)*BL114*BO114*VLOOKUP('Données projet'!$B$11,Paramètres!$A$1:$I$89,3,0)*0.475*44/12</f>
        <v>8.527792739997429E-12</v>
      </c>
      <c r="BS114" s="24">
        <f t="shared" si="63"/>
        <v>0.88911372322364457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-6.7984728957526396E-14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348.62416478262719</v>
      </c>
      <c r="CE114" s="62">
        <f t="shared" si="94"/>
        <v>371.70674704563288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1.1262134399478538</v>
      </c>
      <c r="CL114" s="23">
        <f>EXP(-LN(2)/25)*CL113+(1-EXP(-LN(2)/25))/(LN(2)/25)*Calculateur!CG114*Calculateur!CI114*VLOOKUP('Données projet'!$B$12,Paramètres!$A$1:$I$89,3,0)*0.475*44/12</f>
        <v>1.2847044408551584</v>
      </c>
      <c r="CM114" s="23">
        <f>EXP(-LN(2)/2)*CM113+(1-EXP(-LN(2)/2))/(LN(2)/2)*CG114*CJ114*VLOOKUP('Données projet'!$B$12,Paramètres!$A$1:$I$89,3,0)*0.475*44/12</f>
        <v>1.0928624984762854E-11</v>
      </c>
      <c r="CN114" s="24">
        <f t="shared" si="66"/>
        <v>2.4109178808139409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371.7282125501186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277.43039999999996</v>
      </c>
      <c r="AK115" s="14">
        <f t="shared" si="89"/>
        <v>66.423687500715673</v>
      </c>
      <c r="AL115" s="22">
        <f t="shared" si="58"/>
        <v>598.87920239707967</v>
      </c>
      <c r="AM115" s="62">
        <f t="shared" si="59"/>
        <v>892.21253573041304</v>
      </c>
      <c r="AN115" s="62">
        <f ca="1">AVERAGE(OFFSET($AM$3,0,0,'Données projet'!$E$10+1,1))-AVERAGE(OFFSET($H$3,0,0,'Données projet'!$E$10+1,1))</f>
        <v>411.73139494306878</v>
      </c>
      <c r="AO115" s="62">
        <f t="shared" si="90"/>
        <v>254.25036207346591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-3.2514435588382188E-14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309.71642374647882</v>
      </c>
      <c r="BJ115" s="62">
        <f t="shared" si="92"/>
        <v>266.63880397664315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0.36346314760436665</v>
      </c>
      <c r="BQ115" s="23">
        <f>EXP(-LN(2)/25)*BQ114+(1-EXP(-LN(2)/25))/(LN(2)/25)*Calculateur!BL115*Calculateur!BN115*VLOOKUP('Données projet'!$B$11,Paramètres!$A$1:$I$89,3,0)*0.475*44/12</f>
        <v>0.50420557943413502</v>
      </c>
      <c r="BR115" s="23">
        <f>EXP(-LN(2)/2)*BR114+(1-EXP(-LN(2)/2))/(LN(2)/2)*BL115*BO115*VLOOKUP('Données projet'!$B$11,Paramètres!$A$1:$I$89,3,0)*0.475*44/12</f>
        <v>6.0300600750055906E-12</v>
      </c>
      <c r="BS115" s="24">
        <f t="shared" si="63"/>
        <v>0.8676687270445318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-6.7984728957526396E-14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348.62416478262719</v>
      </c>
      <c r="CE115" s="62">
        <f t="shared" si="94"/>
        <v>371.70674704563288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1.1041290813128468</v>
      </c>
      <c r="CL115" s="23">
        <f>EXP(-LN(2)/25)*CL114+(1-EXP(-LN(2)/25))/(LN(2)/25)*Calculateur!CG115*Calculateur!CI115*VLOOKUP('Données projet'!$B$12,Paramètres!$A$1:$I$89,3,0)*0.475*44/12</f>
        <v>1.2495741303603038</v>
      </c>
      <c r="CM115" s="23">
        <f>EXP(-LN(2)/2)*CM114+(1-EXP(-LN(2)/2))/(LN(2)/2)*CG115*CJ115*VLOOKUP('Données projet'!$B$12,Paramètres!$A$1:$I$89,3,0)*0.475*44/12</f>
        <v>7.7277048357705437E-12</v>
      </c>
      <c r="CN115" s="24">
        <f t="shared" si="66"/>
        <v>2.353703211680878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371.7282125501186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281.28360000000004</v>
      </c>
      <c r="AK116" s="14">
        <f t="shared" si="89"/>
        <v>67.238198209347928</v>
      </c>
      <c r="AL116" s="22">
        <f t="shared" si="58"/>
        <v>607.00879854794766</v>
      </c>
      <c r="AM116" s="62">
        <f t="shared" si="59"/>
        <v>900.34213188128092</v>
      </c>
      <c r="AN116" s="62">
        <f ca="1">AVERAGE(OFFSET($AM$3,0,0,'Données projet'!$E$10+1,1))-AVERAGE(OFFSET($H$3,0,0,'Données projet'!$E$10+1,1))</f>
        <v>411.73139494306878</v>
      </c>
      <c r="AO116" s="62">
        <f t="shared" si="90"/>
        <v>254.25036207346591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-3.2514435588382188E-14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309.71642374647882</v>
      </c>
      <c r="BJ116" s="62">
        <f t="shared" si="92"/>
        <v>266.63880397664315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0.35633585697047493</v>
      </c>
      <c r="BQ116" s="23">
        <f>EXP(-LN(2)/25)*BQ115+(1-EXP(-LN(2)/25))/(LN(2)/25)*Calculateur!BL116*Calculateur!BN116*VLOOKUP('Données projet'!$B$11,Paramètres!$A$1:$I$89,3,0)*0.475*44/12</f>
        <v>0.49041805134948957</v>
      </c>
      <c r="BR116" s="23">
        <f>EXP(-LN(2)/2)*BR115+(1-EXP(-LN(2)/2))/(LN(2)/2)*BL116*BO116*VLOOKUP('Données projet'!$B$11,Paramètres!$A$1:$I$89,3,0)*0.475*44/12</f>
        <v>4.2638963699987145E-12</v>
      </c>
      <c r="BS116" s="24">
        <f t="shared" si="63"/>
        <v>0.84675390832422837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-6.7984728957526396E-14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348.62416478262719</v>
      </c>
      <c r="CE116" s="62">
        <f t="shared" si="94"/>
        <v>371.70674704563288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1.0824777834805437</v>
      </c>
      <c r="CL116" s="23">
        <f>EXP(-LN(2)/25)*CL115+(1-EXP(-LN(2)/25))/(LN(2)/25)*Calculateur!CG116*Calculateur!CI116*VLOOKUP('Données projet'!$B$12,Paramètres!$A$1:$I$89,3,0)*0.475*44/12</f>
        <v>1.2154044600533538</v>
      </c>
      <c r="CM116" s="23">
        <f>EXP(-LN(2)/2)*CM115+(1-EXP(-LN(2)/2))/(LN(2)/2)*CG116*CJ116*VLOOKUP('Données projet'!$B$12,Paramètres!$A$1:$I$89,3,0)*0.475*44/12</f>
        <v>5.464312492381427E-12</v>
      </c>
      <c r="CN116" s="24">
        <f t="shared" si="66"/>
        <v>2.297882243539362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371.7282125501186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285.13679999999999</v>
      </c>
      <c r="AK117" s="14">
        <f t="shared" si="89"/>
        <v>68.051411155895636</v>
      </c>
      <c r="AL117" s="22">
        <f t="shared" si="58"/>
        <v>615.1361344298515</v>
      </c>
      <c r="AM117" s="62">
        <f t="shared" si="59"/>
        <v>908.46946776318487</v>
      </c>
      <c r="AN117" s="62">
        <f ca="1">AVERAGE(OFFSET($AM$3,0,0,'Données projet'!$E$10+1,1))-AVERAGE(OFFSET($H$3,0,0,'Données projet'!$E$10+1,1))</f>
        <v>411.73139494306878</v>
      </c>
      <c r="AO117" s="62">
        <f t="shared" si="90"/>
        <v>254.25036207346591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-3.2514435588382188E-14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309.71642374647882</v>
      </c>
      <c r="BJ117" s="62">
        <f t="shared" si="92"/>
        <v>266.63880397664315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0.34934832815869576</v>
      </c>
      <c r="BQ117" s="23">
        <f>EXP(-LN(2)/25)*BQ116+(1-EXP(-LN(2)/25))/(LN(2)/25)*Calculateur!BL117*Calculateur!BN117*VLOOKUP('Données projet'!$B$11,Paramètres!$A$1:$I$89,3,0)*0.475*44/12</f>
        <v>0.47700754394537331</v>
      </c>
      <c r="BR117" s="23">
        <f>EXP(-LN(2)/2)*BR116+(1-EXP(-LN(2)/2))/(LN(2)/2)*BL117*BO117*VLOOKUP('Données projet'!$B$11,Paramètres!$A$1:$I$89,3,0)*0.475*44/12</f>
        <v>3.0150300375027953E-12</v>
      </c>
      <c r="BS117" s="24">
        <f t="shared" si="63"/>
        <v>0.82635587210708417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-6.7984728957526396E-14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348.62416478262719</v>
      </c>
      <c r="CE117" s="62">
        <f t="shared" si="94"/>
        <v>371.70674704563288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1.0612510543927443</v>
      </c>
      <c r="CL117" s="23">
        <f>EXP(-LN(2)/25)*CL116+(1-EXP(-LN(2)/25))/(LN(2)/25)*Calculateur!CG117*Calculateur!CI117*VLOOKUP('Données projet'!$B$12,Paramètres!$A$1:$I$89,3,0)*0.475*44/12</f>
        <v>1.1821691611778522</v>
      </c>
      <c r="CM117" s="23">
        <f>EXP(-LN(2)/2)*CM116+(1-EXP(-LN(2)/2))/(LN(2)/2)*CG117*CJ117*VLOOKUP('Données projet'!$B$12,Paramètres!$A$1:$I$89,3,0)*0.475*44/12</f>
        <v>3.8638524178852719E-12</v>
      </c>
      <c r="CN117" s="24">
        <f t="shared" si="66"/>
        <v>2.2434202155744605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371.7282125501186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288.99</v>
      </c>
      <c r="AK118" s="14">
        <f t="shared" si="89"/>
        <v>68.863345904836791</v>
      </c>
      <c r="AL118" s="22">
        <f t="shared" si="58"/>
        <v>623.26124411759076</v>
      </c>
      <c r="AM118" s="62">
        <f t="shared" si="59"/>
        <v>916.59457745092413</v>
      </c>
      <c r="AN118" s="62">
        <f ca="1">AVERAGE(OFFSET($AM$3,0,0,'Données projet'!$E$10+1,1))-AVERAGE(OFFSET($H$3,0,0,'Données projet'!$E$10+1,1))</f>
        <v>411.73139494306878</v>
      </c>
      <c r="AO118" s="62">
        <f t="shared" si="90"/>
        <v>254.25036207346591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-3.2514435588382188E-14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309.71642374647882</v>
      </c>
      <c r="BJ118" s="62">
        <f t="shared" si="92"/>
        <v>266.63880397664315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0.34249782052494387</v>
      </c>
      <c r="BQ118" s="23">
        <f>EXP(-LN(2)/25)*BQ117+(1-EXP(-LN(2)/25))/(LN(2)/25)*Calculateur!BL118*Calculateur!BN118*VLOOKUP('Données projet'!$B$11,Paramètres!$A$1:$I$89,3,0)*0.475*44/12</f>
        <v>0.46396374757145054</v>
      </c>
      <c r="BR118" s="23">
        <f>EXP(-LN(2)/2)*BR117+(1-EXP(-LN(2)/2))/(LN(2)/2)*BL118*BO118*VLOOKUP('Données projet'!$B$11,Paramètres!$A$1:$I$89,3,0)*0.475*44/12</f>
        <v>2.1319481849993573E-12</v>
      </c>
      <c r="BS118" s="24">
        <f t="shared" si="63"/>
        <v>0.80646156809852643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-6.7984728957526396E-14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348.62416478262719</v>
      </c>
      <c r="CE118" s="62">
        <f t="shared" si="94"/>
        <v>371.70674704563288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1.0404405685153302</v>
      </c>
      <c r="CL118" s="23">
        <f>EXP(-LN(2)/25)*CL117+(1-EXP(-LN(2)/25))/(LN(2)/25)*Calculateur!CG118*Calculateur!CI118*VLOOKUP('Données projet'!$B$12,Paramètres!$A$1:$I$89,3,0)*0.475*44/12</f>
        <v>1.1498426832978694</v>
      </c>
      <c r="CM118" s="23">
        <f>EXP(-LN(2)/2)*CM117+(1-EXP(-LN(2)/2))/(LN(2)/2)*CG118*CJ118*VLOOKUP('Données projet'!$B$12,Paramètres!$A$1:$I$89,3,0)*0.475*44/12</f>
        <v>2.7321562461907135E-12</v>
      </c>
      <c r="CN118" s="24">
        <f t="shared" si="66"/>
        <v>2.1902832518159316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371.7282125501186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274.38840000000005</v>
      </c>
      <c r="AK119" s="14">
        <f t="shared" si="89"/>
        <v>65.77972282151319</v>
      </c>
      <c r="AL119" s="22">
        <f t="shared" si="58"/>
        <v>592.45948058080216</v>
      </c>
      <c r="AM119" s="62">
        <f t="shared" si="59"/>
        <v>885.79281391413542</v>
      </c>
      <c r="AN119" s="62">
        <f ca="1">AVERAGE(OFFSET($AM$3,0,0,'Données projet'!$E$10+1,1))-AVERAGE(OFFSET($H$3,0,0,'Données projet'!$E$10+1,1))</f>
        <v>411.73139494306878</v>
      </c>
      <c r="AO119" s="62">
        <f t="shared" si="90"/>
        <v>254.25036207346591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-3.2514435588382188E-14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309.71642374647882</v>
      </c>
      <c r="BJ119" s="62">
        <f t="shared" si="92"/>
        <v>266.63880397664315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0.33578164716749276</v>
      </c>
      <c r="BQ119" s="23">
        <f>EXP(-LN(2)/25)*BQ118+(1-EXP(-LN(2)/25))/(LN(2)/25)*Calculateur!BL119*Calculateur!BN119*VLOOKUP('Données projet'!$B$11,Paramètres!$A$1:$I$89,3,0)*0.475*44/12</f>
        <v>0.45127663449531613</v>
      </c>
      <c r="BR119" s="23">
        <f>EXP(-LN(2)/2)*BR118+(1-EXP(-LN(2)/2))/(LN(2)/2)*BL119*BO119*VLOOKUP('Données projet'!$B$11,Paramètres!$A$1:$I$89,3,0)*0.475*44/12</f>
        <v>1.5075150187513977E-12</v>
      </c>
      <c r="BS119" s="24">
        <f t="shared" si="63"/>
        <v>0.78705828166431635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-6.7984728957526396E-14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348.62416478262719</v>
      </c>
      <c r="CE119" s="62">
        <f t="shared" si="94"/>
        <v>371.70674704563288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1.0200381635728293</v>
      </c>
      <c r="CL119" s="23">
        <f>EXP(-LN(2)/25)*CL118+(1-EXP(-LN(2)/25))/(LN(2)/25)*Calculateur!CG119*Calculateur!CI119*VLOOKUP('Données projet'!$B$12,Paramètres!$A$1:$I$89,3,0)*0.475*44/12</f>
        <v>1.1184001746554906</v>
      </c>
      <c r="CM119" s="23">
        <f>EXP(-LN(2)/2)*CM118+(1-EXP(-LN(2)/2))/(LN(2)/2)*CG119*CJ119*VLOOKUP('Données projet'!$B$12,Paramètres!$A$1:$I$89,3,0)*0.475*44/12</f>
        <v>1.9319262089426359E-12</v>
      </c>
      <c r="CN119" s="24">
        <f t="shared" si="66"/>
        <v>2.1384383382302516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371.7282125501186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278.03880000000009</v>
      </c>
      <c r="AK120" s="14">
        <f t="shared" si="89"/>
        <v>66.5523815477178</v>
      </c>
      <c r="AL120" s="22">
        <f t="shared" si="58"/>
        <v>600.16297452894207</v>
      </c>
      <c r="AM120" s="62">
        <f t="shared" si="59"/>
        <v>893.49630786227544</v>
      </c>
      <c r="AN120" s="62">
        <f ca="1">AVERAGE(OFFSET($AM$3,0,0,'Données projet'!$E$10+1,1))-AVERAGE(OFFSET($H$3,0,0,'Données projet'!$E$10+1,1))</f>
        <v>411.73139494306878</v>
      </c>
      <c r="AO120" s="62">
        <f t="shared" si="90"/>
        <v>254.25036207346591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-3.2514435588382188E-14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309.71642374647882</v>
      </c>
      <c r="BJ120" s="62">
        <f t="shared" si="92"/>
        <v>266.63880397664315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0.32919717387312003</v>
      </c>
      <c r="BQ120" s="23">
        <f>EXP(-LN(2)/25)*BQ119+(1-EXP(-LN(2)/25))/(LN(2)/25)*Calculateur!BL120*Calculateur!BN120*VLOOKUP('Données projet'!$B$11,Paramètres!$A$1:$I$89,3,0)*0.475*44/12</f>
        <v>0.43893645119343488</v>
      </c>
      <c r="BR120" s="23">
        <f>EXP(-LN(2)/2)*BR119+(1-EXP(-LN(2)/2))/(LN(2)/2)*BL120*BO120*VLOOKUP('Données projet'!$B$11,Paramètres!$A$1:$I$89,3,0)*0.475*44/12</f>
        <v>1.0659740924996786E-12</v>
      </c>
      <c r="BS120" s="24">
        <f t="shared" si="63"/>
        <v>0.76813362506762084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-6.7984728957526396E-14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348.62416478262719</v>
      </c>
      <c r="CE120" s="62">
        <f t="shared" si="94"/>
        <v>371.70674704563288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1.0000358373470124</v>
      </c>
      <c r="CL120" s="23">
        <f>EXP(-LN(2)/25)*CL119+(1-EXP(-LN(2)/25))/(LN(2)/25)*Calculateur!CG120*Calculateur!CI120*VLOOKUP('Données projet'!$B$12,Paramètres!$A$1:$I$89,3,0)*0.475*44/12</f>
        <v>1.0878174630654271</v>
      </c>
      <c r="CM120" s="23">
        <f>EXP(-LN(2)/2)*CM119+(1-EXP(-LN(2)/2))/(LN(2)/2)*CG120*CJ120*VLOOKUP('Données projet'!$B$12,Paramètres!$A$1:$I$89,3,0)*0.475*44/12</f>
        <v>1.3660781230953568E-12</v>
      </c>
      <c r="CN120" s="24">
        <f t="shared" si="66"/>
        <v>2.0878533004138058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371.7282125501186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281.68920000000008</v>
      </c>
      <c r="AK121" s="14">
        <f t="shared" si="89"/>
        <v>67.323860341513637</v>
      </c>
      <c r="AL121" s="22">
        <f t="shared" si="58"/>
        <v>607.86441342813634</v>
      </c>
      <c r="AM121" s="62">
        <f t="shared" si="59"/>
        <v>901.19774676146972</v>
      </c>
      <c r="AN121" s="62">
        <f ca="1">AVERAGE(OFFSET($AM$3,0,0,'Données projet'!$E$10+1,1))-AVERAGE(OFFSET($H$3,0,0,'Données projet'!$E$10+1,1))</f>
        <v>411.73139494306878</v>
      </c>
      <c r="AO121" s="62">
        <f t="shared" si="90"/>
        <v>254.25036207346591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-3.2514435588382188E-14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309.71642374647882</v>
      </c>
      <c r="BJ121" s="62">
        <f t="shared" si="92"/>
        <v>266.63880397664315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0.32274181808391778</v>
      </c>
      <c r="BQ121" s="23">
        <f>EXP(-LN(2)/25)*BQ120+(1-EXP(-LN(2)/25))/(LN(2)/25)*Calculateur!BL121*Calculateur!BN121*VLOOKUP('Données projet'!$B$11,Paramètres!$A$1:$I$89,3,0)*0.475*44/12</f>
        <v>0.42693371085288562</v>
      </c>
      <c r="BR121" s="23">
        <f>EXP(-LN(2)/2)*BR120+(1-EXP(-LN(2)/2))/(LN(2)/2)*BL121*BO121*VLOOKUP('Données projet'!$B$11,Paramètres!$A$1:$I$89,3,0)*0.475*44/12</f>
        <v>7.5375750937569883E-13</v>
      </c>
      <c r="BS121" s="24">
        <f t="shared" si="63"/>
        <v>0.74967552893755707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-6.7984728957526396E-14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348.62416478262719</v>
      </c>
      <c r="CE121" s="62">
        <f t="shared" si="94"/>
        <v>371.70674704563288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0.98042574453826958</v>
      </c>
      <c r="CL121" s="23">
        <f>EXP(-LN(2)/25)*CL120+(1-EXP(-LN(2)/25))/(LN(2)/25)*Calculateur!CG121*Calculateur!CI121*VLOOKUP('Données projet'!$B$12,Paramètres!$A$1:$I$89,3,0)*0.475*44/12</f>
        <v>1.058071037332069</v>
      </c>
      <c r="CM121" s="23">
        <f>EXP(-LN(2)/2)*CM120+(1-EXP(-LN(2)/2))/(LN(2)/2)*CG121*CJ121*VLOOKUP('Données projet'!$B$12,Paramètres!$A$1:$I$89,3,0)*0.475*44/12</f>
        <v>9.6596310447131796E-13</v>
      </c>
      <c r="CN121" s="24">
        <f t="shared" si="66"/>
        <v>2.0384967818713045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371.7282125501186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285.33960000000008</v>
      </c>
      <c r="AK122" s="14">
        <f t="shared" si="89"/>
        <v>68.094176261531288</v>
      </c>
      <c r="AL122" s="22">
        <f t="shared" si="58"/>
        <v>615.56382698883374</v>
      </c>
      <c r="AM122" s="62">
        <f t="shared" si="59"/>
        <v>908.89716032216711</v>
      </c>
      <c r="AN122" s="62">
        <f ca="1">AVERAGE(OFFSET($AM$3,0,0,'Données projet'!$E$10+1,1))-AVERAGE(OFFSET($H$3,0,0,'Données projet'!$E$10+1,1))</f>
        <v>411.73139494306878</v>
      </c>
      <c r="AO122" s="62">
        <f t="shared" si="90"/>
        <v>254.25036207346591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-3.2514435588382188E-14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309.71642374647882</v>
      </c>
      <c r="BJ122" s="62">
        <f t="shared" si="92"/>
        <v>266.63880397664315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0.31641304788436353</v>
      </c>
      <c r="BQ122" s="23">
        <f>EXP(-LN(2)/25)*BQ121+(1-EXP(-LN(2)/25))/(LN(2)/25)*Calculateur!BL122*Calculateur!BN122*VLOOKUP('Données projet'!$B$11,Paramètres!$A$1:$I$89,3,0)*0.475*44/12</f>
        <v>0.41525918607814538</v>
      </c>
      <c r="BR122" s="23">
        <f>EXP(-LN(2)/2)*BR121+(1-EXP(-LN(2)/2))/(LN(2)/2)*BL122*BO122*VLOOKUP('Données projet'!$B$11,Paramètres!$A$1:$I$89,3,0)*0.475*44/12</f>
        <v>5.3298704624983931E-13</v>
      </c>
      <c r="BS122" s="24">
        <f t="shared" si="63"/>
        <v>0.73167223396304193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-6.7984728957526396E-14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348.62416478262719</v>
      </c>
      <c r="CE122" s="62">
        <f t="shared" si="94"/>
        <v>371.70674704563288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0.9612001936885306</v>
      </c>
      <c r="CL122" s="23">
        <f>EXP(-LN(2)/25)*CL121+(1-EXP(-LN(2)/25))/(LN(2)/25)*Calculateur!CG122*Calculateur!CI122*VLOOKUP('Données projet'!$B$12,Paramètres!$A$1:$I$89,3,0)*0.475*44/12</f>
        <v>1.0291380291746859</v>
      </c>
      <c r="CM122" s="23">
        <f>EXP(-LN(2)/2)*CM121+(1-EXP(-LN(2)/2))/(LN(2)/2)*CG122*CJ122*VLOOKUP('Données projet'!$B$12,Paramètres!$A$1:$I$89,3,0)*0.475*44/12</f>
        <v>6.8303906154767838E-13</v>
      </c>
      <c r="CN122" s="24">
        <f t="shared" si="66"/>
        <v>1.9903382228638995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371.7282125501186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288.99000000000012</v>
      </c>
      <c r="AK123" s="14">
        <f t="shared" si="89"/>
        <v>68.863345904836791</v>
      </c>
      <c r="AL123" s="22">
        <f t="shared" si="58"/>
        <v>623.26124411759099</v>
      </c>
      <c r="AM123" s="62">
        <f t="shared" si="59"/>
        <v>916.59457745092436</v>
      </c>
      <c r="AN123" s="62">
        <f ca="1">AVERAGE(OFFSET($AM$3,0,0,'Données projet'!$E$10+1,1))-AVERAGE(OFFSET($H$3,0,0,'Données projet'!$E$10+1,1))</f>
        <v>411.73139494306878</v>
      </c>
      <c r="AO123" s="62">
        <f t="shared" si="90"/>
        <v>254.25036207346591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-3.2514435588382188E-14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309.71642374647882</v>
      </c>
      <c r="BJ123" s="62">
        <f t="shared" si="92"/>
        <v>266.63880397664315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0.31020838100825393</v>
      </c>
      <c r="BQ123" s="23">
        <f>EXP(-LN(2)/25)*BQ122+(1-EXP(-LN(2)/25))/(LN(2)/25)*Calculateur!BL123*Calculateur!BN123*VLOOKUP('Données projet'!$B$11,Paramètres!$A$1:$I$89,3,0)*0.475*44/12</f>
        <v>0.40390390179730701</v>
      </c>
      <c r="BR123" s="23">
        <f>EXP(-LN(2)/2)*BR122+(1-EXP(-LN(2)/2))/(LN(2)/2)*BL123*BO123*VLOOKUP('Données projet'!$B$11,Paramètres!$A$1:$I$89,3,0)*0.475*44/12</f>
        <v>3.7687875468784941E-13</v>
      </c>
      <c r="BS123" s="24">
        <f t="shared" si="63"/>
        <v>0.71411228280593786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-6.7984728957526396E-14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348.62416478262719</v>
      </c>
      <c r="CE123" s="62">
        <f t="shared" si="94"/>
        <v>371.70674704563288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0.94235164416452688</v>
      </c>
      <c r="CL123" s="23">
        <f>EXP(-LN(2)/25)*CL122+(1-EXP(-LN(2)/25))/(LN(2)/25)*Calculateur!CG123*Calculateur!CI123*VLOOKUP('Données projet'!$B$12,Paramètres!$A$1:$I$89,3,0)*0.475*44/12</f>
        <v>1.0009961956468874</v>
      </c>
      <c r="CM123" s="23">
        <f>EXP(-LN(2)/2)*CM122+(1-EXP(-LN(2)/2))/(LN(2)/2)*CG123*CJ123*VLOOKUP('Données projet'!$B$12,Paramètres!$A$1:$I$89,3,0)*0.475*44/12</f>
        <v>4.8298155223565898E-13</v>
      </c>
      <c r="CN123" s="24">
        <f t="shared" si="66"/>
        <v>1.9433478398118973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371.7282125501186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293.3333333333365</v>
      </c>
      <c r="AN124" s="62">
        <f ca="1">AVERAGE(OFFSET($AM$3,0,0,'Données projet'!$E$10+1,1))-AVERAGE(OFFSET($H$3,0,0,'Données projet'!$E$10+1,1))</f>
        <v>411.73139494306878</v>
      </c>
      <c r="AO124" s="62">
        <f t="shared" si="90"/>
        <v>254.25036207346591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-3.2514435588382188E-14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309.71642374647882</v>
      </c>
      <c r="BJ124" s="62">
        <f t="shared" si="92"/>
        <v>266.63880397664315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0.30412538386511173</v>
      </c>
      <c r="BQ124" s="23">
        <f>EXP(-LN(2)/25)*BQ123+(1-EXP(-LN(2)/25))/(LN(2)/25)*Calculateur!BL124*Calculateur!BN124*VLOOKUP('Données projet'!$B$11,Paramètres!$A$1:$I$89,3,0)*0.475*44/12</f>
        <v>0.3928591283622766</v>
      </c>
      <c r="BR124" s="23">
        <f>EXP(-LN(2)/2)*BR123+(1-EXP(-LN(2)/2))/(LN(2)/2)*BL124*BO124*VLOOKUP('Données projet'!$B$11,Paramètres!$A$1:$I$89,3,0)*0.475*44/12</f>
        <v>2.6649352312491966E-13</v>
      </c>
      <c r="BS124" s="24">
        <f t="shared" si="63"/>
        <v>0.69698451222765478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-6.7984728957526396E-14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348.62416478262719</v>
      </c>
      <c r="CE124" s="62">
        <f t="shared" si="94"/>
        <v>371.70674704563288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0.92387270320020887</v>
      </c>
      <c r="CL124" s="23">
        <f>EXP(-LN(2)/25)*CL123+(1-EXP(-LN(2)/25))/(LN(2)/25)*Calculateur!CG124*Calculateur!CI124*VLOOKUP('Données projet'!$B$12,Paramètres!$A$1:$I$89,3,0)*0.475*44/12</f>
        <v>0.97362390203682114</v>
      </c>
      <c r="CM124" s="23">
        <f>EXP(-LN(2)/2)*CM123+(1-EXP(-LN(2)/2))/(LN(2)/2)*CG124*CJ124*VLOOKUP('Données projet'!$B$12,Paramètres!$A$1:$I$89,3,0)*0.475*44/12</f>
        <v>3.4151953077383919E-13</v>
      </c>
      <c r="CN124" s="24">
        <f t="shared" si="66"/>
        <v>1.8974966052373716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371.7282125501186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293.3333333333365</v>
      </c>
      <c r="AN125" s="62">
        <f ca="1">AVERAGE(OFFSET($AM$3,0,0,'Données projet'!$E$10+1,1))-AVERAGE(OFFSET($H$3,0,0,'Données projet'!$E$10+1,1))</f>
        <v>411.73139494306878</v>
      </c>
      <c r="AO125" s="62">
        <f t="shared" si="90"/>
        <v>254.25036207346591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-3.2514435588382188E-14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309.71642374647882</v>
      </c>
      <c r="BJ125" s="62">
        <f t="shared" si="92"/>
        <v>266.63880397664315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0.2981616705856846</v>
      </c>
      <c r="BQ125" s="23">
        <f>EXP(-LN(2)/25)*BQ124+(1-EXP(-LN(2)/25))/(LN(2)/25)*Calculateur!BL125*Calculateur!BN125*VLOOKUP('Données projet'!$B$11,Paramètres!$A$1:$I$89,3,0)*0.475*44/12</f>
        <v>0.38211637483764649</v>
      </c>
      <c r="BR125" s="23">
        <f>EXP(-LN(2)/2)*BR124+(1-EXP(-LN(2)/2))/(LN(2)/2)*BL125*BO125*VLOOKUP('Données projet'!$B$11,Paramètres!$A$1:$I$89,3,0)*0.475*44/12</f>
        <v>1.8843937734392471E-13</v>
      </c>
      <c r="BS125" s="24">
        <f t="shared" si="63"/>
        <v>0.68027804542351944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-6.7984728957526396E-14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348.62416478262719</v>
      </c>
      <c r="CE125" s="62">
        <f t="shared" si="94"/>
        <v>371.70674704563288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0.90575612299716002</v>
      </c>
      <c r="CL125" s="23">
        <f>EXP(-LN(2)/25)*CL124+(1-EXP(-LN(2)/25))/(LN(2)/25)*Calculateur!CG125*Calculateur!CI125*VLOOKUP('Données projet'!$B$12,Paramètres!$A$1:$I$89,3,0)*0.475*44/12</f>
        <v>0.94700010523496847</v>
      </c>
      <c r="CM125" s="23">
        <f>EXP(-LN(2)/2)*CM124+(1-EXP(-LN(2)/2))/(LN(2)/2)*CG125*CJ125*VLOOKUP('Données projet'!$B$12,Paramètres!$A$1:$I$89,3,0)*0.475*44/12</f>
        <v>2.4149077611782949E-13</v>
      </c>
      <c r="CN125" s="24">
        <f t="shared" si="66"/>
        <v>1.8527562282323702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371.7282125501186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293.3333333333365</v>
      </c>
      <c r="AN126" s="62">
        <f ca="1">AVERAGE(OFFSET($AM$3,0,0,'Données projet'!$E$10+1,1))-AVERAGE(OFFSET($H$3,0,0,'Données projet'!$E$10+1,1))</f>
        <v>411.73139494306878</v>
      </c>
      <c r="AO126" s="62">
        <f t="shared" si="90"/>
        <v>254.25036207346591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-3.2514435588382188E-14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309.71642374647882</v>
      </c>
      <c r="BJ126" s="62">
        <f t="shared" si="92"/>
        <v>266.63880397664315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0.29231490208616112</v>
      </c>
      <c r="BQ126" s="23">
        <f>EXP(-LN(2)/25)*BQ125+(1-EXP(-LN(2)/25))/(LN(2)/25)*Calculateur!BL126*Calculateur!BN126*VLOOKUP('Données projet'!$B$11,Paramètres!$A$1:$I$89,3,0)*0.475*44/12</f>
        <v>0.37166738247308423</v>
      </c>
      <c r="BR126" s="23">
        <f>EXP(-LN(2)/2)*BR125+(1-EXP(-LN(2)/2))/(LN(2)/2)*BL126*BO126*VLOOKUP('Données projet'!$B$11,Paramètres!$A$1:$I$89,3,0)*0.475*44/12</f>
        <v>1.3324676156245983E-13</v>
      </c>
      <c r="BS126" s="24">
        <f t="shared" si="63"/>
        <v>0.66398228455937858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-6.7984728957526396E-14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348.62416478262719</v>
      </c>
      <c r="CE126" s="62">
        <f t="shared" si="94"/>
        <v>371.70674704563288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0.88799479788187019</v>
      </c>
      <c r="CL126" s="23">
        <f>EXP(-LN(2)/25)*CL125+(1-EXP(-LN(2)/25))/(LN(2)/25)*Calculateur!CG126*Calculateur!CI126*VLOOKUP('Données projet'!$B$12,Paramètres!$A$1:$I$89,3,0)*0.475*44/12</f>
        <v>0.92110433755674714</v>
      </c>
      <c r="CM126" s="23">
        <f>EXP(-LN(2)/2)*CM125+(1-EXP(-LN(2)/2))/(LN(2)/2)*CG126*CJ126*VLOOKUP('Données projet'!$B$12,Paramètres!$A$1:$I$89,3,0)*0.475*44/12</f>
        <v>1.707597653869196E-13</v>
      </c>
      <c r="CN126" s="24">
        <f t="shared" si="66"/>
        <v>1.8090991354387882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371.7282125501186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293.3333333333365</v>
      </c>
      <c r="AN127" s="62">
        <f ca="1">AVERAGE(OFFSET($AM$3,0,0,'Données projet'!$E$10+1,1))-AVERAGE(OFFSET($H$3,0,0,'Données projet'!$E$10+1,1))</f>
        <v>411.73139494306878</v>
      </c>
      <c r="AO127" s="62">
        <f t="shared" si="90"/>
        <v>254.25036207346591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-3.2514435588382188E-14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309.71642374647882</v>
      </c>
      <c r="BJ127" s="62">
        <f t="shared" si="92"/>
        <v>266.63880397664315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0.28658278515073665</v>
      </c>
      <c r="BQ127" s="23">
        <f>EXP(-LN(2)/25)*BQ126+(1-EXP(-LN(2)/25))/(LN(2)/25)*Calculateur!BL127*Calculateur!BN127*VLOOKUP('Données projet'!$B$11,Paramètres!$A$1:$I$89,3,0)*0.475*44/12</f>
        <v>0.36150411835421953</v>
      </c>
      <c r="BR127" s="23">
        <f>EXP(-LN(2)/2)*BR126+(1-EXP(-LN(2)/2))/(LN(2)/2)*BL127*BO127*VLOOKUP('Données projet'!$B$11,Paramètres!$A$1:$I$89,3,0)*0.475*44/12</f>
        <v>9.4219688671962354E-14</v>
      </c>
      <c r="BS127" s="24">
        <f t="shared" si="63"/>
        <v>0.64808690350505038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-6.7984728957526396E-14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348.62416478262719</v>
      </c>
      <c r="CE127" s="62">
        <f t="shared" si="94"/>
        <v>371.70674704563288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0.87058176151875255</v>
      </c>
      <c r="CL127" s="23">
        <f>EXP(-LN(2)/25)*CL126+(1-EXP(-LN(2)/25))/(LN(2)/25)*Calculateur!CG127*Calculateur!CI127*VLOOKUP('Données projet'!$B$12,Paramètres!$A$1:$I$89,3,0)*0.475*44/12</f>
        <v>0.89591669100748594</v>
      </c>
      <c r="CM127" s="23">
        <f>EXP(-LN(2)/2)*CM126+(1-EXP(-LN(2)/2))/(LN(2)/2)*CG127*CJ127*VLOOKUP('Données projet'!$B$12,Paramètres!$A$1:$I$89,3,0)*0.475*44/12</f>
        <v>1.2074538805891475E-13</v>
      </c>
      <c r="CN127" s="24">
        <f t="shared" si="66"/>
        <v>1.7664984525263594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371.7282125501186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293.3333333333365</v>
      </c>
      <c r="AN128" s="62">
        <f ca="1">AVERAGE(OFFSET($AM$3,0,0,'Données projet'!$E$10+1,1))-AVERAGE(OFFSET($H$3,0,0,'Données projet'!$E$10+1,1))</f>
        <v>411.73139494306878</v>
      </c>
      <c r="AO128" s="62">
        <f t="shared" si="90"/>
        <v>254.25036207346591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-3.2514435588382188E-14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309.71642374647882</v>
      </c>
      <c r="BJ128" s="62">
        <f t="shared" si="92"/>
        <v>266.63880397664315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0.28096307153216976</v>
      </c>
      <c r="BQ128" s="23">
        <f>EXP(-LN(2)/25)*BQ127+(1-EXP(-LN(2)/25))/(LN(2)/25)*Calculateur!BL128*Calculateur!BN128*VLOOKUP('Données projet'!$B$11,Paramètres!$A$1:$I$89,3,0)*0.475*44/12</f>
        <v>0.35161876922714802</v>
      </c>
      <c r="BR128" s="23">
        <f>EXP(-LN(2)/2)*BR127+(1-EXP(-LN(2)/2))/(LN(2)/2)*BL128*BO128*VLOOKUP('Données projet'!$B$11,Paramètres!$A$1:$I$89,3,0)*0.475*44/12</f>
        <v>6.6623380781229914E-14</v>
      </c>
      <c r="BS128" s="24">
        <f t="shared" si="63"/>
        <v>0.6325818407593844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-6.7984728957526396E-14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348.62416478262719</v>
      </c>
      <c r="CE128" s="62">
        <f t="shared" si="94"/>
        <v>371.70674704563288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0.85351018417781221</v>
      </c>
      <c r="CL128" s="23">
        <f>EXP(-LN(2)/25)*CL127+(1-EXP(-LN(2)/25))/(LN(2)/25)*Calculateur!CG128*Calculateur!CI128*VLOOKUP('Données projet'!$B$12,Paramètres!$A$1:$I$89,3,0)*0.475*44/12</f>
        <v>0.87141780197767515</v>
      </c>
      <c r="CM128" s="23">
        <f>EXP(-LN(2)/2)*CM127+(1-EXP(-LN(2)/2))/(LN(2)/2)*CG128*CJ128*VLOOKUP('Données projet'!$B$12,Paramètres!$A$1:$I$89,3,0)*0.475*44/12</f>
        <v>8.5379882693459798E-14</v>
      </c>
      <c r="CN128" s="24">
        <f t="shared" si="66"/>
        <v>1.7249279861555729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371.7282125501186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293.3333333333365</v>
      </c>
      <c r="AN129" s="62">
        <f ca="1">AVERAGE(OFFSET($AM$3,0,0,'Données projet'!$E$10+1,1))-AVERAGE(OFFSET($H$3,0,0,'Données projet'!$E$10+1,1))</f>
        <v>411.73139494306878</v>
      </c>
      <c r="AO129" s="62">
        <f t="shared" si="90"/>
        <v>254.25036207346591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-3.2514435588382188E-14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309.71642374647882</v>
      </c>
      <c r="BJ129" s="62">
        <f t="shared" si="92"/>
        <v>266.63880397664315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0.2754535570699761</v>
      </c>
      <c r="BQ129" s="23">
        <f>EXP(-LN(2)/25)*BQ128+(1-EXP(-LN(2)/25))/(LN(2)/25)*Calculateur!BL129*Calculateur!BN129*VLOOKUP('Données projet'!$B$11,Paramètres!$A$1:$I$89,3,0)*0.475*44/12</f>
        <v>0.34200373549180424</v>
      </c>
      <c r="BR129" s="23">
        <f>EXP(-LN(2)/2)*BR128+(1-EXP(-LN(2)/2))/(LN(2)/2)*BL129*BO129*VLOOKUP('Données projet'!$B$11,Paramètres!$A$1:$I$89,3,0)*0.475*44/12</f>
        <v>4.7109844335981177E-14</v>
      </c>
      <c r="BS129" s="24">
        <f t="shared" si="63"/>
        <v>0.61745729256182735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-6.7984728957526396E-14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348.62416478262719</v>
      </c>
      <c r="CE129" s="62">
        <f t="shared" si="94"/>
        <v>371.70674704563288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0.83677337005589369</v>
      </c>
      <c r="CL129" s="23">
        <f>EXP(-LN(2)/25)*CL128+(1-EXP(-LN(2)/25))/(LN(2)/25)*Calculateur!CG129*Calculateur!CI129*VLOOKUP('Données projet'!$B$12,Paramètres!$A$1:$I$89,3,0)*0.475*44/12</f>
        <v>0.84758883635672511</v>
      </c>
      <c r="CM129" s="23">
        <f>EXP(-LN(2)/2)*CM128+(1-EXP(-LN(2)/2))/(LN(2)/2)*CG129*CJ129*VLOOKUP('Données projet'!$B$12,Paramètres!$A$1:$I$89,3,0)*0.475*44/12</f>
        <v>6.0372694029457373E-14</v>
      </c>
      <c r="CN129" s="24">
        <f t="shared" si="66"/>
        <v>1.6843622064126791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371.7282125501186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293.3333333333365</v>
      </c>
      <c r="AN130" s="62">
        <f ca="1">AVERAGE(OFFSET($AM$3,0,0,'Données projet'!$E$10+1,1))-AVERAGE(OFFSET($H$3,0,0,'Données projet'!$E$10+1,1))</f>
        <v>411.73139494306878</v>
      </c>
      <c r="AO130" s="62">
        <f t="shared" si="90"/>
        <v>254.25036207346591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-3.2514435588382188E-14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309.71642374647882</v>
      </c>
      <c r="BJ130" s="62">
        <f t="shared" si="92"/>
        <v>266.63880397664315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0.27005208082591409</v>
      </c>
      <c r="BQ130" s="23">
        <f>EXP(-LN(2)/25)*BQ129+(1-EXP(-LN(2)/25))/(LN(2)/25)*Calculateur!BL130*Calculateur!BN130*VLOOKUP('Données projet'!$B$11,Paramètres!$A$1:$I$89,3,0)*0.475*44/12</f>
        <v>0.33265162535958609</v>
      </c>
      <c r="BR130" s="23">
        <f>EXP(-LN(2)/2)*BR129+(1-EXP(-LN(2)/2))/(LN(2)/2)*BL130*BO130*VLOOKUP('Données projet'!$B$11,Paramètres!$A$1:$I$89,3,0)*0.475*44/12</f>
        <v>3.3311690390614957E-14</v>
      </c>
      <c r="BS130" s="24">
        <f t="shared" si="63"/>
        <v>0.60270370618553348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-6.7984728957526396E-14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348.62416478262719</v>
      </c>
      <c r="CE130" s="62">
        <f t="shared" si="94"/>
        <v>371.70674704563288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0.82036475465045733</v>
      </c>
      <c r="CL130" s="23">
        <f>EXP(-LN(2)/25)*CL129+(1-EXP(-LN(2)/25))/(LN(2)/25)*Calculateur!CG130*Calculateur!CI130*VLOOKUP('Données projet'!$B$12,Paramètres!$A$1:$I$89,3,0)*0.475*44/12</f>
        <v>0.82441147505379075</v>
      </c>
      <c r="CM130" s="23">
        <f>EXP(-LN(2)/2)*CM129+(1-EXP(-LN(2)/2))/(LN(2)/2)*CG130*CJ130*VLOOKUP('Données projet'!$B$12,Paramètres!$A$1:$I$89,3,0)*0.475*44/12</f>
        <v>4.2689941346729899E-14</v>
      </c>
      <c r="CN130" s="24">
        <f t="shared" si="66"/>
        <v>1.6447762297042907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371.7282125501186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293.3333333333365</v>
      </c>
      <c r="AN131" s="62">
        <f ca="1">AVERAGE(OFFSET($AM$3,0,0,'Données projet'!$E$10+1,1))-AVERAGE(OFFSET($H$3,0,0,'Données projet'!$E$10+1,1))</f>
        <v>411.73139494306878</v>
      </c>
      <c r="AO131" s="62">
        <f t="shared" si="90"/>
        <v>254.25036207346591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-3.2514435588382188E-14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309.71642374647882</v>
      </c>
      <c r="BJ131" s="62">
        <f t="shared" si="92"/>
        <v>266.63880397664315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0.26475652423642293</v>
      </c>
      <c r="BQ131" s="23">
        <f>EXP(-LN(2)/25)*BQ130+(1-EXP(-LN(2)/25))/(LN(2)/25)*Calculateur!BL131*Calculateur!BN131*VLOOKUP('Données projet'!$B$11,Paramètres!$A$1:$I$89,3,0)*0.475*44/12</f>
        <v>0.32355524917073952</v>
      </c>
      <c r="BR131" s="23">
        <f>EXP(-LN(2)/2)*BR130+(1-EXP(-LN(2)/2))/(LN(2)/2)*BL131*BO131*VLOOKUP('Données projet'!$B$11,Paramètres!$A$1:$I$89,3,0)*0.475*44/12</f>
        <v>2.3554922167990588E-14</v>
      </c>
      <c r="BS131" s="24">
        <f t="shared" si="63"/>
        <v>0.58831177340718599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-6.7984728957526396E-14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348.62416478262719</v>
      </c>
      <c r="CE131" s="62">
        <f t="shared" si="94"/>
        <v>371.70674704563288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0.80427790218485451</v>
      </c>
      <c r="CL131" s="23">
        <f>EXP(-LN(2)/25)*CL130+(1-EXP(-LN(2)/25))/(LN(2)/25)*Calculateur!CG131*Calculateur!CI131*VLOOKUP('Données projet'!$B$12,Paramètres!$A$1:$I$89,3,0)*0.475*44/12</f>
        <v>0.80186789991452956</v>
      </c>
      <c r="CM131" s="23">
        <f>EXP(-LN(2)/2)*CM130+(1-EXP(-LN(2)/2))/(LN(2)/2)*CG131*CJ131*VLOOKUP('Données projet'!$B$12,Paramètres!$A$1:$I$89,3,0)*0.475*44/12</f>
        <v>3.0186347014728686E-14</v>
      </c>
      <c r="CN131" s="24">
        <f t="shared" si="66"/>
        <v>1.6061458020994142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371.7282125501186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293.3333333333365</v>
      </c>
      <c r="AN132" s="62">
        <f ca="1">AVERAGE(OFFSET($AM$3,0,0,'Données projet'!$E$10+1,1))-AVERAGE(OFFSET($H$3,0,0,'Données projet'!$E$10+1,1))</f>
        <v>411.73139494306878</v>
      </c>
      <c r="AO132" s="62">
        <f t="shared" si="90"/>
        <v>254.25036207346591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-3.2514435588382188E-14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309.71642374647882</v>
      </c>
      <c r="BJ132" s="62">
        <f t="shared" si="92"/>
        <v>266.63880397664315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0.2595648102816811</v>
      </c>
      <c r="BQ132" s="23">
        <f>EXP(-LN(2)/25)*BQ131+(1-EXP(-LN(2)/25))/(LN(2)/25)*Calculateur!BL132*Calculateur!BN132*VLOOKUP('Données projet'!$B$11,Paramètres!$A$1:$I$89,3,0)*0.475*44/12</f>
        <v>0.31470761386713458</v>
      </c>
      <c r="BR132" s="23">
        <f>EXP(-LN(2)/2)*BR131+(1-EXP(-LN(2)/2))/(LN(2)/2)*BL132*BO132*VLOOKUP('Données projet'!$B$11,Paramètres!$A$1:$I$89,3,0)*0.475*44/12</f>
        <v>1.6655845195307479E-14</v>
      </c>
      <c r="BS132" s="24">
        <f t="shared" ref="BS132:BS153" si="117">SUM(BP132:BR132)</f>
        <v>0.57427242414883239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-6.7984728957526396E-14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348.62416478262719</v>
      </c>
      <c r="CE132" s="62">
        <f t="shared" si="94"/>
        <v>371.70674704563288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0.78850650308409098</v>
      </c>
      <c r="CL132" s="23">
        <f>EXP(-LN(2)/25)*CL131+(1-EXP(-LN(2)/25))/(LN(2)/25)*Calculateur!CG132*Calculateur!CI132*VLOOKUP('Données projet'!$B$12,Paramètres!$A$1:$I$89,3,0)*0.475*44/12</f>
        <v>0.77994078002296663</v>
      </c>
      <c r="CM132" s="23">
        <f>EXP(-LN(2)/2)*CM131+(1-EXP(-LN(2)/2))/(LN(2)/2)*CG132*CJ132*VLOOKUP('Données projet'!$B$12,Paramètres!$A$1:$I$89,3,0)*0.475*44/12</f>
        <v>2.1344970673364949E-14</v>
      </c>
      <c r="CN132" s="24">
        <f t="shared" ref="CN132:CN153" si="120">SUM(CK132:CM132)</f>
        <v>1.568447283107079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371.7282125501186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293.3333333333365</v>
      </c>
      <c r="AN133" s="62">
        <f ca="1">AVERAGE(OFFSET($AM$3,0,0,'Données projet'!$E$10+1,1))-AVERAGE(OFFSET($H$3,0,0,'Données projet'!$E$10+1,1))</f>
        <v>411.73139494306878</v>
      </c>
      <c r="AO133" s="62">
        <f t="shared" ref="AO133:AO196" si="144">$AO$3</f>
        <v>254.25036207346591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-3.2514435588382188E-14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309.71642374647882</v>
      </c>
      <c r="BJ133" s="62">
        <f t="shared" ref="BJ133:BJ196" si="146">$BJ$3</f>
        <v>266.63880397664315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0.2544749026709589</v>
      </c>
      <c r="BQ133" s="23">
        <f>EXP(-LN(2)/25)*BQ132+(1-EXP(-LN(2)/25))/(LN(2)/25)*Calculateur!BL133*Calculateur!BN133*VLOOKUP('Données projet'!$B$11,Paramètres!$A$1:$I$89,3,0)*0.475*44/12</f>
        <v>0.30610191761618366</v>
      </c>
      <c r="BR133" s="23">
        <f>EXP(-LN(2)/2)*BR132+(1-EXP(-LN(2)/2))/(LN(2)/2)*BL133*BO133*VLOOKUP('Données projet'!$B$11,Paramètres!$A$1:$I$89,3,0)*0.475*44/12</f>
        <v>1.1777461083995294E-14</v>
      </c>
      <c r="BS133" s="24">
        <f t="shared" si="117"/>
        <v>0.56057682028715439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-6.7984728957526396E-14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348.62416478262719</v>
      </c>
      <c r="CE133" s="62">
        <f t="shared" ref="CE133:CE196" si="148">$CE$3</f>
        <v>371.70674704563288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0.77304437150008987</v>
      </c>
      <c r="CL133" s="23">
        <f>EXP(-LN(2)/25)*CL132+(1-EXP(-LN(2)/25))/(LN(2)/25)*Calculateur!CG133*Calculateur!CI133*VLOOKUP('Données projet'!$B$12,Paramètres!$A$1:$I$89,3,0)*0.475*44/12</f>
        <v>0.75861325837793558</v>
      </c>
      <c r="CM133" s="23">
        <f>EXP(-LN(2)/2)*CM132+(1-EXP(-LN(2)/2))/(LN(2)/2)*CG133*CJ133*VLOOKUP('Données projet'!$B$12,Paramètres!$A$1:$I$89,3,0)*0.475*44/12</f>
        <v>1.5093173507364343E-14</v>
      </c>
      <c r="CN133" s="24">
        <f t="shared" si="120"/>
        <v>1.5316576298780404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371.7282125501186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293.3333333333365</v>
      </c>
      <c r="AN134" s="62">
        <f ca="1">AVERAGE(OFFSET($AM$3,0,0,'Données projet'!$E$10+1,1))-AVERAGE(OFFSET($H$3,0,0,'Données projet'!$E$10+1,1))</f>
        <v>411.73139494306878</v>
      </c>
      <c r="AO134" s="62">
        <f t="shared" si="144"/>
        <v>254.25036207346591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-3.2514435588382188E-14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309.71642374647882</v>
      </c>
      <c r="BJ134" s="62">
        <f t="shared" si="146"/>
        <v>266.63880397664315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0.24948480504394588</v>
      </c>
      <c r="BQ134" s="23">
        <f>EXP(-LN(2)/25)*BQ133+(1-EXP(-LN(2)/25))/(LN(2)/25)*Calculateur!BL134*Calculateur!BN134*VLOOKUP('Données projet'!$B$11,Paramètres!$A$1:$I$89,3,0)*0.475*44/12</f>
        <v>0.29773154458176887</v>
      </c>
      <c r="BR134" s="23">
        <f>EXP(-LN(2)/2)*BR133+(1-EXP(-LN(2)/2))/(LN(2)/2)*BL134*BO134*VLOOKUP('Données projet'!$B$11,Paramètres!$A$1:$I$89,3,0)*0.475*44/12</f>
        <v>8.3279225976537393E-15</v>
      </c>
      <c r="BS134" s="24">
        <f t="shared" si="117"/>
        <v>0.54721634962572308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-6.7984728957526396E-14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348.62416478262719</v>
      </c>
      <c r="CE134" s="62">
        <f t="shared" si="148"/>
        <v>371.70674704563288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0.75788544288548187</v>
      </c>
      <c r="CL134" s="23">
        <f>EXP(-LN(2)/25)*CL133+(1-EXP(-LN(2)/25))/(LN(2)/25)*Calculateur!CG134*Calculateur!CI134*VLOOKUP('Données projet'!$B$12,Paramètres!$A$1:$I$89,3,0)*0.475*44/12</f>
        <v>0.73786893893385352</v>
      </c>
      <c r="CM134" s="23">
        <f>EXP(-LN(2)/2)*CM133+(1-EXP(-LN(2)/2))/(LN(2)/2)*CG134*CJ134*VLOOKUP('Données projet'!$B$12,Paramètres!$A$1:$I$89,3,0)*0.475*44/12</f>
        <v>1.0672485336682475E-14</v>
      </c>
      <c r="CN134" s="24">
        <f t="shared" si="120"/>
        <v>1.4957543818193462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371.7282125501186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293.3333333333365</v>
      </c>
      <c r="AN135" s="62">
        <f ca="1">AVERAGE(OFFSET($AM$3,0,0,'Données projet'!$E$10+1,1))-AVERAGE(OFFSET($H$3,0,0,'Données projet'!$E$10+1,1))</f>
        <v>411.73139494306878</v>
      </c>
      <c r="AO135" s="62">
        <f t="shared" si="144"/>
        <v>254.25036207346591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-3.2514435588382188E-14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309.71642374647882</v>
      </c>
      <c r="BJ135" s="62">
        <f t="shared" si="146"/>
        <v>266.63880397664315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0.24459256018773956</v>
      </c>
      <c r="BQ135" s="23">
        <f>EXP(-LN(2)/25)*BQ134+(1-EXP(-LN(2)/25))/(LN(2)/25)*Calculateur!BL135*Calculateur!BN135*VLOOKUP('Données projet'!$B$11,Paramètres!$A$1:$I$89,3,0)*0.475*44/12</f>
        <v>0.28959005983815894</v>
      </c>
      <c r="BR135" s="23">
        <f>EXP(-LN(2)/2)*BR134+(1-EXP(-LN(2)/2))/(LN(2)/2)*BL135*BO135*VLOOKUP('Données projet'!$B$11,Paramètres!$A$1:$I$89,3,0)*0.475*44/12</f>
        <v>5.8887305419976471E-15</v>
      </c>
      <c r="BS135" s="24">
        <f t="shared" si="117"/>
        <v>0.53418262002590444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-6.7984728957526396E-14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348.62416478262719</v>
      </c>
      <c r="CE135" s="62">
        <f t="shared" si="148"/>
        <v>371.70674704563288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0.74302377161497291</v>
      </c>
      <c r="CL135" s="23">
        <f>EXP(-LN(2)/25)*CL134+(1-EXP(-LN(2)/25))/(LN(2)/25)*Calculateur!CG135*Calculateur!CI135*VLOOKUP('Données projet'!$B$12,Paramètres!$A$1:$I$89,3,0)*0.475*44/12</f>
        <v>0.7176918739958662</v>
      </c>
      <c r="CM135" s="23">
        <f>EXP(-LN(2)/2)*CM134+(1-EXP(-LN(2)/2))/(LN(2)/2)*CG135*CJ135*VLOOKUP('Données projet'!$B$12,Paramètres!$A$1:$I$89,3,0)*0.475*44/12</f>
        <v>7.5465867536821716E-15</v>
      </c>
      <c r="CN135" s="24">
        <f t="shared" si="120"/>
        <v>1.4607156456108465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371.7282125501186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293.3333333333365</v>
      </c>
      <c r="AN136" s="62">
        <f ca="1">AVERAGE(OFFSET($AM$3,0,0,'Données projet'!$E$10+1,1))-AVERAGE(OFFSET($H$3,0,0,'Données projet'!$E$10+1,1))</f>
        <v>411.73139494306878</v>
      </c>
      <c r="AO136" s="62">
        <f t="shared" si="144"/>
        <v>254.25036207346591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-3.2514435588382188E-14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309.71642374647882</v>
      </c>
      <c r="BJ136" s="62">
        <f t="shared" si="146"/>
        <v>266.63880397664315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0.23979624926918874</v>
      </c>
      <c r="BQ136" s="23">
        <f>EXP(-LN(2)/25)*BQ135+(1-EXP(-LN(2)/25))/(LN(2)/25)*Calculateur!BL136*Calculateur!BN136*VLOOKUP('Données projet'!$B$11,Paramètres!$A$1:$I$89,3,0)*0.475*44/12</f>
        <v>0.28167120442300508</v>
      </c>
      <c r="BR136" s="23">
        <f>EXP(-LN(2)/2)*BR135+(1-EXP(-LN(2)/2))/(LN(2)/2)*BL136*BO136*VLOOKUP('Données projet'!$B$11,Paramètres!$A$1:$I$89,3,0)*0.475*44/12</f>
        <v>4.1639612988268696E-15</v>
      </c>
      <c r="BS136" s="24">
        <f t="shared" si="117"/>
        <v>0.52146745369219805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-6.7984728957526396E-14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348.62416478262719</v>
      </c>
      <c r="CE136" s="62">
        <f t="shared" si="148"/>
        <v>371.70674704563288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0.72845352865335422</v>
      </c>
      <c r="CL136" s="23">
        <f>EXP(-LN(2)/25)*CL135+(1-EXP(-LN(2)/25))/(LN(2)/25)*Calculateur!CG136*Calculateur!CI136*VLOOKUP('Données projet'!$B$12,Paramètres!$A$1:$I$89,3,0)*0.475*44/12</f>
        <v>0.69806655195967393</v>
      </c>
      <c r="CM136" s="23">
        <f>EXP(-LN(2)/2)*CM135+(1-EXP(-LN(2)/2))/(LN(2)/2)*CG136*CJ136*VLOOKUP('Données projet'!$B$12,Paramètres!$A$1:$I$89,3,0)*0.475*44/12</f>
        <v>5.3362426683412373E-15</v>
      </c>
      <c r="CN136" s="24">
        <f t="shared" si="120"/>
        <v>1.4265200806130336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371.7282125501186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293.3333333333365</v>
      </c>
      <c r="AN137" s="62">
        <f ca="1">AVERAGE(OFFSET($AM$3,0,0,'Données projet'!$E$10+1,1))-AVERAGE(OFFSET($H$3,0,0,'Données projet'!$E$10+1,1))</f>
        <v>411.73139494306878</v>
      </c>
      <c r="AO137" s="62">
        <f t="shared" si="144"/>
        <v>254.25036207346591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-3.2514435588382188E-14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309.71642374647882</v>
      </c>
      <c r="BJ137" s="62">
        <f t="shared" si="146"/>
        <v>266.63880397664315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0.2350939910822899</v>
      </c>
      <c r="BQ137" s="23">
        <f>EXP(-LN(2)/25)*BQ136+(1-EXP(-LN(2)/25))/(LN(2)/25)*Calculateur!BL137*Calculateur!BN137*VLOOKUP('Données projet'!$B$11,Paramètres!$A$1:$I$89,3,0)*0.475*44/12</f>
        <v>0.27396889052561313</v>
      </c>
      <c r="BR137" s="23">
        <f>EXP(-LN(2)/2)*BR136+(1-EXP(-LN(2)/2))/(LN(2)/2)*BL137*BO137*VLOOKUP('Données projet'!$B$11,Paramètres!$A$1:$I$89,3,0)*0.475*44/12</f>
        <v>2.9443652709988236E-15</v>
      </c>
      <c r="BS137" s="24">
        <f t="shared" si="117"/>
        <v>0.50906288160790603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-6.7984728957526396E-14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348.62416478262719</v>
      </c>
      <c r="CE137" s="62">
        <f t="shared" si="148"/>
        <v>371.70674704563288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0.71416899926924216</v>
      </c>
      <c r="CL137" s="23">
        <f>EXP(-LN(2)/25)*CL136+(1-EXP(-LN(2)/25))/(LN(2)/25)*Calculateur!CG137*Calculateur!CI137*VLOOKUP('Données projet'!$B$12,Paramètres!$A$1:$I$89,3,0)*0.475*44/12</f>
        <v>0.67897788538661208</v>
      </c>
      <c r="CM137" s="23">
        <f>EXP(-LN(2)/2)*CM136+(1-EXP(-LN(2)/2))/(LN(2)/2)*CG137*CJ137*VLOOKUP('Données projet'!$B$12,Paramètres!$A$1:$I$89,3,0)*0.475*44/12</f>
        <v>3.7732933768410858E-15</v>
      </c>
      <c r="CN137" s="24">
        <f t="shared" si="120"/>
        <v>1.3931468846558579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371.7282125501186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293.3333333333365</v>
      </c>
      <c r="AN138" s="62">
        <f ca="1">AVERAGE(OFFSET($AM$3,0,0,'Données projet'!$E$10+1,1))-AVERAGE(OFFSET($H$3,0,0,'Données projet'!$E$10+1,1))</f>
        <v>411.73139494306878</v>
      </c>
      <c r="AO138" s="62">
        <f t="shared" si="144"/>
        <v>254.25036207346591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-3.2514435588382188E-14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309.71642374647882</v>
      </c>
      <c r="BJ138" s="62">
        <f t="shared" si="146"/>
        <v>266.63880397664315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0.23048394131034186</v>
      </c>
      <c r="BQ138" s="23">
        <f>EXP(-LN(2)/25)*BQ137+(1-EXP(-LN(2)/25))/(LN(2)/25)*Calculateur!BL138*Calculateur!BN138*VLOOKUP('Données projet'!$B$11,Paramètres!$A$1:$I$89,3,0)*0.475*44/12</f>
        <v>0.26647719680679244</v>
      </c>
      <c r="BR138" s="23">
        <f>EXP(-LN(2)/2)*BR137+(1-EXP(-LN(2)/2))/(LN(2)/2)*BL138*BO138*VLOOKUP('Données projet'!$B$11,Paramètres!$A$1:$I$89,3,0)*0.475*44/12</f>
        <v>2.0819806494134348E-15</v>
      </c>
      <c r="BS138" s="24">
        <f t="shared" si="117"/>
        <v>0.49696113811713638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-6.7984728957526396E-14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348.62416478262719</v>
      </c>
      <c r="CE138" s="62">
        <f t="shared" si="148"/>
        <v>371.70674704563288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0.70016458079364996</v>
      </c>
      <c r="CL138" s="23">
        <f>EXP(-LN(2)/25)*CL137+(1-EXP(-LN(2)/25))/(LN(2)/25)*Calculateur!CG138*Calculateur!CI138*VLOOKUP('Données projet'!$B$12,Paramètres!$A$1:$I$89,3,0)*0.475*44/12</f>
        <v>0.66041119940481996</v>
      </c>
      <c r="CM138" s="23">
        <f>EXP(-LN(2)/2)*CM137+(1-EXP(-LN(2)/2))/(LN(2)/2)*CG138*CJ138*VLOOKUP('Données projet'!$B$12,Paramètres!$A$1:$I$89,3,0)*0.475*44/12</f>
        <v>2.6681213341706187E-15</v>
      </c>
      <c r="CN138" s="24">
        <f t="shared" si="120"/>
        <v>1.3605757801984726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371.7282125501186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293.3333333333365</v>
      </c>
      <c r="AN139" s="62">
        <f ca="1">AVERAGE(OFFSET($AM$3,0,0,'Données projet'!$E$10+1,1))-AVERAGE(OFFSET($H$3,0,0,'Données projet'!$E$10+1,1))</f>
        <v>411.73139494306878</v>
      </c>
      <c r="AO139" s="62">
        <f t="shared" si="144"/>
        <v>254.25036207346591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-3.2514435588382188E-14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309.71642374647882</v>
      </c>
      <c r="BJ139" s="62">
        <f t="shared" si="146"/>
        <v>266.63880397664315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0.225964291802569</v>
      </c>
      <c r="BQ139" s="23">
        <f>EXP(-LN(2)/25)*BQ138+(1-EXP(-LN(2)/25))/(LN(2)/25)*Calculateur!BL139*Calculateur!BN139*VLOOKUP('Données projet'!$B$11,Paramètres!$A$1:$I$89,3,0)*0.475*44/12</f>
        <v>0.25919036384668398</v>
      </c>
      <c r="BR139" s="23">
        <f>EXP(-LN(2)/2)*BR138+(1-EXP(-LN(2)/2))/(LN(2)/2)*BL139*BO139*VLOOKUP('Données projet'!$B$11,Paramètres!$A$1:$I$89,3,0)*0.475*44/12</f>
        <v>1.4721826354994118E-15</v>
      </c>
      <c r="BS139" s="24">
        <f t="shared" si="117"/>
        <v>0.48515465564925447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-6.7984728957526396E-14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348.62416478262719</v>
      </c>
      <c r="CE139" s="62">
        <f t="shared" si="148"/>
        <v>371.70674704563288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0.68643478042251227</v>
      </c>
      <c r="CL139" s="23">
        <f>EXP(-LN(2)/25)*CL138+(1-EXP(-LN(2)/25))/(LN(2)/25)*Calculateur!CG139*Calculateur!CI139*VLOOKUP('Données projet'!$B$12,Paramètres!$A$1:$I$89,3,0)*0.475*44/12</f>
        <v>0.64235222042757956</v>
      </c>
      <c r="CM139" s="23">
        <f>EXP(-LN(2)/2)*CM138+(1-EXP(-LN(2)/2))/(LN(2)/2)*CG139*CJ139*VLOOKUP('Données projet'!$B$12,Paramètres!$A$1:$I$89,3,0)*0.475*44/12</f>
        <v>1.8866466884205429E-15</v>
      </c>
      <c r="CN139" s="24">
        <f t="shared" si="120"/>
        <v>1.3287870008500935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371.7282125501186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293.3333333333365</v>
      </c>
      <c r="AN140" s="62">
        <f ca="1">AVERAGE(OFFSET($AM$3,0,0,'Données projet'!$E$10+1,1))-AVERAGE(OFFSET($H$3,0,0,'Données projet'!$E$10+1,1))</f>
        <v>411.73139494306878</v>
      </c>
      <c r="AO140" s="62">
        <f t="shared" si="144"/>
        <v>254.25036207346591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-3.2514435588382188E-14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309.71642374647882</v>
      </c>
      <c r="BJ140" s="62">
        <f t="shared" si="146"/>
        <v>266.63880397664315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0.22153326986492958</v>
      </c>
      <c r="BQ140" s="23">
        <f>EXP(-LN(2)/25)*BQ139+(1-EXP(-LN(2)/25))/(LN(2)/25)*Calculateur!BL140*Calculateur!BN140*VLOOKUP('Données projet'!$B$11,Paramètres!$A$1:$I$89,3,0)*0.475*44/12</f>
        <v>0.25210278971706757</v>
      </c>
      <c r="BR140" s="23">
        <f>EXP(-LN(2)/2)*BR139+(1-EXP(-LN(2)/2))/(LN(2)/2)*BL140*BO140*VLOOKUP('Données projet'!$B$11,Paramètres!$A$1:$I$89,3,0)*0.475*44/12</f>
        <v>1.0409903247067174E-15</v>
      </c>
      <c r="BS140" s="24">
        <f t="shared" si="117"/>
        <v>0.47363605958199823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-6.7984728957526396E-14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348.62416478262719</v>
      </c>
      <c r="CE140" s="62">
        <f t="shared" si="148"/>
        <v>371.70674704563288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0.67297421306230121</v>
      </c>
      <c r="CL140" s="23">
        <f>EXP(-LN(2)/25)*CL139+(1-EXP(-LN(2)/25))/(LN(2)/25)*Calculateur!CG140*Calculateur!CI140*VLOOKUP('Données projet'!$B$12,Paramètres!$A$1:$I$89,3,0)*0.475*44/12</f>
        <v>0.62478706518015226</v>
      </c>
      <c r="CM140" s="23">
        <f>EXP(-LN(2)/2)*CM139+(1-EXP(-LN(2)/2))/(LN(2)/2)*CG140*CJ140*VLOOKUP('Données projet'!$B$12,Paramètres!$A$1:$I$89,3,0)*0.475*44/12</f>
        <v>1.3340606670853093E-15</v>
      </c>
      <c r="CN140" s="24">
        <f t="shared" si="120"/>
        <v>1.2977612782424548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371.7282125501186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293.3333333333365</v>
      </c>
      <c r="AN141" s="62">
        <f ca="1">AVERAGE(OFFSET($AM$3,0,0,'Données projet'!$E$10+1,1))-AVERAGE(OFFSET($H$3,0,0,'Données projet'!$E$10+1,1))</f>
        <v>411.73139494306878</v>
      </c>
      <c r="AO141" s="62">
        <f t="shared" si="144"/>
        <v>254.25036207346591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-3.2514435588382188E-14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309.71642374647882</v>
      </c>
      <c r="BJ141" s="62">
        <f t="shared" si="146"/>
        <v>266.63880397664315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0.21718913756483074</v>
      </c>
      <c r="BQ141" s="23">
        <f>EXP(-LN(2)/25)*BQ140+(1-EXP(-LN(2)/25))/(LN(2)/25)*Calculateur!BL141*Calculateur!BN141*VLOOKUP('Données projet'!$B$11,Paramètres!$A$1:$I$89,3,0)*0.475*44/12</f>
        <v>0.24520902567474484</v>
      </c>
      <c r="BR141" s="23">
        <f>EXP(-LN(2)/2)*BR140+(1-EXP(-LN(2)/2))/(LN(2)/2)*BL141*BO141*VLOOKUP('Données projet'!$B$11,Paramètres!$A$1:$I$89,3,0)*0.475*44/12</f>
        <v>7.3609131774970589E-16</v>
      </c>
      <c r="BS141" s="24">
        <f t="shared" si="117"/>
        <v>0.46239816323957633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-6.7984728957526396E-14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348.62416478262719</v>
      </c>
      <c r="CE141" s="62">
        <f t="shared" si="148"/>
        <v>371.70674704563288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0.65977759921788859</v>
      </c>
      <c r="CL141" s="23">
        <f>EXP(-LN(2)/25)*CL140+(1-EXP(-LN(2)/25))/(LN(2)/25)*Calculateur!CG141*Calculateur!CI141*VLOOKUP('Données projet'!$B$12,Paramètres!$A$1:$I$89,3,0)*0.475*44/12</f>
        <v>0.60770223002667723</v>
      </c>
      <c r="CM141" s="23">
        <f>EXP(-LN(2)/2)*CM140+(1-EXP(-LN(2)/2))/(LN(2)/2)*CG141*CJ141*VLOOKUP('Données projet'!$B$12,Paramètres!$A$1:$I$89,3,0)*0.475*44/12</f>
        <v>9.4332334421027145E-16</v>
      </c>
      <c r="CN141" s="24">
        <f t="shared" si="120"/>
        <v>1.2674798292445666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371.7282125501186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293.3333333333365</v>
      </c>
      <c r="AN142" s="62">
        <f ca="1">AVERAGE(OFFSET($AM$3,0,0,'Données projet'!$E$10+1,1))-AVERAGE(OFFSET($H$3,0,0,'Données projet'!$E$10+1,1))</f>
        <v>411.73139494306878</v>
      </c>
      <c r="AO142" s="62">
        <f t="shared" si="144"/>
        <v>254.25036207346591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-3.2514435588382188E-14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309.71642374647882</v>
      </c>
      <c r="BJ142" s="62">
        <f t="shared" si="146"/>
        <v>266.63880397664315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0.21293019104947777</v>
      </c>
      <c r="BQ142" s="23">
        <f>EXP(-LN(2)/25)*BQ141+(1-EXP(-LN(2)/25))/(LN(2)/25)*Calculateur!BL142*Calculateur!BN142*VLOOKUP('Données projet'!$B$11,Paramètres!$A$1:$I$89,3,0)*0.475*44/12</f>
        <v>0.23850377197268671</v>
      </c>
      <c r="BR142" s="23">
        <f>EXP(-LN(2)/2)*BR141+(1-EXP(-LN(2)/2))/(LN(2)/2)*BL142*BO142*VLOOKUP('Données projet'!$B$11,Paramètres!$A$1:$I$89,3,0)*0.475*44/12</f>
        <v>5.2049516235335871E-16</v>
      </c>
      <c r="BS142" s="24">
        <f t="shared" si="117"/>
        <v>0.45143396302216499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-6.7984728957526396E-14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348.62416478262719</v>
      </c>
      <c r="CE142" s="62">
        <f t="shared" si="148"/>
        <v>371.70674704563288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0.64683976292182521</v>
      </c>
      <c r="CL142" s="23">
        <f>EXP(-LN(2)/25)*CL141+(1-EXP(-LN(2)/25))/(LN(2)/25)*Calculateur!CG142*Calculateur!CI142*VLOOKUP('Données projet'!$B$12,Paramètres!$A$1:$I$89,3,0)*0.475*44/12</f>
        <v>0.59108458058892643</v>
      </c>
      <c r="CM142" s="23">
        <f>EXP(-LN(2)/2)*CM141+(1-EXP(-LN(2)/2))/(LN(2)/2)*CG142*CJ142*VLOOKUP('Données projet'!$B$12,Paramètres!$A$1:$I$89,3,0)*0.475*44/12</f>
        <v>6.6703033354265467E-16</v>
      </c>
      <c r="CN142" s="24">
        <f t="shared" si="120"/>
        <v>1.2379243435107523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371.7282125501186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293.3333333333365</v>
      </c>
      <c r="AN143" s="62">
        <f ca="1">AVERAGE(OFFSET($AM$3,0,0,'Données projet'!$E$10+1,1))-AVERAGE(OFFSET($H$3,0,0,'Données projet'!$E$10+1,1))</f>
        <v>411.73139494306878</v>
      </c>
      <c r="AO143" s="62">
        <f t="shared" si="144"/>
        <v>254.25036207346591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-3.2514435588382188E-14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309.71642374647882</v>
      </c>
      <c r="BJ143" s="62">
        <f t="shared" si="146"/>
        <v>266.63880397664315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0.20875475987759001</v>
      </c>
      <c r="BQ143" s="23">
        <f>EXP(-LN(2)/25)*BQ142+(1-EXP(-LN(2)/25))/(LN(2)/25)*Calculateur!BL143*Calculateur!BN143*VLOOKUP('Données projet'!$B$11,Paramètres!$A$1:$I$89,3,0)*0.475*44/12</f>
        <v>0.23198187378572532</v>
      </c>
      <c r="BR143" s="23">
        <f>EXP(-LN(2)/2)*BR142+(1-EXP(-LN(2)/2))/(LN(2)/2)*BL143*BO143*VLOOKUP('Données projet'!$B$11,Paramètres!$A$1:$I$89,3,0)*0.475*44/12</f>
        <v>3.6804565887485294E-16</v>
      </c>
      <c r="BS143" s="24">
        <f t="shared" si="117"/>
        <v>0.44073663366331572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-6.7984728957526396E-14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348.62416478262719</v>
      </c>
      <c r="CE143" s="62">
        <f t="shared" si="148"/>
        <v>371.70674704563288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0.63415562970422668</v>
      </c>
      <c r="CL143" s="23">
        <f>EXP(-LN(2)/25)*CL142+(1-EXP(-LN(2)/25))/(LN(2)/25)*Calculateur!CG143*Calculateur!CI143*VLOOKUP('Données projet'!$B$12,Paramètres!$A$1:$I$89,3,0)*0.475*44/12</f>
        <v>0.57492134164893505</v>
      </c>
      <c r="CM143" s="23">
        <f>EXP(-LN(2)/2)*CM142+(1-EXP(-LN(2)/2))/(LN(2)/2)*CG143*CJ143*VLOOKUP('Données projet'!$B$12,Paramètres!$A$1:$I$89,3,0)*0.475*44/12</f>
        <v>4.7166167210513572E-16</v>
      </c>
      <c r="CN143" s="24">
        <f t="shared" si="120"/>
        <v>1.2090769713531622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371.7282125501186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293.3333333333365</v>
      </c>
      <c r="AN144" s="62">
        <f ca="1">AVERAGE(OFFSET($AM$3,0,0,'Données projet'!$E$10+1,1))-AVERAGE(OFFSET($H$3,0,0,'Données projet'!$E$10+1,1))</f>
        <v>411.73139494306878</v>
      </c>
      <c r="AO144" s="62">
        <f t="shared" si="144"/>
        <v>254.25036207346591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-3.2514435588382188E-14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309.71642374647882</v>
      </c>
      <c r="BJ144" s="62">
        <f t="shared" si="146"/>
        <v>266.63880397664315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0.20466120636422142</v>
      </c>
      <c r="BQ144" s="23">
        <f>EXP(-LN(2)/25)*BQ143+(1-EXP(-LN(2)/25))/(LN(2)/25)*Calculateur!BL144*Calculateur!BN144*VLOOKUP('Données projet'!$B$11,Paramètres!$A$1:$I$89,3,0)*0.475*44/12</f>
        <v>0.22563831724765812</v>
      </c>
      <c r="BR144" s="23">
        <f>EXP(-LN(2)/2)*BR143+(1-EXP(-LN(2)/2))/(LN(2)/2)*BL144*BO144*VLOOKUP('Données projet'!$B$11,Paramètres!$A$1:$I$89,3,0)*0.475*44/12</f>
        <v>2.6024758117667935E-16</v>
      </c>
      <c r="BS144" s="24">
        <f t="shared" si="117"/>
        <v>0.43029952361187979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-6.7984728957526396E-14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348.62416478262719</v>
      </c>
      <c r="CE144" s="62">
        <f t="shared" si="148"/>
        <v>371.70674704563288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0.6217202246024679</v>
      </c>
      <c r="CL144" s="23">
        <f>EXP(-LN(2)/25)*CL143+(1-EXP(-LN(2)/25))/(LN(2)/25)*Calculateur!CG144*Calculateur!CI144*VLOOKUP('Données projet'!$B$12,Paramètres!$A$1:$I$89,3,0)*0.475*44/12</f>
        <v>0.55920008732774551</v>
      </c>
      <c r="CM144" s="23">
        <f>EXP(-LN(2)/2)*CM143+(1-EXP(-LN(2)/2))/(LN(2)/2)*CG144*CJ144*VLOOKUP('Données projet'!$B$12,Paramètres!$A$1:$I$89,3,0)*0.475*44/12</f>
        <v>3.3351516677132733E-16</v>
      </c>
      <c r="CN144" s="24">
        <f t="shared" si="120"/>
        <v>1.1809203119302139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371.7282125501186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293.3333333333365</v>
      </c>
      <c r="AN145" s="62">
        <f ca="1">AVERAGE(OFFSET($AM$3,0,0,'Données projet'!$E$10+1,1))-AVERAGE(OFFSET($H$3,0,0,'Données projet'!$E$10+1,1))</f>
        <v>411.73139494306878</v>
      </c>
      <c r="AO145" s="62">
        <f t="shared" si="144"/>
        <v>254.25036207346591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-3.2514435588382188E-14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309.71642374647882</v>
      </c>
      <c r="BJ145" s="62">
        <f t="shared" si="146"/>
        <v>266.63880397664315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0.20064792493842887</v>
      </c>
      <c r="BQ145" s="23">
        <f>EXP(-LN(2)/25)*BQ144+(1-EXP(-LN(2)/25))/(LN(2)/25)*Calculateur!BL145*Calculateur!BN145*VLOOKUP('Données projet'!$B$11,Paramètres!$A$1:$I$89,3,0)*0.475*44/12</f>
        <v>0.2194682255967175</v>
      </c>
      <c r="BR145" s="23">
        <f>EXP(-LN(2)/2)*BR144+(1-EXP(-LN(2)/2))/(LN(2)/2)*BL145*BO145*VLOOKUP('Données projet'!$B$11,Paramètres!$A$1:$I$89,3,0)*0.475*44/12</f>
        <v>1.8402282943742647E-16</v>
      </c>
      <c r="BS145" s="24">
        <f t="shared" si="117"/>
        <v>0.42011615053514656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-6.7984728957526396E-14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348.62416478262719</v>
      </c>
      <c r="CE145" s="62">
        <f t="shared" si="148"/>
        <v>371.70674704563288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0.60952867020990642</v>
      </c>
      <c r="CL145" s="23">
        <f>EXP(-LN(2)/25)*CL144+(1-EXP(-LN(2)/25))/(LN(2)/25)*Calculateur!CG145*Calculateur!CI145*VLOOKUP('Données projet'!$B$12,Paramètres!$A$1:$I$89,3,0)*0.475*44/12</f>
        <v>0.5439087315327138</v>
      </c>
      <c r="CM145" s="23">
        <f>EXP(-LN(2)/2)*CM144+(1-EXP(-LN(2)/2))/(LN(2)/2)*CG145*CJ145*VLOOKUP('Données projet'!$B$12,Paramètres!$A$1:$I$89,3,0)*0.475*44/12</f>
        <v>2.3583083605256786E-16</v>
      </c>
      <c r="CN145" s="24">
        <f t="shared" si="120"/>
        <v>1.1534374017426205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371.7282125501186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293.3333333333365</v>
      </c>
      <c r="AN146" s="62">
        <f ca="1">AVERAGE(OFFSET($AM$3,0,0,'Données projet'!$E$10+1,1))-AVERAGE(OFFSET($H$3,0,0,'Données projet'!$E$10+1,1))</f>
        <v>411.73139494306878</v>
      </c>
      <c r="AO146" s="62">
        <f t="shared" si="144"/>
        <v>254.25036207346591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-3.2514435588382188E-14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309.71642374647882</v>
      </c>
      <c r="BJ146" s="62">
        <f t="shared" si="146"/>
        <v>266.63880397664315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0.19671334151353614</v>
      </c>
      <c r="BQ146" s="23">
        <f>EXP(-LN(2)/25)*BQ145+(1-EXP(-LN(2)/25))/(LN(2)/25)*Calculateur!BL146*Calculateur!BN146*VLOOKUP('Données projet'!$B$11,Paramètres!$A$1:$I$89,3,0)*0.475*44/12</f>
        <v>0.21346685542644286</v>
      </c>
      <c r="BR146" s="23">
        <f>EXP(-LN(2)/2)*BR145+(1-EXP(-LN(2)/2))/(LN(2)/2)*BL146*BO146*VLOOKUP('Données projet'!$B$11,Paramètres!$A$1:$I$89,3,0)*0.475*44/12</f>
        <v>1.3012379058833968E-16</v>
      </c>
      <c r="BS146" s="24">
        <f t="shared" si="117"/>
        <v>0.41018019693997909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-6.7984728957526396E-14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348.62416478262719</v>
      </c>
      <c r="CE146" s="62">
        <f t="shared" si="148"/>
        <v>371.70674704563288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0.59757618476286922</v>
      </c>
      <c r="CL146" s="23">
        <f>EXP(-LN(2)/25)*CL145+(1-EXP(-LN(2)/25))/(LN(2)/25)*Calculateur!CG146*Calculateur!CI146*VLOOKUP('Données projet'!$B$12,Paramètres!$A$1:$I$89,3,0)*0.475*44/12</f>
        <v>0.52903551866603471</v>
      </c>
      <c r="CM146" s="23">
        <f>EXP(-LN(2)/2)*CM145+(1-EXP(-LN(2)/2))/(LN(2)/2)*CG146*CJ146*VLOOKUP('Données projet'!$B$12,Paramètres!$A$1:$I$89,3,0)*0.475*44/12</f>
        <v>1.6675758338566367E-16</v>
      </c>
      <c r="CN146" s="24">
        <f t="shared" si="120"/>
        <v>1.1266117034289043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371.7282125501186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293.3333333333365</v>
      </c>
      <c r="AN147" s="62">
        <f ca="1">AVERAGE(OFFSET($AM$3,0,0,'Données projet'!$E$10+1,1))-AVERAGE(OFFSET($H$3,0,0,'Données projet'!$E$10+1,1))</f>
        <v>411.73139494306878</v>
      </c>
      <c r="AO147" s="62">
        <f t="shared" si="144"/>
        <v>254.25036207346591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-3.2514435588382188E-14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309.71642374647882</v>
      </c>
      <c r="BJ147" s="62">
        <f t="shared" si="146"/>
        <v>266.63880397664315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0.19285591286974665</v>
      </c>
      <c r="BQ147" s="23">
        <f>EXP(-LN(2)/25)*BQ146+(1-EXP(-LN(2)/25))/(LN(2)/25)*Calculateur!BL147*Calculateur!BN147*VLOOKUP('Données projet'!$B$11,Paramètres!$A$1:$I$89,3,0)*0.475*44/12</f>
        <v>0.20762959303907275</v>
      </c>
      <c r="BR147" s="23">
        <f>EXP(-LN(2)/2)*BR146+(1-EXP(-LN(2)/2))/(LN(2)/2)*BL147*BO147*VLOOKUP('Données projet'!$B$11,Paramètres!$A$1:$I$89,3,0)*0.475*44/12</f>
        <v>9.2011414718713236E-17</v>
      </c>
      <c r="BS147" s="24">
        <f t="shared" si="117"/>
        <v>0.40048550590881948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-6.7984728957526396E-14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348.62416478262719</v>
      </c>
      <c r="CE147" s="62">
        <f t="shared" si="148"/>
        <v>371.70674704563288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0.58585808026515207</v>
      </c>
      <c r="CL147" s="23">
        <f>EXP(-LN(2)/25)*CL146+(1-EXP(-LN(2)/25))/(LN(2)/25)*Calculateur!CG147*Calculateur!CI147*VLOOKUP('Données projet'!$B$12,Paramètres!$A$1:$I$89,3,0)*0.475*44/12</f>
        <v>0.51456901458734317</v>
      </c>
      <c r="CM147" s="23">
        <f>EXP(-LN(2)/2)*CM146+(1-EXP(-LN(2)/2))/(LN(2)/2)*CG147*CJ147*VLOOKUP('Données projet'!$B$12,Paramètres!$A$1:$I$89,3,0)*0.475*44/12</f>
        <v>1.1791541802628393E-16</v>
      </c>
      <c r="CN147" s="24">
        <f t="shared" si="120"/>
        <v>1.1004270948524955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371.7282125501186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293.3333333333365</v>
      </c>
      <c r="AN148" s="62">
        <f ca="1">AVERAGE(OFFSET($AM$3,0,0,'Données projet'!$E$10+1,1))-AVERAGE(OFFSET($H$3,0,0,'Données projet'!$E$10+1,1))</f>
        <v>411.73139494306878</v>
      </c>
      <c r="AO148" s="62">
        <f t="shared" si="144"/>
        <v>254.25036207346591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-3.2514435588382188E-14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309.71642374647882</v>
      </c>
      <c r="BJ148" s="62">
        <f t="shared" si="146"/>
        <v>266.63880397664315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0.18907412604886273</v>
      </c>
      <c r="BQ148" s="23">
        <f>EXP(-LN(2)/25)*BQ147+(1-EXP(-LN(2)/25))/(LN(2)/25)*Calculateur!BL148*Calculateur!BN148*VLOOKUP('Données projet'!$B$11,Paramètres!$A$1:$I$89,3,0)*0.475*44/12</f>
        <v>0.20195195089865356</v>
      </c>
      <c r="BR148" s="23">
        <f>EXP(-LN(2)/2)*BR147+(1-EXP(-LN(2)/2))/(LN(2)/2)*BL148*BO148*VLOOKUP('Données projet'!$B$11,Paramètres!$A$1:$I$89,3,0)*0.475*44/12</f>
        <v>6.5061895294169838E-17</v>
      </c>
      <c r="BS148" s="24">
        <f t="shared" si="117"/>
        <v>0.39102607694751634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-6.7984728957526396E-14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348.62416478262719</v>
      </c>
      <c r="CE148" s="62">
        <f t="shared" si="148"/>
        <v>371.70674704563288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0.57436976064929723</v>
      </c>
      <c r="CL148" s="23">
        <f>EXP(-LN(2)/25)*CL147+(1-EXP(-LN(2)/25))/(LN(2)/25)*Calculateur!CG148*Calculateur!CI148*VLOOKUP('Données projet'!$B$12,Paramètres!$A$1:$I$89,3,0)*0.475*44/12</f>
        <v>0.5004980978234439</v>
      </c>
      <c r="CM148" s="23">
        <f>EXP(-LN(2)/2)*CM147+(1-EXP(-LN(2)/2))/(LN(2)/2)*CG148*CJ148*VLOOKUP('Données projet'!$B$12,Paramètres!$A$1:$I$89,3,0)*0.475*44/12</f>
        <v>8.3378791692831834E-17</v>
      </c>
      <c r="CN148" s="24">
        <f t="shared" si="120"/>
        <v>1.0748678584727411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371.7282125501186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293.3333333333365</v>
      </c>
      <c r="AN149" s="62">
        <f ca="1">AVERAGE(OFFSET($AM$3,0,0,'Données projet'!$E$10+1,1))-AVERAGE(OFFSET($H$3,0,0,'Données projet'!$E$10+1,1))</f>
        <v>411.73139494306878</v>
      </c>
      <c r="AO149" s="62">
        <f t="shared" si="144"/>
        <v>254.25036207346591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-3.2514435588382188E-14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309.71642374647882</v>
      </c>
      <c r="BJ149" s="62">
        <f t="shared" si="146"/>
        <v>266.63880397664315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0.18536649776087413</v>
      </c>
      <c r="BQ149" s="23">
        <f>EXP(-LN(2)/25)*BQ148+(1-EXP(-LN(2)/25))/(LN(2)/25)*Calculateur!BL149*Calculateur!BN149*VLOOKUP('Données projet'!$B$11,Paramètres!$A$1:$I$89,3,0)*0.475*44/12</f>
        <v>0.19642956418113836</v>
      </c>
      <c r="BR149" s="23">
        <f>EXP(-LN(2)/2)*BR148+(1-EXP(-LN(2)/2))/(LN(2)/2)*BL149*BO149*VLOOKUP('Données projet'!$B$11,Paramètres!$A$1:$I$89,3,0)*0.475*44/12</f>
        <v>4.6005707359356618E-17</v>
      </c>
      <c r="BS149" s="24">
        <f t="shared" si="117"/>
        <v>0.38179606194201254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-6.7984728957526396E-14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348.62416478262719</v>
      </c>
      <c r="CE149" s="62">
        <f t="shared" si="148"/>
        <v>371.70674704563288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0.56310671997392625</v>
      </c>
      <c r="CL149" s="23">
        <f>EXP(-LN(2)/25)*CL148+(1-EXP(-LN(2)/25))/(LN(2)/25)*Calculateur!CG149*Calculateur!CI149*VLOOKUP('Données projet'!$B$12,Paramètres!$A$1:$I$89,3,0)*0.475*44/12</f>
        <v>0.48681195101841074</v>
      </c>
      <c r="CM149" s="23">
        <f>EXP(-LN(2)/2)*CM148+(1-EXP(-LN(2)/2))/(LN(2)/2)*CG149*CJ149*VLOOKUP('Données projet'!$B$12,Paramètres!$A$1:$I$89,3,0)*0.475*44/12</f>
        <v>5.8957709013141966E-17</v>
      </c>
      <c r="CN149" s="24">
        <f t="shared" si="120"/>
        <v>1.0499186709923369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371.7282125501186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293.3333333333365</v>
      </c>
      <c r="AN150" s="62">
        <f ca="1">AVERAGE(OFFSET($AM$3,0,0,'Données projet'!$E$10+1,1))-AVERAGE(OFFSET($H$3,0,0,'Données projet'!$E$10+1,1))</f>
        <v>411.73139494306878</v>
      </c>
      <c r="AO150" s="62">
        <f t="shared" si="144"/>
        <v>254.25036207346591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-3.2514435588382188E-14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309.71642374647882</v>
      </c>
      <c r="BJ150" s="62">
        <f t="shared" si="146"/>
        <v>266.63880397664315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0.18173157380218305</v>
      </c>
      <c r="BQ150" s="23">
        <f>EXP(-LN(2)/25)*BQ149+(1-EXP(-LN(2)/25))/(LN(2)/25)*Calculateur!BL150*Calculateur!BN150*VLOOKUP('Données projet'!$B$11,Paramètres!$A$1:$I$89,3,0)*0.475*44/12</f>
        <v>0.1910581874188233</v>
      </c>
      <c r="BR150" s="23">
        <f>EXP(-LN(2)/2)*BR149+(1-EXP(-LN(2)/2))/(LN(2)/2)*BL150*BO150*VLOOKUP('Données projet'!$B$11,Paramètres!$A$1:$I$89,3,0)*0.475*44/12</f>
        <v>3.2530947647084919E-17</v>
      </c>
      <c r="BS150" s="24">
        <f t="shared" si="117"/>
        <v>0.37278976122100643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-6.7984728957526396E-14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348.62416478262719</v>
      </c>
      <c r="CE150" s="62">
        <f t="shared" si="148"/>
        <v>371.70674704563288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0.55206454065642274</v>
      </c>
      <c r="CL150" s="23">
        <f>EXP(-LN(2)/25)*CL149+(1-EXP(-LN(2)/25))/(LN(2)/25)*Calculateur!CG150*Calculateur!CI150*VLOOKUP('Données projet'!$B$12,Paramètres!$A$1:$I$89,3,0)*0.475*44/12</f>
        <v>0.4735000526174844</v>
      </c>
      <c r="CM150" s="23">
        <f>EXP(-LN(2)/2)*CM149+(1-EXP(-LN(2)/2))/(LN(2)/2)*CG150*CJ150*VLOOKUP('Données projet'!$B$12,Paramètres!$A$1:$I$89,3,0)*0.475*44/12</f>
        <v>4.1689395846415917E-17</v>
      </c>
      <c r="CN150" s="24">
        <f t="shared" si="120"/>
        <v>1.025564593273907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371.7282125501186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293.3333333333365</v>
      </c>
      <c r="AN151" s="62">
        <f ca="1">AVERAGE(OFFSET($AM$3,0,0,'Données projet'!$E$10+1,1))-AVERAGE(OFFSET($H$3,0,0,'Données projet'!$E$10+1,1))</f>
        <v>411.73139494306878</v>
      </c>
      <c r="AO151" s="62">
        <f t="shared" si="144"/>
        <v>254.25036207346591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-3.2514435588382188E-14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309.71642374647882</v>
      </c>
      <c r="BJ151" s="62">
        <f t="shared" si="146"/>
        <v>266.63880397664315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0.17816792848523719</v>
      </c>
      <c r="BQ151" s="23">
        <f>EXP(-LN(2)/25)*BQ150+(1-EXP(-LN(2)/25))/(LN(2)/25)*Calculateur!BL151*Calculateur!BN151*VLOOKUP('Données projet'!$B$11,Paramètres!$A$1:$I$89,3,0)*0.475*44/12</f>
        <v>0.18583369123654217</v>
      </c>
      <c r="BR151" s="23">
        <f>EXP(-LN(2)/2)*BR150+(1-EXP(-LN(2)/2))/(LN(2)/2)*BL151*BO151*VLOOKUP('Données projet'!$B$11,Paramètres!$A$1:$I$89,3,0)*0.475*44/12</f>
        <v>2.3002853679678309E-17</v>
      </c>
      <c r="BS151" s="24">
        <f t="shared" si="117"/>
        <v>0.36400161972177936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-6.7984728957526396E-14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348.62416478262719</v>
      </c>
      <c r="CE151" s="62">
        <f t="shared" si="148"/>
        <v>371.70674704563288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0.54123889174027118</v>
      </c>
      <c r="CL151" s="23">
        <f>EXP(-LN(2)/25)*CL150+(1-EXP(-LN(2)/25))/(LN(2)/25)*Calculateur!CG151*Calculateur!CI151*VLOOKUP('Données projet'!$B$12,Paramètres!$A$1:$I$89,3,0)*0.475*44/12</f>
        <v>0.46055216877837374</v>
      </c>
      <c r="CM151" s="23">
        <f>EXP(-LN(2)/2)*CM150+(1-EXP(-LN(2)/2))/(LN(2)/2)*CG151*CJ151*VLOOKUP('Données projet'!$B$12,Paramètres!$A$1:$I$89,3,0)*0.475*44/12</f>
        <v>2.9478854506570983E-17</v>
      </c>
      <c r="CN151" s="24">
        <f t="shared" si="120"/>
        <v>1.0017910605186449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371.7282125501186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293.3333333333365</v>
      </c>
      <c r="AN152" s="62">
        <f ca="1">AVERAGE(OFFSET($AM$3,0,0,'Données projet'!$E$10+1,1))-AVERAGE(OFFSET($H$3,0,0,'Données projet'!$E$10+1,1))</f>
        <v>411.73139494306878</v>
      </c>
      <c r="AO152" s="62">
        <f t="shared" si="144"/>
        <v>254.25036207346591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-3.2514435588382188E-14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309.71642374647882</v>
      </c>
      <c r="BJ152" s="62">
        <f t="shared" si="146"/>
        <v>266.63880397664315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0.17467416407934763</v>
      </c>
      <c r="BQ152" s="23">
        <f>EXP(-LN(2)/25)*BQ151+(1-EXP(-LN(2)/25))/(LN(2)/25)*Calculateur!BL152*Calculateur!BN152*VLOOKUP('Données projet'!$B$11,Paramètres!$A$1:$I$89,3,0)*0.475*44/12</f>
        <v>0.18075205917710982</v>
      </c>
      <c r="BR152" s="23">
        <f>EXP(-LN(2)/2)*BR151+(1-EXP(-LN(2)/2))/(LN(2)/2)*BL152*BO152*VLOOKUP('Données projet'!$B$11,Paramètres!$A$1:$I$89,3,0)*0.475*44/12</f>
        <v>1.626547382354246E-17</v>
      </c>
      <c r="BS152" s="24">
        <f t="shared" si="117"/>
        <v>0.35542622325645745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-6.7984728957526396E-14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348.62416478262719</v>
      </c>
      <c r="CE152" s="62">
        <f t="shared" si="148"/>
        <v>371.70674704563288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0.53062552719637146</v>
      </c>
      <c r="CL152" s="23">
        <f>EXP(-LN(2)/25)*CL151+(1-EXP(-LN(2)/25))/(LN(2)/25)*Calculateur!CG152*Calculateur!CI152*VLOOKUP('Données projet'!$B$12,Paramètres!$A$1:$I$89,3,0)*0.475*44/12</f>
        <v>0.44795834550374314</v>
      </c>
      <c r="CM152" s="23">
        <f>EXP(-LN(2)/2)*CM151+(1-EXP(-LN(2)/2))/(LN(2)/2)*CG152*CJ152*VLOOKUP('Données projet'!$B$12,Paramètres!$A$1:$I$89,3,0)*0.475*44/12</f>
        <v>2.0844697923207958E-17</v>
      </c>
      <c r="CN152" s="24">
        <f t="shared" si="120"/>
        <v>0.9785838727001146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371.7282125501186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293.3333333333365</v>
      </c>
      <c r="AN153" s="62">
        <f ca="1">AVERAGE(OFFSET($AM$3,0,0,'Données projet'!$E$10+1,1))-AVERAGE(OFFSET($H$3,0,0,'Données projet'!$E$10+1,1))</f>
        <v>411.73139494306878</v>
      </c>
      <c r="AO153" s="62">
        <f t="shared" si="144"/>
        <v>254.25036207346591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-3.2514435588382188E-14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309.71642374647882</v>
      </c>
      <c r="BJ153" s="62">
        <f t="shared" si="146"/>
        <v>266.63880397664315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0.17124891026247169</v>
      </c>
      <c r="BQ153" s="23">
        <f>EXP(-LN(2)/25)*BQ152+(1-EXP(-LN(2)/25))/(LN(2)/25)*Calculateur!BL153*Calculateur!BN153*VLOOKUP('Données projet'!$B$11,Paramètres!$A$1:$I$89,3,0)*0.475*44/12</f>
        <v>0.17580938461357407</v>
      </c>
      <c r="BR153" s="23">
        <f>EXP(-LN(2)/2)*BR152+(1-EXP(-LN(2)/2))/(LN(2)/2)*BL153*BO153*VLOOKUP('Données projet'!$B$11,Paramètres!$A$1:$I$89,3,0)*0.475*44/12</f>
        <v>1.1501426839839155E-17</v>
      </c>
      <c r="BS153" s="24">
        <f t="shared" si="117"/>
        <v>0.34705829487604578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-6.7984728957526396E-14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348.62416478262719</v>
      </c>
      <c r="CE153" s="62">
        <f t="shared" si="148"/>
        <v>371.70674704563288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0.52022028425766442</v>
      </c>
      <c r="CL153" s="23">
        <f>EXP(-LN(2)/25)*CL152+(1-EXP(-LN(2)/25))/(LN(2)/25)*Calculateur!CG153*Calculateur!CI153*VLOOKUP('Données projet'!$B$12,Paramètres!$A$1:$I$89,3,0)*0.475*44/12</f>
        <v>0.43570890098883769</v>
      </c>
      <c r="CM153" s="23">
        <f>EXP(-LN(2)/2)*CM152+(1-EXP(-LN(2)/2))/(LN(2)/2)*CG153*CJ153*VLOOKUP('Données projet'!$B$12,Paramètres!$A$1:$I$89,3,0)*0.475*44/12</f>
        <v>1.4739427253285491E-17</v>
      </c>
      <c r="CN153" s="24">
        <f t="shared" si="120"/>
        <v>0.95592918524650217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371.7282125501186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293.3333333333365</v>
      </c>
      <c r="AN154" s="62">
        <f ca="1">AVERAGE(OFFSET($AM$3,0,0,'Données projet'!$E$10+1,1))-AVERAGE(OFFSET($H$3,0,0,'Données projet'!$E$10+1,1))</f>
        <v>411.73139494306878</v>
      </c>
      <c r="AO154" s="62">
        <f t="shared" si="144"/>
        <v>254.25036207346591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-3.2514435588382188E-14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309.71642374647882</v>
      </c>
      <c r="BJ154" s="62">
        <f t="shared" si="146"/>
        <v>266.63880397664315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0.16789082358374616</v>
      </c>
      <c r="BQ154" s="23">
        <f>EXP(-LN(2)/25)*BQ153+(1-EXP(-LN(2)/25))/(LN(2)/25)*Calculateur!BL154*Calculateur!BN154*VLOOKUP('Données projet'!$B$11,Paramètres!$A$1:$I$89,3,0)*0.475*44/12</f>
        <v>0.17100186774590218</v>
      </c>
      <c r="BR154" s="23">
        <f>EXP(-LN(2)/2)*BR153+(1-EXP(-LN(2)/2))/(LN(2)/2)*BL154*BO154*VLOOKUP('Données projet'!$B$11,Paramètres!$A$1:$I$89,3,0)*0.475*44/12</f>
        <v>8.1327369117712298E-18</v>
      </c>
      <c r="BS154" s="24">
        <f t="shared" ref="BS154:BS203" si="169">SUM(BP154:BR154)</f>
        <v>0.33889269132964833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-6.7984728957526396E-14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348.62416478262719</v>
      </c>
      <c r="CE154" s="62">
        <f t="shared" si="148"/>
        <v>371.70674704563288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0.51001908178641397</v>
      </c>
      <c r="CL154" s="23">
        <f>EXP(-LN(2)/25)*CL153+(1-EXP(-LN(2)/25))/(LN(2)/25)*Calculateur!CG154*Calculateur!CI154*VLOOKUP('Données projet'!$B$12,Paramètres!$A$1:$I$89,3,0)*0.475*44/12</f>
        <v>0.42379441817836266</v>
      </c>
      <c r="CM154" s="23">
        <f>EXP(-LN(2)/2)*CM153+(1-EXP(-LN(2)/2))/(LN(2)/2)*CG154*CJ154*VLOOKUP('Données projet'!$B$12,Paramètres!$A$1:$I$89,3,0)*0.475*44/12</f>
        <v>1.0422348961603979E-17</v>
      </c>
      <c r="CN154" s="24">
        <f t="shared" ref="CN154:CN203" si="172">SUM(CK154:CM154)</f>
        <v>0.93381349996477669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371.7282125501186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293.3333333333365</v>
      </c>
      <c r="AN155" s="62">
        <f ca="1">AVERAGE(OFFSET($AM$3,0,0,'Données projet'!$E$10+1,1))-AVERAGE(OFFSET($H$3,0,0,'Données projet'!$E$10+1,1))</f>
        <v>411.73139494306878</v>
      </c>
      <c r="AO155" s="62">
        <f t="shared" si="144"/>
        <v>254.25036207346591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-3.2514435588382188E-14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309.71642374647882</v>
      </c>
      <c r="BJ155" s="62">
        <f t="shared" si="146"/>
        <v>266.63880397664315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0.16459858693655979</v>
      </c>
      <c r="BQ155" s="23">
        <f>EXP(-LN(2)/25)*BQ154+(1-EXP(-LN(2)/25))/(LN(2)/25)*Calculateur!BL155*Calculateur!BN155*VLOOKUP('Données projet'!$B$11,Paramètres!$A$1:$I$89,3,0)*0.475*44/12</f>
        <v>0.16632581267979307</v>
      </c>
      <c r="BR155" s="23">
        <f>EXP(-LN(2)/2)*BR154+(1-EXP(-LN(2)/2))/(LN(2)/2)*BL155*BO155*VLOOKUP('Données projet'!$B$11,Paramètres!$A$1:$I$89,3,0)*0.475*44/12</f>
        <v>5.7507134199195773E-18</v>
      </c>
      <c r="BS155" s="24">
        <f t="shared" si="169"/>
        <v>0.33092439961635289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-6.7984728957526396E-14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348.62416478262719</v>
      </c>
      <c r="CE155" s="62">
        <f t="shared" si="148"/>
        <v>371.70674704563288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0.50001791867350565</v>
      </c>
      <c r="CL155" s="23">
        <f>EXP(-LN(2)/25)*CL154+(1-EXP(-LN(2)/25))/(LN(2)/25)*Calculateur!CG155*Calculateur!CI155*VLOOKUP('Données projet'!$B$12,Paramètres!$A$1:$I$89,3,0)*0.475*44/12</f>
        <v>0.41220573752689549</v>
      </c>
      <c r="CM155" s="23">
        <f>EXP(-LN(2)/2)*CM154+(1-EXP(-LN(2)/2))/(LN(2)/2)*CG155*CJ155*VLOOKUP('Données projet'!$B$12,Paramètres!$A$1:$I$89,3,0)*0.475*44/12</f>
        <v>7.3697136266427457E-18</v>
      </c>
      <c r="CN155" s="24">
        <f t="shared" si="172"/>
        <v>0.91222365620040113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371.7282125501186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293.3333333333365</v>
      </c>
      <c r="AN156" s="62">
        <f ca="1">AVERAGE(OFFSET($AM$3,0,0,'Données projet'!$E$10+1,1))-AVERAGE(OFFSET($H$3,0,0,'Données projet'!$E$10+1,1))</f>
        <v>411.73139494306878</v>
      </c>
      <c r="AO156" s="62">
        <f t="shared" si="144"/>
        <v>254.25036207346591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-3.2514435588382188E-14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309.71642374647882</v>
      </c>
      <c r="BJ156" s="62">
        <f t="shared" si="146"/>
        <v>266.63880397664315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0.16137090904195869</v>
      </c>
      <c r="BQ156" s="23">
        <f>EXP(-LN(2)/25)*BQ155+(1-EXP(-LN(2)/25))/(LN(2)/25)*Calculateur!BL156*Calculateur!BN156*VLOOKUP('Données projet'!$B$11,Paramètres!$A$1:$I$89,3,0)*0.475*44/12</f>
        <v>0.16177762458536979</v>
      </c>
      <c r="BR156" s="23">
        <f>EXP(-LN(2)/2)*BR155+(1-EXP(-LN(2)/2))/(LN(2)/2)*BL156*BO156*VLOOKUP('Données projet'!$B$11,Paramètres!$A$1:$I$89,3,0)*0.475*44/12</f>
        <v>4.0663684558856149E-18</v>
      </c>
      <c r="BS156" s="24">
        <f t="shared" si="169"/>
        <v>0.32314853362732848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-6.7984728957526396E-14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348.62416478262719</v>
      </c>
      <c r="CE156" s="62">
        <f t="shared" si="148"/>
        <v>371.70674704563288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0.49021287226913424</v>
      </c>
      <c r="CL156" s="23">
        <f>EXP(-LN(2)/25)*CL155+(1-EXP(-LN(2)/25))/(LN(2)/25)*Calculateur!CG156*Calculateur!CI156*VLOOKUP('Données projet'!$B$12,Paramètres!$A$1:$I$89,3,0)*0.475*44/12</f>
        <v>0.40093394995726489</v>
      </c>
      <c r="CM156" s="23">
        <f>EXP(-LN(2)/2)*CM155+(1-EXP(-LN(2)/2))/(LN(2)/2)*CG156*CJ156*VLOOKUP('Données projet'!$B$12,Paramètres!$A$1:$I$89,3,0)*0.475*44/12</f>
        <v>5.2111744808019896E-18</v>
      </c>
      <c r="CN156" s="24">
        <f t="shared" si="172"/>
        <v>0.89114682222639918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371.7282125501186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293.3333333333365</v>
      </c>
      <c r="AN157" s="62">
        <f ca="1">AVERAGE(OFFSET($AM$3,0,0,'Données projet'!$E$10+1,1))-AVERAGE(OFFSET($H$3,0,0,'Données projet'!$E$10+1,1))</f>
        <v>411.73139494306878</v>
      </c>
      <c r="AO157" s="62">
        <f t="shared" si="144"/>
        <v>254.25036207346591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-3.2514435588382188E-14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309.71642374647882</v>
      </c>
      <c r="BJ157" s="62">
        <f t="shared" si="146"/>
        <v>266.63880397664315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0.1582065239421816</v>
      </c>
      <c r="BQ157" s="23">
        <f>EXP(-LN(2)/25)*BQ156+(1-EXP(-LN(2)/25))/(LN(2)/25)*Calculateur!BL157*Calculateur!BN157*VLOOKUP('Données projet'!$B$11,Paramètres!$A$1:$I$89,3,0)*0.475*44/12</f>
        <v>0.15735380693356732</v>
      </c>
      <c r="BR157" s="23">
        <f>EXP(-LN(2)/2)*BR156+(1-EXP(-LN(2)/2))/(LN(2)/2)*BL157*BO157*VLOOKUP('Données projet'!$B$11,Paramètres!$A$1:$I$89,3,0)*0.475*44/12</f>
        <v>2.8753567099597886E-18</v>
      </c>
      <c r="BS157" s="24">
        <f t="shared" si="169"/>
        <v>0.31556033087574892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-6.7984728957526396E-14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348.62416478262719</v>
      </c>
      <c r="CE157" s="62">
        <f t="shared" si="148"/>
        <v>371.70674704563288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0.48060009684426475</v>
      </c>
      <c r="CL157" s="23">
        <f>EXP(-LN(2)/25)*CL156+(1-EXP(-LN(2)/25))/(LN(2)/25)*Calculateur!CG157*Calculateur!CI157*VLOOKUP('Données projet'!$B$12,Paramètres!$A$1:$I$89,3,0)*0.475*44/12</f>
        <v>0.38997039001148343</v>
      </c>
      <c r="CM157" s="23">
        <f>EXP(-LN(2)/2)*CM156+(1-EXP(-LN(2)/2))/(LN(2)/2)*CG157*CJ157*VLOOKUP('Données projet'!$B$12,Paramètres!$A$1:$I$89,3,0)*0.475*44/12</f>
        <v>3.6848568133213728E-18</v>
      </c>
      <c r="CN157" s="24">
        <f t="shared" si="172"/>
        <v>0.87057048685574823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371.7282125501186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293.3333333333365</v>
      </c>
      <c r="AN158" s="62">
        <f ca="1">AVERAGE(OFFSET($AM$3,0,0,'Données projet'!$E$10+1,1))-AVERAGE(OFFSET($H$3,0,0,'Données projet'!$E$10+1,1))</f>
        <v>411.73139494306878</v>
      </c>
      <c r="AO158" s="62">
        <f t="shared" si="144"/>
        <v>254.25036207346591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-3.2514435588382188E-14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309.71642374647882</v>
      </c>
      <c r="BJ158" s="62">
        <f t="shared" si="146"/>
        <v>266.63880397664315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0.1551041905041268</v>
      </c>
      <c r="BQ158" s="23">
        <f>EXP(-LN(2)/25)*BQ157+(1-EXP(-LN(2)/25))/(LN(2)/25)*Calculateur!BL158*Calculateur!BN158*VLOOKUP('Données projet'!$B$11,Paramètres!$A$1:$I$89,3,0)*0.475*44/12</f>
        <v>0.15305095880809186</v>
      </c>
      <c r="BR158" s="23">
        <f>EXP(-LN(2)/2)*BR157+(1-EXP(-LN(2)/2))/(LN(2)/2)*BL158*BO158*VLOOKUP('Données projet'!$B$11,Paramètres!$A$1:$I$89,3,0)*0.475*44/12</f>
        <v>2.0331842279428074E-18</v>
      </c>
      <c r="BS158" s="24">
        <f t="shared" si="169"/>
        <v>0.30815514931221866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-6.7984728957526396E-14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348.62416478262719</v>
      </c>
      <c r="CE158" s="62">
        <f t="shared" si="148"/>
        <v>371.70674704563288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0.47117582208226289</v>
      </c>
      <c r="CL158" s="23">
        <f>EXP(-LN(2)/25)*CL157+(1-EXP(-LN(2)/25))/(LN(2)/25)*Calculateur!CG158*Calculateur!CI158*VLOOKUP('Données projet'!$B$12,Paramètres!$A$1:$I$89,3,0)*0.475*44/12</f>
        <v>0.3793066291889679</v>
      </c>
      <c r="CM158" s="23">
        <f>EXP(-LN(2)/2)*CM157+(1-EXP(-LN(2)/2))/(LN(2)/2)*CG158*CJ158*VLOOKUP('Données projet'!$B$12,Paramètres!$A$1:$I$89,3,0)*0.475*44/12</f>
        <v>2.6055872404009948E-18</v>
      </c>
      <c r="CN158" s="24">
        <f t="shared" si="172"/>
        <v>0.85048245127123079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371.7282125501186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293.3333333333365</v>
      </c>
      <c r="AN159" s="62">
        <f ca="1">AVERAGE(OFFSET($AM$3,0,0,'Données projet'!$E$10+1,1))-AVERAGE(OFFSET($H$3,0,0,'Données projet'!$E$10+1,1))</f>
        <v>411.73139494306878</v>
      </c>
      <c r="AO159" s="62">
        <f t="shared" si="144"/>
        <v>254.25036207346591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-3.2514435588382188E-14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309.71642374647882</v>
      </c>
      <c r="BJ159" s="62">
        <f t="shared" si="146"/>
        <v>266.63880397664315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0.1520626919325557</v>
      </c>
      <c r="BQ159" s="23">
        <f>EXP(-LN(2)/25)*BQ158+(1-EXP(-LN(2)/25))/(LN(2)/25)*Calculateur!BL159*Calculateur!BN159*VLOOKUP('Données projet'!$B$11,Paramètres!$A$1:$I$89,3,0)*0.475*44/12</f>
        <v>0.14886577229088446</v>
      </c>
      <c r="BR159" s="23">
        <f>EXP(-LN(2)/2)*BR158+(1-EXP(-LN(2)/2))/(LN(2)/2)*BL159*BO159*VLOOKUP('Données projet'!$B$11,Paramètres!$A$1:$I$89,3,0)*0.475*44/12</f>
        <v>1.4376783549798943E-18</v>
      </c>
      <c r="BS159" s="24">
        <f t="shared" si="169"/>
        <v>0.30092846422344016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-6.7984728957526396E-14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348.62416478262719</v>
      </c>
      <c r="CE159" s="62">
        <f t="shared" si="148"/>
        <v>371.70674704563288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0.46193635160010388</v>
      </c>
      <c r="CL159" s="23">
        <f>EXP(-LN(2)/25)*CL158+(1-EXP(-LN(2)/25))/(LN(2)/25)*Calculateur!CG159*Calculateur!CI159*VLOOKUP('Données projet'!$B$12,Paramètres!$A$1:$I$89,3,0)*0.475*44/12</f>
        <v>0.36893446946692687</v>
      </c>
      <c r="CM159" s="23">
        <f>EXP(-LN(2)/2)*CM158+(1-EXP(-LN(2)/2))/(LN(2)/2)*CG159*CJ159*VLOOKUP('Données projet'!$B$12,Paramètres!$A$1:$I$89,3,0)*0.475*44/12</f>
        <v>1.8424284066606864E-18</v>
      </c>
      <c r="CN159" s="24">
        <f t="shared" si="172"/>
        <v>0.83087082106703081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371.7282125501186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293.3333333333365</v>
      </c>
      <c r="AN160" s="62">
        <f ca="1">AVERAGE(OFFSET($AM$3,0,0,'Données projet'!$E$10+1,1))-AVERAGE(OFFSET($H$3,0,0,'Données projet'!$E$10+1,1))</f>
        <v>411.73139494306878</v>
      </c>
      <c r="AO160" s="62">
        <f t="shared" si="144"/>
        <v>254.25036207346591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-3.2514435588382188E-14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309.71642374647882</v>
      </c>
      <c r="BJ160" s="62">
        <f t="shared" si="146"/>
        <v>266.63880397664315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0.14908083529284216</v>
      </c>
      <c r="BQ160" s="23">
        <f>EXP(-LN(2)/25)*BQ159+(1-EXP(-LN(2)/25))/(LN(2)/25)*Calculateur!BL160*Calculateur!BN160*VLOOKUP('Données projet'!$B$11,Paramètres!$A$1:$I$89,3,0)*0.475*44/12</f>
        <v>0.1447950299190795</v>
      </c>
      <c r="BR160" s="23">
        <f>EXP(-LN(2)/2)*BR159+(1-EXP(-LN(2)/2))/(LN(2)/2)*BL160*BO160*VLOOKUP('Données projet'!$B$11,Paramètres!$A$1:$I$89,3,0)*0.475*44/12</f>
        <v>1.0165921139714037E-18</v>
      </c>
      <c r="BS160" s="24">
        <f t="shared" si="169"/>
        <v>0.29387586521192166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-6.7984728957526396E-14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348.62416478262719</v>
      </c>
      <c r="CE160" s="62">
        <f t="shared" si="148"/>
        <v>371.70674704563288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0.45287806149857951</v>
      </c>
      <c r="CL160" s="23">
        <f>EXP(-LN(2)/25)*CL159+(1-EXP(-LN(2)/25))/(LN(2)/25)*Calculateur!CG160*Calculateur!CI160*VLOOKUP('Données projet'!$B$12,Paramètres!$A$1:$I$89,3,0)*0.475*44/12</f>
        <v>0.35884593699793321</v>
      </c>
      <c r="CM160" s="23">
        <f>EXP(-LN(2)/2)*CM159+(1-EXP(-LN(2)/2))/(LN(2)/2)*CG160*CJ160*VLOOKUP('Données projet'!$B$12,Paramètres!$A$1:$I$89,3,0)*0.475*44/12</f>
        <v>1.3027936202004974E-18</v>
      </c>
      <c r="CN160" s="24">
        <f t="shared" si="172"/>
        <v>0.81172399849651278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371.7282125501186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293.3333333333365</v>
      </c>
      <c r="AN161" s="62">
        <f ca="1">AVERAGE(OFFSET($AM$3,0,0,'Données projet'!$E$10+1,1))-AVERAGE(OFFSET($H$3,0,0,'Données projet'!$E$10+1,1))</f>
        <v>411.73139494306878</v>
      </c>
      <c r="AO161" s="62">
        <f t="shared" si="144"/>
        <v>254.25036207346591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-3.2514435588382188E-14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309.71642374647882</v>
      </c>
      <c r="BJ161" s="62">
        <f t="shared" si="146"/>
        <v>266.63880397664315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0.14615745104308042</v>
      </c>
      <c r="BQ161" s="23">
        <f>EXP(-LN(2)/25)*BQ160+(1-EXP(-LN(2)/25))/(LN(2)/25)*Calculateur!BL161*Calculateur!BN161*VLOOKUP('Données projet'!$B$11,Paramètres!$A$1:$I$89,3,0)*0.475*44/12</f>
        <v>0.14083560221150257</v>
      </c>
      <c r="BR161" s="23">
        <f>EXP(-LN(2)/2)*BR160+(1-EXP(-LN(2)/2))/(LN(2)/2)*BL161*BO161*VLOOKUP('Données projet'!$B$11,Paramètres!$A$1:$I$89,3,0)*0.475*44/12</f>
        <v>7.1883917748994716E-19</v>
      </c>
      <c r="BS161" s="24">
        <f t="shared" si="169"/>
        <v>0.28699305325458302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-6.7984728957526396E-14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348.62416478262719</v>
      </c>
      <c r="CE161" s="62">
        <f t="shared" si="148"/>
        <v>371.70674704563288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0.4439973989409346</v>
      </c>
      <c r="CL161" s="23">
        <f>EXP(-LN(2)/25)*CL160+(1-EXP(-LN(2)/25))/(LN(2)/25)*Calculateur!CG161*Calculateur!CI161*VLOOKUP('Données projet'!$B$12,Paramètres!$A$1:$I$89,3,0)*0.475*44/12</f>
        <v>0.34903327597983708</v>
      </c>
      <c r="CM161" s="23">
        <f>EXP(-LN(2)/2)*CM160+(1-EXP(-LN(2)/2))/(LN(2)/2)*CG161*CJ161*VLOOKUP('Données projet'!$B$12,Paramètres!$A$1:$I$89,3,0)*0.475*44/12</f>
        <v>9.2121420333034321E-19</v>
      </c>
      <c r="CN161" s="24">
        <f t="shared" si="172"/>
        <v>0.79303067492077162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371.7282125501186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293.3333333333365</v>
      </c>
      <c r="AN162" s="62">
        <f ca="1">AVERAGE(OFFSET($AM$3,0,0,'Données projet'!$E$10+1,1))-AVERAGE(OFFSET($H$3,0,0,'Données projet'!$E$10+1,1))</f>
        <v>411.73139494306878</v>
      </c>
      <c r="AO162" s="62">
        <f t="shared" si="144"/>
        <v>254.25036207346591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-3.2514435588382188E-14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309.71642374647882</v>
      </c>
      <c r="BJ162" s="62">
        <f t="shared" si="146"/>
        <v>266.63880397664315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0.14329139257536819</v>
      </c>
      <c r="BQ162" s="23">
        <f>EXP(-LN(2)/25)*BQ161+(1-EXP(-LN(2)/25))/(LN(2)/25)*Calculateur!BL162*Calculateur!BN162*VLOOKUP('Données projet'!$B$11,Paramètres!$A$1:$I$89,3,0)*0.475*44/12</f>
        <v>0.13698444526280659</v>
      </c>
      <c r="BR162" s="23">
        <f>EXP(-LN(2)/2)*BR161+(1-EXP(-LN(2)/2))/(LN(2)/2)*BL162*BO162*VLOOKUP('Données projet'!$B$11,Paramètres!$A$1:$I$89,3,0)*0.475*44/12</f>
        <v>5.0829605698570186E-19</v>
      </c>
      <c r="BS162" s="24">
        <f t="shared" si="169"/>
        <v>0.28027583783817478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-6.7984728957526396E-14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348.62416478262719</v>
      </c>
      <c r="CE162" s="62">
        <f t="shared" si="148"/>
        <v>371.70674704563288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0.43529088075937578</v>
      </c>
      <c r="CL162" s="23">
        <f>EXP(-LN(2)/25)*CL161+(1-EXP(-LN(2)/25))/(LN(2)/25)*Calculateur!CG162*Calculateur!CI162*VLOOKUP('Données projet'!$B$12,Paramètres!$A$1:$I$89,3,0)*0.475*44/12</f>
        <v>0.33948894269330615</v>
      </c>
      <c r="CM162" s="23">
        <f>EXP(-LN(2)/2)*CM161+(1-EXP(-LN(2)/2))/(LN(2)/2)*CG162*CJ162*VLOOKUP('Données projet'!$B$12,Paramètres!$A$1:$I$89,3,0)*0.475*44/12</f>
        <v>6.513968101002487E-19</v>
      </c>
      <c r="CN162" s="24">
        <f t="shared" si="172"/>
        <v>0.77477982345268193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371.7282125501186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293.3333333333365</v>
      </c>
      <c r="AN163" s="62">
        <f ca="1">AVERAGE(OFFSET($AM$3,0,0,'Données projet'!$E$10+1,1))-AVERAGE(OFFSET($H$3,0,0,'Données projet'!$E$10+1,1))</f>
        <v>411.73139494306878</v>
      </c>
      <c r="AO163" s="62">
        <f t="shared" si="144"/>
        <v>254.25036207346591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-3.2514435588382188E-14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309.71642374647882</v>
      </c>
      <c r="BJ163" s="62">
        <f t="shared" si="146"/>
        <v>266.63880397664315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0.14048153576608474</v>
      </c>
      <c r="BQ163" s="23">
        <f>EXP(-LN(2)/25)*BQ162+(1-EXP(-LN(2)/25))/(LN(2)/25)*Calculateur!BL163*Calculateur!BN163*VLOOKUP('Données projet'!$B$11,Paramètres!$A$1:$I$89,3,0)*0.475*44/12</f>
        <v>0.13323859840339625</v>
      </c>
      <c r="BR163" s="23">
        <f>EXP(-LN(2)/2)*BR162+(1-EXP(-LN(2)/2))/(LN(2)/2)*BL163*BO163*VLOOKUP('Données projet'!$B$11,Paramètres!$A$1:$I$89,3,0)*0.475*44/12</f>
        <v>3.5941958874497358E-19</v>
      </c>
      <c r="BS163" s="24">
        <f t="shared" si="169"/>
        <v>0.27372013416948099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-6.7984728957526396E-14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348.62416478262719</v>
      </c>
      <c r="CE163" s="62">
        <f t="shared" si="148"/>
        <v>371.70674704563288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0.42675509208890561</v>
      </c>
      <c r="CL163" s="23">
        <f>EXP(-LN(2)/25)*CL162+(1-EXP(-LN(2)/25))/(LN(2)/25)*Calculateur!CG163*Calculateur!CI163*VLOOKUP('Données projet'!$B$12,Paramètres!$A$1:$I$89,3,0)*0.475*44/12</f>
        <v>0.33020559970241009</v>
      </c>
      <c r="CM163" s="23">
        <f>EXP(-LN(2)/2)*CM162+(1-EXP(-LN(2)/2))/(LN(2)/2)*CG163*CJ163*VLOOKUP('Données projet'!$B$12,Paramètres!$A$1:$I$89,3,0)*0.475*44/12</f>
        <v>4.6060710166517161E-19</v>
      </c>
      <c r="CN163" s="24">
        <f t="shared" si="172"/>
        <v>0.75696069179131564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371.7282125501186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293.3333333333365</v>
      </c>
      <c r="AN164" s="62">
        <f ca="1">AVERAGE(OFFSET($AM$3,0,0,'Données projet'!$E$10+1,1))-AVERAGE(OFFSET($H$3,0,0,'Données projet'!$E$10+1,1))</f>
        <v>411.73139494306878</v>
      </c>
      <c r="AO164" s="62">
        <f t="shared" si="144"/>
        <v>254.25036207346591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-3.2514435588382188E-14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309.71642374647882</v>
      </c>
      <c r="BJ164" s="62">
        <f t="shared" si="146"/>
        <v>266.63880397664315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0.13772677853498791</v>
      </c>
      <c r="BQ164" s="23">
        <f>EXP(-LN(2)/25)*BQ163+(1-EXP(-LN(2)/25))/(LN(2)/25)*Calculateur!BL164*Calculateur!BN164*VLOOKUP('Données projet'!$B$11,Paramètres!$A$1:$I$89,3,0)*0.475*44/12</f>
        <v>0.12959518192334202</v>
      </c>
      <c r="BR164" s="23">
        <f>EXP(-LN(2)/2)*BR163+(1-EXP(-LN(2)/2))/(LN(2)/2)*BL164*BO164*VLOOKUP('Données projet'!$B$11,Paramètres!$A$1:$I$89,3,0)*0.475*44/12</f>
        <v>2.5414802849285093E-19</v>
      </c>
      <c r="BS164" s="24">
        <f t="shared" si="169"/>
        <v>0.2673219604583299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-6.7984728957526396E-14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348.62416478262719</v>
      </c>
      <c r="CE164" s="62">
        <f t="shared" si="148"/>
        <v>371.70674704563288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0.41838668502794635</v>
      </c>
      <c r="CL164" s="23">
        <f>EXP(-LN(2)/25)*CL163+(1-EXP(-LN(2)/25))/(LN(2)/25)*Calculateur!CG164*Calculateur!CI164*VLOOKUP('Données projet'!$B$12,Paramètres!$A$1:$I$89,3,0)*0.475*44/12</f>
        <v>0.32117611021378989</v>
      </c>
      <c r="CM164" s="23">
        <f>EXP(-LN(2)/2)*CM163+(1-EXP(-LN(2)/2))/(LN(2)/2)*CG164*CJ164*VLOOKUP('Données projet'!$B$12,Paramètres!$A$1:$I$89,3,0)*0.475*44/12</f>
        <v>3.2569840505012435E-19</v>
      </c>
      <c r="CN164" s="24">
        <f t="shared" si="172"/>
        <v>0.73956279524173629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371.7282125501186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293.3333333333365</v>
      </c>
      <c r="AN165" s="62">
        <f ca="1">AVERAGE(OFFSET($AM$3,0,0,'Données projet'!$E$10+1,1))-AVERAGE(OFFSET($H$3,0,0,'Données projet'!$E$10+1,1))</f>
        <v>411.73139494306878</v>
      </c>
      <c r="AO165" s="62">
        <f t="shared" si="144"/>
        <v>254.25036207346591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-3.2514435588382188E-14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309.71642374647882</v>
      </c>
      <c r="BJ165" s="62">
        <f t="shared" si="146"/>
        <v>266.63880397664315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0.1350260404129569</v>
      </c>
      <c r="BQ165" s="23">
        <f>EXP(-LN(2)/25)*BQ164+(1-EXP(-LN(2)/25))/(LN(2)/25)*Calculateur!BL165*Calculateur!BN165*VLOOKUP('Données projet'!$B$11,Paramètres!$A$1:$I$89,3,0)*0.475*44/12</f>
        <v>0.12605139485853381</v>
      </c>
      <c r="BR165" s="23">
        <f>EXP(-LN(2)/2)*BR164+(1-EXP(-LN(2)/2))/(LN(2)/2)*BL165*BO165*VLOOKUP('Données projet'!$B$11,Paramètres!$A$1:$I$89,3,0)*0.475*44/12</f>
        <v>1.7970979437248679E-19</v>
      </c>
      <c r="BS165" s="24">
        <f t="shared" si="169"/>
        <v>0.26107743527149074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-6.7984728957526396E-14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348.62416478262719</v>
      </c>
      <c r="CE165" s="62">
        <f t="shared" si="148"/>
        <v>371.70674704563288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0.41018237732522822</v>
      </c>
      <c r="CL165" s="23">
        <f>EXP(-LN(2)/25)*CL164+(1-EXP(-LN(2)/25))/(LN(2)/25)*Calculateur!CG165*Calculateur!CI165*VLOOKUP('Données projet'!$B$12,Paramètres!$A$1:$I$89,3,0)*0.475*44/12</f>
        <v>0.31239353259007624</v>
      </c>
      <c r="CM165" s="23">
        <f>EXP(-LN(2)/2)*CM164+(1-EXP(-LN(2)/2))/(LN(2)/2)*CG165*CJ165*VLOOKUP('Données projet'!$B$12,Paramètres!$A$1:$I$89,3,0)*0.475*44/12</f>
        <v>2.303035508325858E-19</v>
      </c>
      <c r="CN165" s="24">
        <f t="shared" si="172"/>
        <v>0.7225759099153044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371.7282125501186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293.3333333333365</v>
      </c>
      <c r="AN166" s="62">
        <f ca="1">AVERAGE(OFFSET($AM$3,0,0,'Données projet'!$E$10+1,1))-AVERAGE(OFFSET($H$3,0,0,'Données projet'!$E$10+1,1))</f>
        <v>411.73139494306878</v>
      </c>
      <c r="AO166" s="62">
        <f t="shared" si="144"/>
        <v>254.25036207346591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-3.2514435588382188E-14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309.71642374647882</v>
      </c>
      <c r="BJ166" s="62">
        <f t="shared" si="146"/>
        <v>266.63880397664315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0.13237826211821133</v>
      </c>
      <c r="BQ166" s="23">
        <f>EXP(-LN(2)/25)*BQ165+(1-EXP(-LN(2)/25))/(LN(2)/25)*Calculateur!BL166*Calculateur!BN166*VLOOKUP('Données projet'!$B$11,Paramètres!$A$1:$I$89,3,0)*0.475*44/12</f>
        <v>0.12260451283737245</v>
      </c>
      <c r="BR166" s="23">
        <f>EXP(-LN(2)/2)*BR165+(1-EXP(-LN(2)/2))/(LN(2)/2)*BL166*BO166*VLOOKUP('Données projet'!$B$11,Paramètres!$A$1:$I$89,3,0)*0.475*44/12</f>
        <v>1.2707401424642547E-19</v>
      </c>
      <c r="BS166" s="24">
        <f t="shared" si="169"/>
        <v>0.25498277495558375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-6.7984728957526396E-14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348.62416478262719</v>
      </c>
      <c r="CE166" s="62">
        <f t="shared" si="148"/>
        <v>371.70674704563288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0.40213895109242681</v>
      </c>
      <c r="CL166" s="23">
        <f>EXP(-LN(2)/25)*CL165+(1-EXP(-LN(2)/25))/(LN(2)/25)*Calculateur!CG166*Calculateur!CI166*VLOOKUP('Données projet'!$B$12,Paramètres!$A$1:$I$89,3,0)*0.475*44/12</f>
        <v>0.30385111501333872</v>
      </c>
      <c r="CM166" s="23">
        <f>EXP(-LN(2)/2)*CM165+(1-EXP(-LN(2)/2))/(LN(2)/2)*CG166*CJ166*VLOOKUP('Données projet'!$B$12,Paramètres!$A$1:$I$89,3,0)*0.475*44/12</f>
        <v>1.6284920252506217E-19</v>
      </c>
      <c r="CN166" s="24">
        <f t="shared" si="172"/>
        <v>0.70599006610576553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371.7282125501186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293.3333333333365</v>
      </c>
      <c r="AN167" s="62">
        <f ca="1">AVERAGE(OFFSET($AM$3,0,0,'Données projet'!$E$10+1,1))-AVERAGE(OFFSET($H$3,0,0,'Données projet'!$E$10+1,1))</f>
        <v>411.73139494306878</v>
      </c>
      <c r="AO167" s="62">
        <f t="shared" si="144"/>
        <v>254.25036207346591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-3.2514435588382188E-14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309.71642374647882</v>
      </c>
      <c r="BJ167" s="62">
        <f t="shared" si="146"/>
        <v>266.63880397664315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0.12978240514084041</v>
      </c>
      <c r="BQ167" s="23">
        <f>EXP(-LN(2)/25)*BQ166+(1-EXP(-LN(2)/25))/(LN(2)/25)*Calculateur!BL167*Calculateur!BN167*VLOOKUP('Données projet'!$B$11,Paramètres!$A$1:$I$89,3,0)*0.475*44/12</f>
        <v>0.11925188598634338</v>
      </c>
      <c r="BR167" s="23">
        <f>EXP(-LN(2)/2)*BR166+(1-EXP(-LN(2)/2))/(LN(2)/2)*BL167*BO167*VLOOKUP('Données projet'!$B$11,Paramètres!$A$1:$I$89,3,0)*0.475*44/12</f>
        <v>8.9854897186243395E-20</v>
      </c>
      <c r="BS167" s="24">
        <f t="shared" si="169"/>
        <v>0.24903429112718378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-6.7984728957526396E-14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348.62416478262719</v>
      </c>
      <c r="CE167" s="62">
        <f t="shared" si="148"/>
        <v>371.70674704563288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0.39425325154204505</v>
      </c>
      <c r="CL167" s="23">
        <f>EXP(-LN(2)/25)*CL166+(1-EXP(-LN(2)/25))/(LN(2)/25)*Calculateur!CG167*Calculateur!CI167*VLOOKUP('Données projet'!$B$12,Paramètres!$A$1:$I$89,3,0)*0.475*44/12</f>
        <v>0.29554229029446327</v>
      </c>
      <c r="CM167" s="23">
        <f>EXP(-LN(2)/2)*CM166+(1-EXP(-LN(2)/2))/(LN(2)/2)*CG167*CJ167*VLOOKUP('Données projet'!$B$12,Paramètres!$A$1:$I$89,3,0)*0.475*44/12</f>
        <v>1.151517754162929E-19</v>
      </c>
      <c r="CN167" s="24">
        <f t="shared" si="172"/>
        <v>0.68979554183650826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371.7282125501186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293.3333333333365</v>
      </c>
      <c r="AN168" s="62">
        <f ca="1">AVERAGE(OFFSET($AM$3,0,0,'Données projet'!$E$10+1,1))-AVERAGE(OFFSET($H$3,0,0,'Données projet'!$E$10+1,1))</f>
        <v>411.73139494306878</v>
      </c>
      <c r="AO168" s="62">
        <f t="shared" si="144"/>
        <v>254.25036207346591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-3.2514435588382188E-14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309.71642374647882</v>
      </c>
      <c r="BJ168" s="62">
        <f t="shared" si="146"/>
        <v>266.63880397664315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0.12723745133547931</v>
      </c>
      <c r="BQ168" s="23">
        <f>EXP(-LN(2)/25)*BQ167+(1-EXP(-LN(2)/25))/(LN(2)/25)*Calculateur!BL168*Calculateur!BN168*VLOOKUP('Données projet'!$B$11,Paramètres!$A$1:$I$89,3,0)*0.475*44/12</f>
        <v>0.11599093689286269</v>
      </c>
      <c r="BR168" s="23">
        <f>EXP(-LN(2)/2)*BR167+(1-EXP(-LN(2)/2))/(LN(2)/2)*BL168*BO168*VLOOKUP('Données projet'!$B$11,Paramètres!$A$1:$I$89,3,0)*0.475*44/12</f>
        <v>6.3537007123212733E-20</v>
      </c>
      <c r="BS168" s="24">
        <f t="shared" si="169"/>
        <v>0.243228388228342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-6.7984728957526396E-14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348.62416478262719</v>
      </c>
      <c r="CE168" s="62">
        <f t="shared" si="148"/>
        <v>371.70674704563288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0.38652218575004449</v>
      </c>
      <c r="CL168" s="23">
        <f>EXP(-LN(2)/25)*CL167+(1-EXP(-LN(2)/25))/(LN(2)/25)*Calculateur!CG168*Calculateur!CI168*VLOOKUP('Données projet'!$B$12,Paramètres!$A$1:$I$89,3,0)*0.475*44/12</f>
        <v>0.28746067082446758</v>
      </c>
      <c r="CM168" s="23">
        <f>EXP(-LN(2)/2)*CM167+(1-EXP(-LN(2)/2))/(LN(2)/2)*CG168*CJ168*VLOOKUP('Données projet'!$B$12,Paramètres!$A$1:$I$89,3,0)*0.475*44/12</f>
        <v>8.1424601262531087E-20</v>
      </c>
      <c r="CN168" s="24">
        <f t="shared" si="172"/>
        <v>0.67398285657451207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371.7282125501186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293.3333333333365</v>
      </c>
      <c r="AN169" s="62">
        <f ca="1">AVERAGE(OFFSET($AM$3,0,0,'Données projet'!$E$10+1,1))-AVERAGE(OFFSET($H$3,0,0,'Données projet'!$E$10+1,1))</f>
        <v>411.73139494306878</v>
      </c>
      <c r="AO169" s="62">
        <f t="shared" si="144"/>
        <v>254.25036207346591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-3.2514435588382188E-14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309.71642374647882</v>
      </c>
      <c r="BJ169" s="62">
        <f t="shared" si="146"/>
        <v>266.63880397664315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0.1247424025219728</v>
      </c>
      <c r="BQ169" s="23">
        <f>EXP(-LN(2)/25)*BQ168+(1-EXP(-LN(2)/25))/(LN(2)/25)*Calculateur!BL169*Calculateur!BN169*VLOOKUP('Données projet'!$B$11,Paramètres!$A$1:$I$89,3,0)*0.475*44/12</f>
        <v>0.11281915862382909</v>
      </c>
      <c r="BR169" s="23">
        <f>EXP(-LN(2)/2)*BR168+(1-EXP(-LN(2)/2))/(LN(2)/2)*BL169*BO169*VLOOKUP('Données projet'!$B$11,Paramètres!$A$1:$I$89,3,0)*0.475*44/12</f>
        <v>4.4927448593121697E-20</v>
      </c>
      <c r="BS169" s="24">
        <f t="shared" si="169"/>
        <v>0.2375615611458019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-6.7984728957526396E-14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348.62416478262719</v>
      </c>
      <c r="CE169" s="62">
        <f t="shared" si="148"/>
        <v>371.70674704563288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0.37894272144274055</v>
      </c>
      <c r="CL169" s="23">
        <f>EXP(-LN(2)/25)*CL168+(1-EXP(-LN(2)/25))/(LN(2)/25)*Calculateur!CG169*Calculateur!CI169*VLOOKUP('Données projet'!$B$12,Paramètres!$A$1:$I$89,3,0)*0.475*44/12</f>
        <v>0.27960004366387281</v>
      </c>
      <c r="CM169" s="23">
        <f>EXP(-LN(2)/2)*CM168+(1-EXP(-LN(2)/2))/(LN(2)/2)*CG169*CJ169*VLOOKUP('Données projet'!$B$12,Paramètres!$A$1:$I$89,3,0)*0.475*44/12</f>
        <v>5.7575887708146451E-20</v>
      </c>
      <c r="CN169" s="24">
        <f t="shared" si="172"/>
        <v>0.65854276510661336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371.7282125501186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293.3333333333365</v>
      </c>
      <c r="AN170" s="62">
        <f ca="1">AVERAGE(OFFSET($AM$3,0,0,'Données projet'!$E$10+1,1))-AVERAGE(OFFSET($H$3,0,0,'Données projet'!$E$10+1,1))</f>
        <v>411.73139494306878</v>
      </c>
      <c r="AO170" s="62">
        <f t="shared" si="144"/>
        <v>254.25036207346591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-3.2514435588382188E-14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309.71642374647882</v>
      </c>
      <c r="BJ170" s="62">
        <f t="shared" si="146"/>
        <v>266.63880397664315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0.12229628009386964</v>
      </c>
      <c r="BQ170" s="23">
        <f>EXP(-LN(2)/25)*BQ169+(1-EXP(-LN(2)/25))/(LN(2)/25)*Calculateur!BL170*Calculateur!BN170*VLOOKUP('Données projet'!$B$11,Paramètres!$A$1:$I$89,3,0)*0.475*44/12</f>
        <v>0.10973411279835878</v>
      </c>
      <c r="BR170" s="23">
        <f>EXP(-LN(2)/2)*BR169+(1-EXP(-LN(2)/2))/(LN(2)/2)*BL170*BO170*VLOOKUP('Données projet'!$B$11,Paramètres!$A$1:$I$89,3,0)*0.475*44/12</f>
        <v>3.1768503561606366E-20</v>
      </c>
      <c r="BS170" s="24">
        <f t="shared" si="169"/>
        <v>0.23203039289222843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-6.7984728957526396E-14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348.62416478262719</v>
      </c>
      <c r="CE170" s="62">
        <f t="shared" si="148"/>
        <v>371.70674704563288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0.37151188580748606</v>
      </c>
      <c r="CL170" s="23">
        <f>EXP(-LN(2)/25)*CL169+(1-EXP(-LN(2)/25))/(LN(2)/25)*Calculateur!CG170*Calculateur!CI170*VLOOKUP('Données projet'!$B$12,Paramètres!$A$1:$I$89,3,0)*0.475*44/12</f>
        <v>0.27195436576635695</v>
      </c>
      <c r="CM170" s="23">
        <f>EXP(-LN(2)/2)*CM169+(1-EXP(-LN(2)/2))/(LN(2)/2)*CG170*CJ170*VLOOKUP('Données projet'!$B$12,Paramètres!$A$1:$I$89,3,0)*0.475*44/12</f>
        <v>4.0712300631265544E-20</v>
      </c>
      <c r="CN170" s="24">
        <f t="shared" si="172"/>
        <v>0.64346625157384296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371.7282125501186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293.3333333333365</v>
      </c>
      <c r="AN171" s="62">
        <f ca="1">AVERAGE(OFFSET($AM$3,0,0,'Données projet'!$E$10+1,1))-AVERAGE(OFFSET($H$3,0,0,'Données projet'!$E$10+1,1))</f>
        <v>411.73139494306878</v>
      </c>
      <c r="AO171" s="62">
        <f t="shared" si="144"/>
        <v>254.25036207346591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-3.2514435588382188E-14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309.71642374647882</v>
      </c>
      <c r="BJ171" s="62">
        <f t="shared" si="146"/>
        <v>266.63880397664315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0.11989812463459423</v>
      </c>
      <c r="BQ171" s="23">
        <f>EXP(-LN(2)/25)*BQ170+(1-EXP(-LN(2)/25))/(LN(2)/25)*Calculateur!BL171*Calculateur!BN171*VLOOKUP('Données projet'!$B$11,Paramètres!$A$1:$I$89,3,0)*0.475*44/12</f>
        <v>0.10673342771322146</v>
      </c>
      <c r="BR171" s="23">
        <f>EXP(-LN(2)/2)*BR170+(1-EXP(-LN(2)/2))/(LN(2)/2)*BL171*BO171*VLOOKUP('Données projet'!$B$11,Paramètres!$A$1:$I$89,3,0)*0.475*44/12</f>
        <v>2.2463724296560849E-20</v>
      </c>
      <c r="BS171" s="24">
        <f t="shared" si="169"/>
        <v>0.22663155234781568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-6.7984728957526396E-14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348.62416478262719</v>
      </c>
      <c r="CE171" s="62">
        <f t="shared" si="148"/>
        <v>371.70674704563288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0.36422676432667672</v>
      </c>
      <c r="CL171" s="23">
        <f>EXP(-LN(2)/25)*CL170+(1-EXP(-LN(2)/25))/(LN(2)/25)*Calculateur!CG171*Calculateur!CI171*VLOOKUP('Données projet'!$B$12,Paramètres!$A$1:$I$89,3,0)*0.475*44/12</f>
        <v>0.26451775933301741</v>
      </c>
      <c r="CM171" s="23">
        <f>EXP(-LN(2)/2)*CM170+(1-EXP(-LN(2)/2))/(LN(2)/2)*CG171*CJ171*VLOOKUP('Données projet'!$B$12,Paramètres!$A$1:$I$89,3,0)*0.475*44/12</f>
        <v>2.8787943854073225E-20</v>
      </c>
      <c r="CN171" s="24">
        <f t="shared" si="172"/>
        <v>0.62874452365969413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371.7282125501186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293.3333333333365</v>
      </c>
      <c r="AN172" s="62">
        <f ca="1">AVERAGE(OFFSET($AM$3,0,0,'Données projet'!$E$10+1,1))-AVERAGE(OFFSET($H$3,0,0,'Données projet'!$E$10+1,1))</f>
        <v>411.73139494306878</v>
      </c>
      <c r="AO172" s="62">
        <f t="shared" si="144"/>
        <v>254.25036207346591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-3.2514435588382188E-14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309.71642374647882</v>
      </c>
      <c r="BJ172" s="62">
        <f t="shared" si="146"/>
        <v>266.63880397664315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0.11754699554114481</v>
      </c>
      <c r="BQ172" s="23">
        <f>EXP(-LN(2)/25)*BQ171+(1-EXP(-LN(2)/25))/(LN(2)/25)*Calculateur!BL172*Calculateur!BN172*VLOOKUP('Données projet'!$B$11,Paramètres!$A$1:$I$89,3,0)*0.475*44/12</f>
        <v>0.1038147965195364</v>
      </c>
      <c r="BR172" s="23">
        <f>EXP(-LN(2)/2)*BR171+(1-EXP(-LN(2)/2))/(LN(2)/2)*BL172*BO172*VLOOKUP('Données projet'!$B$11,Paramètres!$A$1:$I$89,3,0)*0.475*44/12</f>
        <v>1.5884251780803183E-20</v>
      </c>
      <c r="BS172" s="24">
        <f t="shared" si="169"/>
        <v>0.22136179206068121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-6.7984728957526396E-14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348.62416478262719</v>
      </c>
      <c r="CE172" s="62">
        <f t="shared" si="148"/>
        <v>371.70674704563288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0.35708449963462069</v>
      </c>
      <c r="CL172" s="23">
        <f>EXP(-LN(2)/25)*CL171+(1-EXP(-LN(2)/25))/(LN(2)/25)*Calculateur!CG172*Calculateur!CI172*VLOOKUP('Données projet'!$B$12,Paramètres!$A$1:$I$89,3,0)*0.475*44/12</f>
        <v>0.25728450729367164</v>
      </c>
      <c r="CM172" s="23">
        <f>EXP(-LN(2)/2)*CM171+(1-EXP(-LN(2)/2))/(LN(2)/2)*CG172*CJ172*VLOOKUP('Données projet'!$B$12,Paramètres!$A$1:$I$89,3,0)*0.475*44/12</f>
        <v>2.0356150315632772E-20</v>
      </c>
      <c r="CN172" s="24">
        <f t="shared" si="172"/>
        <v>0.61436900692829233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371.7282125501186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293.3333333333365</v>
      </c>
      <c r="AN173" s="62">
        <f ca="1">AVERAGE(OFFSET($AM$3,0,0,'Données projet'!$E$10+1,1))-AVERAGE(OFFSET($H$3,0,0,'Données projet'!$E$10+1,1))</f>
        <v>411.73139494306878</v>
      </c>
      <c r="AO173" s="62">
        <f t="shared" si="144"/>
        <v>254.25036207346591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-3.2514435588382188E-14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309.71642374647882</v>
      </c>
      <c r="BJ173" s="62">
        <f t="shared" si="146"/>
        <v>266.63880397664315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0.11524197065517079</v>
      </c>
      <c r="BQ173" s="23">
        <f>EXP(-LN(2)/25)*BQ172+(1-EXP(-LN(2)/25))/(LN(2)/25)*Calculateur!BL173*Calculateur!BN173*VLOOKUP('Données projet'!$B$11,Paramètres!$A$1:$I$89,3,0)*0.475*44/12</f>
        <v>0.10097597544932681</v>
      </c>
      <c r="BR173" s="23">
        <f>EXP(-LN(2)/2)*BR172+(1-EXP(-LN(2)/2))/(LN(2)/2)*BL173*BO173*VLOOKUP('Données projet'!$B$11,Paramètres!$A$1:$I$89,3,0)*0.475*44/12</f>
        <v>1.1231862148280424E-20</v>
      </c>
      <c r="BS173" s="24">
        <f t="shared" si="169"/>
        <v>0.2162179461044976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-6.7984728957526396E-14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348.62416478262719</v>
      </c>
      <c r="CE173" s="62">
        <f t="shared" si="148"/>
        <v>371.70674704563288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0.35008229039682459</v>
      </c>
      <c r="CL173" s="23">
        <f>EXP(-LN(2)/25)*CL172+(1-EXP(-LN(2)/25))/(LN(2)/25)*Calculateur!CG173*Calculateur!CI173*VLOOKUP('Données projet'!$B$12,Paramètres!$A$1:$I$89,3,0)*0.475*44/12</f>
        <v>0.25024904891172201</v>
      </c>
      <c r="CM173" s="23">
        <f>EXP(-LN(2)/2)*CM172+(1-EXP(-LN(2)/2))/(LN(2)/2)*CG173*CJ173*VLOOKUP('Données projet'!$B$12,Paramètres!$A$1:$I$89,3,0)*0.475*44/12</f>
        <v>1.4393971927036613E-20</v>
      </c>
      <c r="CN173" s="24">
        <f t="shared" si="172"/>
        <v>0.60033133930854654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371.7282125501186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293.3333333333365</v>
      </c>
      <c r="AN174" s="62">
        <f ca="1">AVERAGE(OFFSET($AM$3,0,0,'Données projet'!$E$10+1,1))-AVERAGE(OFFSET($H$3,0,0,'Données projet'!$E$10+1,1))</f>
        <v>411.73139494306878</v>
      </c>
      <c r="AO174" s="62">
        <f t="shared" si="144"/>
        <v>254.25036207346591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-3.2514435588382188E-14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309.71642374647882</v>
      </c>
      <c r="BJ174" s="62">
        <f t="shared" si="146"/>
        <v>266.63880397664315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0.11298214590128437</v>
      </c>
      <c r="BQ174" s="23">
        <f>EXP(-LN(2)/25)*BQ173+(1-EXP(-LN(2)/25))/(LN(2)/25)*Calculateur!BL174*Calculateur!BN174*VLOOKUP('Données projet'!$B$11,Paramètres!$A$1:$I$89,3,0)*0.475*44/12</f>
        <v>9.8214782090569205E-2</v>
      </c>
      <c r="BR174" s="23">
        <f>EXP(-LN(2)/2)*BR173+(1-EXP(-LN(2)/2))/(LN(2)/2)*BL174*BO174*VLOOKUP('Données projet'!$B$11,Paramètres!$A$1:$I$89,3,0)*0.475*44/12</f>
        <v>7.9421258904015916E-21</v>
      </c>
      <c r="BS174" s="24">
        <f t="shared" si="169"/>
        <v>0.21119692799185358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-6.7984728957526396E-14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348.62416478262719</v>
      </c>
      <c r="CE174" s="62">
        <f t="shared" si="148"/>
        <v>371.70674704563288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0.34321739021125575</v>
      </c>
      <c r="CL174" s="23">
        <f>EXP(-LN(2)/25)*CL173+(1-EXP(-LN(2)/25))/(LN(2)/25)*Calculateur!CG174*Calculateur!CI174*VLOOKUP('Données projet'!$B$12,Paramètres!$A$1:$I$89,3,0)*0.475*44/12</f>
        <v>0.24340597550920542</v>
      </c>
      <c r="CM174" s="23">
        <f>EXP(-LN(2)/2)*CM173+(1-EXP(-LN(2)/2))/(LN(2)/2)*CG174*CJ174*VLOOKUP('Données projet'!$B$12,Paramètres!$A$1:$I$89,3,0)*0.475*44/12</f>
        <v>1.0178075157816386E-20</v>
      </c>
      <c r="CN174" s="24">
        <f t="shared" si="172"/>
        <v>0.58662336572046114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371.7282125501186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293.3333333333365</v>
      </c>
      <c r="AN175" s="62">
        <f ca="1">AVERAGE(OFFSET($AM$3,0,0,'Données projet'!$E$10+1,1))-AVERAGE(OFFSET($H$3,0,0,'Données projet'!$E$10+1,1))</f>
        <v>411.73139494306878</v>
      </c>
      <c r="AO175" s="62">
        <f t="shared" si="144"/>
        <v>254.25036207346591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-3.2514435588382188E-14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309.71642374647882</v>
      </c>
      <c r="BJ175" s="62">
        <f t="shared" si="146"/>
        <v>266.63880397664315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0.11076663493246466</v>
      </c>
      <c r="BQ175" s="23">
        <f>EXP(-LN(2)/25)*BQ174+(1-EXP(-LN(2)/25))/(LN(2)/25)*Calculateur!BL175*Calculateur!BN175*VLOOKUP('Données projet'!$B$11,Paramètres!$A$1:$I$89,3,0)*0.475*44/12</f>
        <v>9.5529093709411678E-2</v>
      </c>
      <c r="BR175" s="23">
        <f>EXP(-LN(2)/2)*BR174+(1-EXP(-LN(2)/2))/(LN(2)/2)*BL175*BO175*VLOOKUP('Données projet'!$B$11,Paramètres!$A$1:$I$89,3,0)*0.475*44/12</f>
        <v>5.6159310741402122E-21</v>
      </c>
      <c r="BS175" s="24">
        <f t="shared" si="169"/>
        <v>0.20629572864187634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-6.7984728957526396E-14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348.62416478262719</v>
      </c>
      <c r="CE175" s="62">
        <f t="shared" si="148"/>
        <v>371.70674704563288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0.33648710653115027</v>
      </c>
      <c r="CL175" s="23">
        <f>EXP(-LN(2)/25)*CL174+(1-EXP(-LN(2)/25))/(LN(2)/25)*Calculateur!CG175*Calculateur!CI175*VLOOKUP('Données projet'!$B$12,Paramètres!$A$1:$I$89,3,0)*0.475*44/12</f>
        <v>0.23675002630874226</v>
      </c>
      <c r="CM175" s="23">
        <f>EXP(-LN(2)/2)*CM174+(1-EXP(-LN(2)/2))/(LN(2)/2)*CG175*CJ175*VLOOKUP('Données projet'!$B$12,Paramètres!$A$1:$I$89,3,0)*0.475*44/12</f>
        <v>7.1969859635183063E-21</v>
      </c>
      <c r="CN175" s="24">
        <f t="shared" si="172"/>
        <v>0.57323713283989253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371.7282125501186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293.3333333333365</v>
      </c>
      <c r="AN176" s="62">
        <f ca="1">AVERAGE(OFFSET($AM$3,0,0,'Données projet'!$E$10+1,1))-AVERAGE(OFFSET($H$3,0,0,'Données projet'!$E$10+1,1))</f>
        <v>411.73139494306878</v>
      </c>
      <c r="AO176" s="62">
        <f t="shared" si="144"/>
        <v>254.25036207346591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-3.2514435588382188E-14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309.71642374647882</v>
      </c>
      <c r="BJ176" s="62">
        <f t="shared" si="146"/>
        <v>266.63880397664315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0.10859456878241525</v>
      </c>
      <c r="BQ176" s="23">
        <f>EXP(-LN(2)/25)*BQ175+(1-EXP(-LN(2)/25))/(LN(2)/25)*Calculateur!BL176*Calculateur!BN176*VLOOKUP('Données projet'!$B$11,Paramètres!$A$1:$I$89,3,0)*0.475*44/12</f>
        <v>9.2916845618271113E-2</v>
      </c>
      <c r="BR176" s="23">
        <f>EXP(-LN(2)/2)*BR175+(1-EXP(-LN(2)/2))/(LN(2)/2)*BL176*BO176*VLOOKUP('Données projet'!$B$11,Paramètres!$A$1:$I$89,3,0)*0.475*44/12</f>
        <v>3.9710629452007958E-21</v>
      </c>
      <c r="BS176" s="24">
        <f t="shared" si="169"/>
        <v>0.20151141440068637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-6.7984728957526396E-14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348.62416478262719</v>
      </c>
      <c r="CE176" s="62">
        <f t="shared" si="148"/>
        <v>371.70674704563288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0.32988879960894396</v>
      </c>
      <c r="CL176" s="23">
        <f>EXP(-LN(2)/25)*CL175+(1-EXP(-LN(2)/25))/(LN(2)/25)*Calculateur!CG176*Calculateur!CI176*VLOOKUP('Données projet'!$B$12,Paramètres!$A$1:$I$89,3,0)*0.475*44/12</f>
        <v>0.23027608438918692</v>
      </c>
      <c r="CM176" s="23">
        <f>EXP(-LN(2)/2)*CM175+(1-EXP(-LN(2)/2))/(LN(2)/2)*CG176*CJ176*VLOOKUP('Données projet'!$B$12,Paramètres!$A$1:$I$89,3,0)*0.475*44/12</f>
        <v>5.089037578908193E-21</v>
      </c>
      <c r="CN176" s="24">
        <f t="shared" si="172"/>
        <v>0.56016488399813091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371.7282125501186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293.3333333333365</v>
      </c>
      <c r="AN177" s="62">
        <f ca="1">AVERAGE(OFFSET($AM$3,0,0,'Données projet'!$E$10+1,1))-AVERAGE(OFFSET($H$3,0,0,'Données projet'!$E$10+1,1))</f>
        <v>411.73139494306878</v>
      </c>
      <c r="AO177" s="62">
        <f t="shared" si="144"/>
        <v>254.25036207346591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-3.2514435588382188E-14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309.71642374647882</v>
      </c>
      <c r="BJ177" s="62">
        <f t="shared" si="146"/>
        <v>266.63880397664315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0.10646509552473876</v>
      </c>
      <c r="BQ177" s="23">
        <f>EXP(-LN(2)/25)*BQ176+(1-EXP(-LN(2)/25))/(LN(2)/25)*Calculateur!BL177*Calculateur!BN177*VLOOKUP('Données projet'!$B$11,Paramètres!$A$1:$I$89,3,0)*0.475*44/12</f>
        <v>9.0376029588554938E-2</v>
      </c>
      <c r="BR177" s="23">
        <f>EXP(-LN(2)/2)*BR176+(1-EXP(-LN(2)/2))/(LN(2)/2)*BL177*BO177*VLOOKUP('Données projet'!$B$11,Paramètres!$A$1:$I$89,3,0)*0.475*44/12</f>
        <v>2.8079655370701061E-21</v>
      </c>
      <c r="BS177" s="24">
        <f t="shared" si="169"/>
        <v>0.19684112511329371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-6.7984728957526396E-14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348.62416478262719</v>
      </c>
      <c r="CE177" s="62">
        <f t="shared" si="148"/>
        <v>371.70674704563288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0.32341988146091227</v>
      </c>
      <c r="CL177" s="23">
        <f>EXP(-LN(2)/25)*CL176+(1-EXP(-LN(2)/25))/(LN(2)/25)*Calculateur!CG177*Calculateur!CI177*VLOOKUP('Données projet'!$B$12,Paramètres!$A$1:$I$89,3,0)*0.475*44/12</f>
        <v>0.22397917275187162</v>
      </c>
      <c r="CM177" s="23">
        <f>EXP(-LN(2)/2)*CM176+(1-EXP(-LN(2)/2))/(LN(2)/2)*CG177*CJ177*VLOOKUP('Données projet'!$B$12,Paramètres!$A$1:$I$89,3,0)*0.475*44/12</f>
        <v>3.5984929817591532E-21</v>
      </c>
      <c r="CN177" s="24">
        <f t="shared" si="172"/>
        <v>0.5473990542127839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371.7282125501186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293.3333333333365</v>
      </c>
      <c r="AN178" s="62">
        <f ca="1">AVERAGE(OFFSET($AM$3,0,0,'Données projet'!$E$10+1,1))-AVERAGE(OFFSET($H$3,0,0,'Données projet'!$E$10+1,1))</f>
        <v>411.73139494306878</v>
      </c>
      <c r="AO178" s="62">
        <f t="shared" si="144"/>
        <v>254.25036207346591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-3.2514435588382188E-14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309.71642374647882</v>
      </c>
      <c r="BJ178" s="62">
        <f t="shared" si="146"/>
        <v>266.63880397664315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0.10437737993879488</v>
      </c>
      <c r="BQ178" s="23">
        <f>EXP(-LN(2)/25)*BQ177+(1-EXP(-LN(2)/25))/(LN(2)/25)*Calculateur!BL178*Calculateur!BN178*VLOOKUP('Données projet'!$B$11,Paramètres!$A$1:$I$89,3,0)*0.475*44/12</f>
        <v>8.7904692306787061E-2</v>
      </c>
      <c r="BR178" s="23">
        <f>EXP(-LN(2)/2)*BR177+(1-EXP(-LN(2)/2))/(LN(2)/2)*BL178*BO178*VLOOKUP('Données projet'!$B$11,Paramètres!$A$1:$I$89,3,0)*0.475*44/12</f>
        <v>1.9855314726003979E-21</v>
      </c>
      <c r="BS178" s="24">
        <f t="shared" si="169"/>
        <v>0.19228207224558194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-6.7984728957526396E-14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348.62416478262719</v>
      </c>
      <c r="CE178" s="62">
        <f t="shared" si="148"/>
        <v>371.70674704563288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0.317077814852113</v>
      </c>
      <c r="CL178" s="23">
        <f>EXP(-LN(2)/25)*CL177+(1-EXP(-LN(2)/25))/(LN(2)/25)*Calculateur!CG178*Calculateur!CI178*VLOOKUP('Données projet'!$B$12,Paramètres!$A$1:$I$89,3,0)*0.475*44/12</f>
        <v>0.2178544504944189</v>
      </c>
      <c r="CM178" s="23">
        <f>EXP(-LN(2)/2)*CM177+(1-EXP(-LN(2)/2))/(LN(2)/2)*CG178*CJ178*VLOOKUP('Données projet'!$B$12,Paramètres!$A$1:$I$89,3,0)*0.475*44/12</f>
        <v>2.5445187894540965E-21</v>
      </c>
      <c r="CN178" s="24">
        <f t="shared" si="172"/>
        <v>0.53493226534653193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371.7282125501186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293.3333333333365</v>
      </c>
      <c r="AN179" s="62">
        <f ca="1">AVERAGE(OFFSET($AM$3,0,0,'Données projet'!$E$10+1,1))-AVERAGE(OFFSET($H$3,0,0,'Données projet'!$E$10+1,1))</f>
        <v>411.73139494306878</v>
      </c>
      <c r="AO179" s="62">
        <f t="shared" si="144"/>
        <v>254.25036207346591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-3.2514435588382188E-14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309.71642374647882</v>
      </c>
      <c r="BJ179" s="62">
        <f t="shared" si="146"/>
        <v>266.63880397664315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0.10233060318211058</v>
      </c>
      <c r="BQ179" s="23">
        <f>EXP(-LN(2)/25)*BQ178+(1-EXP(-LN(2)/25))/(LN(2)/25)*Calculateur!BL179*Calculateur!BN179*VLOOKUP('Données projet'!$B$11,Paramètres!$A$1:$I$89,3,0)*0.475*44/12</f>
        <v>8.5500933872951115E-2</v>
      </c>
      <c r="BR179" s="23">
        <f>EXP(-LN(2)/2)*BR178+(1-EXP(-LN(2)/2))/(LN(2)/2)*BL179*BO179*VLOOKUP('Données projet'!$B$11,Paramètres!$A$1:$I$89,3,0)*0.475*44/12</f>
        <v>1.403982768535053E-21</v>
      </c>
      <c r="BS179" s="24">
        <f t="shared" si="169"/>
        <v>0.1878315370550617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-6.7984728957526396E-14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348.62416478262719</v>
      </c>
      <c r="CE179" s="62">
        <f t="shared" si="148"/>
        <v>371.70674704563288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0.31086011230123362</v>
      </c>
      <c r="CL179" s="23">
        <f>EXP(-LN(2)/25)*CL178+(1-EXP(-LN(2)/25))/(LN(2)/25)*Calculateur!CG179*Calculateur!CI179*VLOOKUP('Données projet'!$B$12,Paramètres!$A$1:$I$89,3,0)*0.475*44/12</f>
        <v>0.21189720908918139</v>
      </c>
      <c r="CM179" s="23">
        <f>EXP(-LN(2)/2)*CM178+(1-EXP(-LN(2)/2))/(LN(2)/2)*CG179*CJ179*VLOOKUP('Données projet'!$B$12,Paramètres!$A$1:$I$89,3,0)*0.475*44/12</f>
        <v>1.7992464908795766E-21</v>
      </c>
      <c r="CN179" s="24">
        <f t="shared" si="172"/>
        <v>0.52275732139041498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371.7282125501186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293.3333333333365</v>
      </c>
      <c r="AN180" s="62">
        <f ca="1">AVERAGE(OFFSET($AM$3,0,0,'Données projet'!$E$10+1,1))-AVERAGE(OFFSET($H$3,0,0,'Données projet'!$E$10+1,1))</f>
        <v>411.73139494306878</v>
      </c>
      <c r="AO180" s="62">
        <f t="shared" si="144"/>
        <v>254.25036207346591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-3.2514435588382188E-14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309.71642374647882</v>
      </c>
      <c r="BJ180" s="62">
        <f t="shared" si="146"/>
        <v>266.63880397664315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0.10032396246921432</v>
      </c>
      <c r="BQ180" s="23">
        <f>EXP(-LN(2)/25)*BQ179+(1-EXP(-LN(2)/25))/(LN(2)/25)*Calculateur!BL180*Calculateur!BN180*VLOOKUP('Données projet'!$B$11,Paramètres!$A$1:$I$89,3,0)*0.475*44/12</f>
        <v>8.3162906339896564E-2</v>
      </c>
      <c r="BR180" s="23">
        <f>EXP(-LN(2)/2)*BR179+(1-EXP(-LN(2)/2))/(LN(2)/2)*BL180*BO180*VLOOKUP('Données projet'!$B$11,Paramètres!$A$1:$I$89,3,0)*0.475*44/12</f>
        <v>9.9276573630019895E-22</v>
      </c>
      <c r="BS180" s="24">
        <f t="shared" si="169"/>
        <v>0.18348686880911089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-6.7984728957526396E-14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348.62416478262719</v>
      </c>
      <c r="CE180" s="62">
        <f t="shared" si="148"/>
        <v>371.70674704563288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0.30476433510495288</v>
      </c>
      <c r="CL180" s="23">
        <f>EXP(-LN(2)/25)*CL179+(1-EXP(-LN(2)/25))/(LN(2)/25)*Calculateur!CG180*Calculateur!CI180*VLOOKUP('Données projet'!$B$12,Paramètres!$A$1:$I$89,3,0)*0.475*44/12</f>
        <v>0.2061028687634478</v>
      </c>
      <c r="CM180" s="23">
        <f>EXP(-LN(2)/2)*CM179+(1-EXP(-LN(2)/2))/(LN(2)/2)*CG180*CJ180*VLOOKUP('Données projet'!$B$12,Paramètres!$A$1:$I$89,3,0)*0.475*44/12</f>
        <v>1.2722593947270482E-21</v>
      </c>
      <c r="CN180" s="24">
        <f t="shared" si="172"/>
        <v>0.51086720386840068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371.7282125501186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293.3333333333365</v>
      </c>
      <c r="AN181" s="62">
        <f ca="1">AVERAGE(OFFSET($AM$3,0,0,'Données projet'!$E$10+1,1))-AVERAGE(OFFSET($H$3,0,0,'Données projet'!$E$10+1,1))</f>
        <v>411.73139494306878</v>
      </c>
      <c r="AO181" s="62">
        <f t="shared" si="144"/>
        <v>254.25036207346591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-3.2514435588382188E-14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309.71642374647882</v>
      </c>
      <c r="BJ181" s="62">
        <f t="shared" si="146"/>
        <v>266.63880397664315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9.8356670756767975E-2</v>
      </c>
      <c r="BQ181" s="23">
        <f>EXP(-LN(2)/25)*BQ180+(1-EXP(-LN(2)/25))/(LN(2)/25)*Calculateur!BL181*Calculateur!BN181*VLOOKUP('Données projet'!$B$11,Paramètres!$A$1:$I$89,3,0)*0.475*44/12</f>
        <v>8.0888812292684922E-2</v>
      </c>
      <c r="BR181" s="23">
        <f>EXP(-LN(2)/2)*BR180+(1-EXP(-LN(2)/2))/(LN(2)/2)*BL181*BO181*VLOOKUP('Données projet'!$B$11,Paramètres!$A$1:$I$89,3,0)*0.475*44/12</f>
        <v>7.0199138426752652E-22</v>
      </c>
      <c r="BS181" s="24">
        <f t="shared" si="169"/>
        <v>0.1792454830494529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-6.7984728957526396E-14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348.62416478262719</v>
      </c>
      <c r="CE181" s="62">
        <f t="shared" si="148"/>
        <v>371.70674704563288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0.29878809238143428</v>
      </c>
      <c r="CL181" s="23">
        <f>EXP(-LN(2)/25)*CL180+(1-EXP(-LN(2)/25))/(LN(2)/25)*Calculateur!CG181*Calculateur!CI181*VLOOKUP('Données projet'!$B$12,Paramètres!$A$1:$I$89,3,0)*0.475*44/12</f>
        <v>0.2004669749786325</v>
      </c>
      <c r="CM181" s="23">
        <f>EXP(-LN(2)/2)*CM180+(1-EXP(-LN(2)/2))/(LN(2)/2)*CG181*CJ181*VLOOKUP('Données projet'!$B$12,Paramètres!$A$1:$I$89,3,0)*0.475*44/12</f>
        <v>8.9962324543978829E-22</v>
      </c>
      <c r="CN181" s="24">
        <f t="shared" si="172"/>
        <v>0.49925506736006675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371.7282125501186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293.3333333333365</v>
      </c>
      <c r="AN182" s="62">
        <f ca="1">AVERAGE(OFFSET($AM$3,0,0,'Données projet'!$E$10+1,1))-AVERAGE(OFFSET($H$3,0,0,'Données projet'!$E$10+1,1))</f>
        <v>411.73139494306878</v>
      </c>
      <c r="AO182" s="62">
        <f t="shared" si="144"/>
        <v>254.25036207346591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-3.2514435588382188E-14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309.71642374647882</v>
      </c>
      <c r="BJ182" s="62">
        <f t="shared" si="146"/>
        <v>266.63880397664315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9.642795643487323E-2</v>
      </c>
      <c r="BQ182" s="23">
        <f>EXP(-LN(2)/25)*BQ181+(1-EXP(-LN(2)/25))/(LN(2)/25)*Calculateur!BL182*Calculateur!BN182*VLOOKUP('Données projet'!$B$11,Paramètres!$A$1:$I$89,3,0)*0.475*44/12</f>
        <v>7.8676903466783688E-2</v>
      </c>
      <c r="BR182" s="23">
        <f>EXP(-LN(2)/2)*BR181+(1-EXP(-LN(2)/2))/(LN(2)/2)*BL182*BO182*VLOOKUP('Données projet'!$B$11,Paramètres!$A$1:$I$89,3,0)*0.475*44/12</f>
        <v>4.9638286815009947E-22</v>
      </c>
      <c r="BS182" s="24">
        <f t="shared" si="169"/>
        <v>0.17510485990165692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-6.7984728957526396E-14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348.62416478262719</v>
      </c>
      <c r="CE182" s="62">
        <f t="shared" si="148"/>
        <v>371.70674704563288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0.2929290401325757</v>
      </c>
      <c r="CL182" s="23">
        <f>EXP(-LN(2)/25)*CL181+(1-EXP(-LN(2)/25))/(LN(2)/25)*Calculateur!CG182*Calculateur!CI182*VLOOKUP('Données projet'!$B$12,Paramètres!$A$1:$I$89,3,0)*0.475*44/12</f>
        <v>0.19498519500574174</v>
      </c>
      <c r="CM182" s="23">
        <f>EXP(-LN(2)/2)*CM181+(1-EXP(-LN(2)/2))/(LN(2)/2)*CG182*CJ182*VLOOKUP('Données projet'!$B$12,Paramètres!$A$1:$I$89,3,0)*0.475*44/12</f>
        <v>6.3612969736352412E-22</v>
      </c>
      <c r="CN182" s="24">
        <f t="shared" si="172"/>
        <v>0.48791423513831744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371.7282125501186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293.3333333333365</v>
      </c>
      <c r="AN183" s="62">
        <f ca="1">AVERAGE(OFFSET($AM$3,0,0,'Données projet'!$E$10+1,1))-AVERAGE(OFFSET($H$3,0,0,'Données projet'!$E$10+1,1))</f>
        <v>411.73139494306878</v>
      </c>
      <c r="AO183" s="62">
        <f t="shared" si="144"/>
        <v>254.25036207346591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-3.2514435588382188E-14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309.71642374647882</v>
      </c>
      <c r="BJ183" s="62">
        <f t="shared" si="146"/>
        <v>266.63880397664315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9.4537063024431267E-2</v>
      </c>
      <c r="BQ183" s="23">
        <f>EXP(-LN(2)/25)*BQ182+(1-EXP(-LN(2)/25))/(LN(2)/25)*Calculateur!BL183*Calculateur!BN183*VLOOKUP('Données projet'!$B$11,Paramètres!$A$1:$I$89,3,0)*0.475*44/12</f>
        <v>7.6525479404045957E-2</v>
      </c>
      <c r="BR183" s="23">
        <f>EXP(-LN(2)/2)*BR182+(1-EXP(-LN(2)/2))/(LN(2)/2)*BL183*BO183*VLOOKUP('Données projet'!$B$11,Paramètres!$A$1:$I$89,3,0)*0.475*44/12</f>
        <v>3.5099569213376326E-22</v>
      </c>
      <c r="BS183" s="24">
        <f t="shared" si="169"/>
        <v>0.17106254242847724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-6.7984728957526396E-14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348.62416478262719</v>
      </c>
      <c r="CE183" s="62">
        <f t="shared" si="148"/>
        <v>371.70674704563288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0.28718488032464828</v>
      </c>
      <c r="CL183" s="23">
        <f>EXP(-LN(2)/25)*CL182+(1-EXP(-LN(2)/25))/(LN(2)/25)*Calculateur!CG183*Calculateur!CI183*VLOOKUP('Données projet'!$B$12,Paramètres!$A$1:$I$89,3,0)*0.475*44/12</f>
        <v>0.18965331459448398</v>
      </c>
      <c r="CM183" s="23">
        <f>EXP(-LN(2)/2)*CM182+(1-EXP(-LN(2)/2))/(LN(2)/2)*CG183*CJ183*VLOOKUP('Données projet'!$B$12,Paramètres!$A$1:$I$89,3,0)*0.475*44/12</f>
        <v>4.4981162271989415E-22</v>
      </c>
      <c r="CN183" s="24">
        <f t="shared" si="172"/>
        <v>0.47683819491913226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371.7282125501186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293.3333333333365</v>
      </c>
      <c r="AN184" s="62">
        <f ca="1">AVERAGE(OFFSET($AM$3,0,0,'Données projet'!$E$10+1,1))-AVERAGE(OFFSET($H$3,0,0,'Données projet'!$E$10+1,1))</f>
        <v>411.73139494306878</v>
      </c>
      <c r="AO184" s="62">
        <f t="shared" si="144"/>
        <v>254.25036207346591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-3.2514435588382188E-14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309.71642374647882</v>
      </c>
      <c r="BJ184" s="62">
        <f t="shared" si="146"/>
        <v>266.63880397664315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9.2683248880436969E-2</v>
      </c>
      <c r="BQ184" s="23">
        <f>EXP(-LN(2)/25)*BQ183+(1-EXP(-LN(2)/25))/(LN(2)/25)*Calculateur!BL184*Calculateur!BN184*VLOOKUP('Données projet'!$B$11,Paramètres!$A$1:$I$89,3,0)*0.475*44/12</f>
        <v>7.4432886145442259E-2</v>
      </c>
      <c r="BR184" s="23">
        <f>EXP(-LN(2)/2)*BR183+(1-EXP(-LN(2)/2))/(LN(2)/2)*BL184*BO184*VLOOKUP('Données projet'!$B$11,Paramètres!$A$1:$I$89,3,0)*0.475*44/12</f>
        <v>2.4819143407504974E-22</v>
      </c>
      <c r="BS184" s="24">
        <f t="shared" si="169"/>
        <v>0.16711613502587924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-6.7984728957526396E-14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348.62416478262719</v>
      </c>
      <c r="CE184" s="62">
        <f t="shared" si="148"/>
        <v>371.70674704563288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0.28155335998696279</v>
      </c>
      <c r="CL184" s="23">
        <f>EXP(-LN(2)/25)*CL183+(1-EXP(-LN(2)/25))/(LN(2)/25)*Calculateur!CG184*Calculateur!CI184*VLOOKUP('Données projet'!$B$12,Paramètres!$A$1:$I$89,3,0)*0.475*44/12</f>
        <v>0.18446723473346346</v>
      </c>
      <c r="CM184" s="23">
        <f>EXP(-LN(2)/2)*CM183+(1-EXP(-LN(2)/2))/(LN(2)/2)*CG184*CJ184*VLOOKUP('Données projet'!$B$12,Paramètres!$A$1:$I$89,3,0)*0.475*44/12</f>
        <v>3.1806484868176206E-22</v>
      </c>
      <c r="CN184" s="24">
        <f t="shared" si="172"/>
        <v>0.46602059472042623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371.7282125501186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293.3333333333365</v>
      </c>
      <c r="AN185" s="62">
        <f ca="1">AVERAGE(OFFSET($AM$3,0,0,'Données projet'!$E$10+1,1))-AVERAGE(OFFSET($H$3,0,0,'Données projet'!$E$10+1,1))</f>
        <v>411.73139494306878</v>
      </c>
      <c r="AO185" s="62">
        <f t="shared" si="144"/>
        <v>254.25036207346591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-3.2514435588382188E-14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309.71642374647882</v>
      </c>
      <c r="BJ185" s="62">
        <f t="shared" si="146"/>
        <v>266.63880397664315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9.0865786901091428E-2</v>
      </c>
      <c r="BQ185" s="23">
        <f>EXP(-LN(2)/25)*BQ184+(1-EXP(-LN(2)/25))/(LN(2)/25)*Calculateur!BL185*Calculateur!BN185*VLOOKUP('Données projet'!$B$11,Paramètres!$A$1:$I$89,3,0)*0.475*44/12</f>
        <v>7.2397514959539777E-2</v>
      </c>
      <c r="BR185" s="23">
        <f>EXP(-LN(2)/2)*BR184+(1-EXP(-LN(2)/2))/(LN(2)/2)*BL185*BO185*VLOOKUP('Données projet'!$B$11,Paramètres!$A$1:$I$89,3,0)*0.475*44/12</f>
        <v>1.7549784606688163E-22</v>
      </c>
      <c r="BS185" s="24">
        <f t="shared" si="169"/>
        <v>0.1632633018606312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-6.7984728957526396E-14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348.62416478262719</v>
      </c>
      <c r="CE185" s="62">
        <f t="shared" si="148"/>
        <v>371.70674704563288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0.27603227032821104</v>
      </c>
      <c r="CL185" s="23">
        <f>EXP(-LN(2)/25)*CL184+(1-EXP(-LN(2)/25))/(LN(2)/25)*Calculateur!CG185*Calculateur!CI185*VLOOKUP('Données projet'!$B$12,Paramètres!$A$1:$I$89,3,0)*0.475*44/12</f>
        <v>0.17942296849896663</v>
      </c>
      <c r="CM185" s="23">
        <f>EXP(-LN(2)/2)*CM184+(1-EXP(-LN(2)/2))/(LN(2)/2)*CG185*CJ185*VLOOKUP('Données projet'!$B$12,Paramètres!$A$1:$I$89,3,0)*0.475*44/12</f>
        <v>2.2490581135994707E-22</v>
      </c>
      <c r="CN185" s="24">
        <f t="shared" si="172"/>
        <v>0.45545523882717764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371.7282125501186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293.3333333333365</v>
      </c>
      <c r="AN186" s="62">
        <f ca="1">AVERAGE(OFFSET($AM$3,0,0,'Données projet'!$E$10+1,1))-AVERAGE(OFFSET($H$3,0,0,'Données projet'!$E$10+1,1))</f>
        <v>411.73139494306878</v>
      </c>
      <c r="AO186" s="62">
        <f t="shared" si="144"/>
        <v>254.25036207346591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-3.2514435588382188E-14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309.71642374647882</v>
      </c>
      <c r="BJ186" s="62">
        <f t="shared" si="146"/>
        <v>266.63880397664315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8.9083964242618496E-2</v>
      </c>
      <c r="BQ186" s="23">
        <f>EXP(-LN(2)/25)*BQ185+(1-EXP(-LN(2)/25))/(LN(2)/25)*Calculateur!BL186*Calculateur!BN186*VLOOKUP('Données projet'!$B$11,Paramètres!$A$1:$I$89,3,0)*0.475*44/12</f>
        <v>7.0417801105751313E-2</v>
      </c>
      <c r="BR186" s="23">
        <f>EXP(-LN(2)/2)*BR185+(1-EXP(-LN(2)/2))/(LN(2)/2)*BL186*BO186*VLOOKUP('Données projet'!$B$11,Paramètres!$A$1:$I$89,3,0)*0.475*44/12</f>
        <v>1.2409571703752487E-22</v>
      </c>
      <c r="BS186" s="24">
        <f t="shared" si="169"/>
        <v>0.1595017653483698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-6.7984728957526396E-14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348.62416478262719</v>
      </c>
      <c r="CE186" s="62">
        <f t="shared" si="148"/>
        <v>371.70674704563288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0.27061944587013526</v>
      </c>
      <c r="CL186" s="23">
        <f>EXP(-LN(2)/25)*CL185+(1-EXP(-LN(2)/25))/(LN(2)/25)*Calculateur!CG186*Calculateur!CI186*VLOOKUP('Données projet'!$B$12,Paramètres!$A$1:$I$89,3,0)*0.475*44/12</f>
        <v>0.17451663798991857</v>
      </c>
      <c r="CM186" s="23">
        <f>EXP(-LN(2)/2)*CM185+(1-EXP(-LN(2)/2))/(LN(2)/2)*CG186*CJ186*VLOOKUP('Données projet'!$B$12,Paramètres!$A$1:$I$89,3,0)*0.475*44/12</f>
        <v>1.5903242434088103E-22</v>
      </c>
      <c r="CN186" s="24">
        <f t="shared" si="172"/>
        <v>0.44513608386005382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371.7282125501186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293.3333333333365</v>
      </c>
      <c r="AN187" s="62">
        <f ca="1">AVERAGE(OFFSET($AM$3,0,0,'Données projet'!$E$10+1,1))-AVERAGE(OFFSET($H$3,0,0,'Données projet'!$E$10+1,1))</f>
        <v>411.73139494306878</v>
      </c>
      <c r="AO187" s="62">
        <f t="shared" si="144"/>
        <v>254.25036207346591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-3.2514435588382188E-14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309.71642374647882</v>
      </c>
      <c r="BJ187" s="62">
        <f t="shared" si="146"/>
        <v>266.63880397664315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8.7337082039673719E-2</v>
      </c>
      <c r="BQ187" s="23">
        <f>EXP(-LN(2)/25)*BQ186+(1-EXP(-LN(2)/25))/(LN(2)/25)*Calculateur!BL187*Calculateur!BN187*VLOOKUP('Données projet'!$B$11,Paramètres!$A$1:$I$89,3,0)*0.475*44/12</f>
        <v>6.8492222631403324E-2</v>
      </c>
      <c r="BR187" s="23">
        <f>EXP(-LN(2)/2)*BR186+(1-EXP(-LN(2)/2))/(LN(2)/2)*BL187*BO187*VLOOKUP('Données projet'!$B$11,Paramètres!$A$1:$I$89,3,0)*0.475*44/12</f>
        <v>8.7748923033440815E-23</v>
      </c>
      <c r="BS187" s="24">
        <f t="shared" si="169"/>
        <v>0.15582930467107703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-6.7984728957526396E-14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348.62416478262719</v>
      </c>
      <c r="CE187" s="62">
        <f t="shared" si="148"/>
        <v>371.70674704563288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0.2653127635981854</v>
      </c>
      <c r="CL187" s="23">
        <f>EXP(-LN(2)/25)*CL186+(1-EXP(-LN(2)/25))/(LN(2)/25)*Calculateur!CG187*Calculateur!CI187*VLOOKUP('Données projet'!$B$12,Paramètres!$A$1:$I$89,3,0)*0.475*44/12</f>
        <v>0.1697444713466531</v>
      </c>
      <c r="CM187" s="23">
        <f>EXP(-LN(2)/2)*CM186+(1-EXP(-LN(2)/2))/(LN(2)/2)*CG187*CJ187*VLOOKUP('Données projet'!$B$12,Paramètres!$A$1:$I$89,3,0)*0.475*44/12</f>
        <v>1.1245290567997354E-22</v>
      </c>
      <c r="CN187" s="24">
        <f t="shared" si="172"/>
        <v>0.4350572349448385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371.7282125501186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293.3333333333365</v>
      </c>
      <c r="AN188" s="62">
        <f ca="1">AVERAGE(OFFSET($AM$3,0,0,'Données projet'!$E$10+1,1))-AVERAGE(OFFSET($H$3,0,0,'Données projet'!$E$10+1,1))</f>
        <v>411.73139494306878</v>
      </c>
      <c r="AO188" s="62">
        <f t="shared" si="144"/>
        <v>254.25036207346591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-3.2514435588382188E-14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309.71642374647882</v>
      </c>
      <c r="BJ188" s="62">
        <f t="shared" si="146"/>
        <v>266.63880397664315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8.5624455131235747E-2</v>
      </c>
      <c r="BQ188" s="23">
        <f>EXP(-LN(2)/25)*BQ187+(1-EXP(-LN(2)/25))/(LN(2)/25)*Calculateur!BL188*Calculateur!BN188*VLOOKUP('Données projet'!$B$11,Paramètres!$A$1:$I$89,3,0)*0.475*44/12</f>
        <v>6.6619299201698151E-2</v>
      </c>
      <c r="BR188" s="23">
        <f>EXP(-LN(2)/2)*BR187+(1-EXP(-LN(2)/2))/(LN(2)/2)*BL188*BO188*VLOOKUP('Données projet'!$B$11,Paramètres!$A$1:$I$89,3,0)*0.475*44/12</f>
        <v>6.2047858518762434E-23</v>
      </c>
      <c r="BS188" s="24">
        <f t="shared" si="169"/>
        <v>0.15224375433293391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-6.7984728957526396E-14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348.62416478262719</v>
      </c>
      <c r="CE188" s="62">
        <f t="shared" si="148"/>
        <v>371.70674704563288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0.26011014212883188</v>
      </c>
      <c r="CL188" s="23">
        <f>EXP(-LN(2)/25)*CL187+(1-EXP(-LN(2)/25))/(LN(2)/25)*Calculateur!CG188*Calculateur!CI188*VLOOKUP('Données projet'!$B$12,Paramètres!$A$1:$I$89,3,0)*0.475*44/12</f>
        <v>0.16510279985120507</v>
      </c>
      <c r="CM188" s="23">
        <f>EXP(-LN(2)/2)*CM187+(1-EXP(-LN(2)/2))/(LN(2)/2)*CG188*CJ188*VLOOKUP('Données projet'!$B$12,Paramètres!$A$1:$I$89,3,0)*0.475*44/12</f>
        <v>7.9516212170440515E-23</v>
      </c>
      <c r="CN188" s="24">
        <f t="shared" si="172"/>
        <v>0.42521294198003695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371.7282125501186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293.3333333333365</v>
      </c>
      <c r="AN189" s="62">
        <f ca="1">AVERAGE(OFFSET($AM$3,0,0,'Données projet'!$E$10+1,1))-AVERAGE(OFFSET($H$3,0,0,'Données projet'!$E$10+1,1))</f>
        <v>411.73139494306878</v>
      </c>
      <c r="AO189" s="62">
        <f t="shared" si="144"/>
        <v>254.25036207346591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-3.2514435588382188E-14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309.71642374647882</v>
      </c>
      <c r="BJ189" s="62">
        <f t="shared" si="146"/>
        <v>266.63880397664315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8.3945411791872981E-2</v>
      </c>
      <c r="BQ189" s="23">
        <f>EXP(-LN(2)/25)*BQ188+(1-EXP(-LN(2)/25))/(LN(2)/25)*Calculateur!BL189*Calculateur!BN189*VLOOKUP('Données projet'!$B$11,Paramètres!$A$1:$I$89,3,0)*0.475*44/12</f>
        <v>6.4797590961671037E-2</v>
      </c>
      <c r="BR189" s="23">
        <f>EXP(-LN(2)/2)*BR188+(1-EXP(-LN(2)/2))/(LN(2)/2)*BL189*BO189*VLOOKUP('Données projet'!$B$11,Paramètres!$A$1:$I$89,3,0)*0.475*44/12</f>
        <v>4.3874461516720408E-23</v>
      </c>
      <c r="BS189" s="24">
        <f t="shared" si="169"/>
        <v>0.14874300275354402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-6.7984728957526396E-14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348.62416478262719</v>
      </c>
      <c r="CE189" s="62">
        <f t="shared" si="148"/>
        <v>371.70674704563288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0.25500954089320665</v>
      </c>
      <c r="CL189" s="23">
        <f>EXP(-LN(2)/25)*CL188+(1-EXP(-LN(2)/25))/(LN(2)/25)*Calculateur!CG189*Calculateur!CI189*VLOOKUP('Données projet'!$B$12,Paramètres!$A$1:$I$89,3,0)*0.475*44/12</f>
        <v>0.16058805510689497</v>
      </c>
      <c r="CM189" s="23">
        <f>EXP(-LN(2)/2)*CM188+(1-EXP(-LN(2)/2))/(LN(2)/2)*CG189*CJ189*VLOOKUP('Données projet'!$B$12,Paramètres!$A$1:$I$89,3,0)*0.475*44/12</f>
        <v>5.6226452839986768E-23</v>
      </c>
      <c r="CN189" s="24">
        <f t="shared" si="172"/>
        <v>0.4155975960001016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371.7282125501186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293.3333333333365</v>
      </c>
      <c r="AN190" s="62">
        <f ca="1">AVERAGE(OFFSET($AM$3,0,0,'Données projet'!$E$10+1,1))-AVERAGE(OFFSET($H$3,0,0,'Données projet'!$E$10+1,1))</f>
        <v>411.73139494306878</v>
      </c>
      <c r="AO190" s="62">
        <f t="shared" si="144"/>
        <v>254.25036207346591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-3.2514435588382188E-14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309.71642374647882</v>
      </c>
      <c r="BJ190" s="62">
        <f t="shared" si="146"/>
        <v>266.63880397664315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8.2299293468279799E-2</v>
      </c>
      <c r="BQ190" s="23">
        <f>EXP(-LN(2)/25)*BQ189+(1-EXP(-LN(2)/25))/(LN(2)/25)*Calculateur!BL190*Calculateur!BN190*VLOOKUP('Données projet'!$B$11,Paramètres!$A$1:$I$89,3,0)*0.475*44/12</f>
        <v>6.3025697429266933E-2</v>
      </c>
      <c r="BR190" s="23">
        <f>EXP(-LN(2)/2)*BR189+(1-EXP(-LN(2)/2))/(LN(2)/2)*BL190*BO190*VLOOKUP('Données projet'!$B$11,Paramètres!$A$1:$I$89,3,0)*0.475*44/12</f>
        <v>3.1023929259381217E-23</v>
      </c>
      <c r="BS190" s="24">
        <f t="shared" si="169"/>
        <v>0.14532499089754675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-6.7984728957526396E-14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348.62416478262719</v>
      </c>
      <c r="CE190" s="62">
        <f t="shared" si="148"/>
        <v>371.70674704563288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0.25000895933675249</v>
      </c>
      <c r="CL190" s="23">
        <f>EXP(-LN(2)/25)*CL189+(1-EXP(-LN(2)/25))/(LN(2)/25)*Calculateur!CG190*Calculateur!CI190*VLOOKUP('Données projet'!$B$12,Paramètres!$A$1:$I$89,3,0)*0.475*44/12</f>
        <v>0.15619676629503815</v>
      </c>
      <c r="CM190" s="23">
        <f>EXP(-LN(2)/2)*CM189+(1-EXP(-LN(2)/2))/(LN(2)/2)*CG190*CJ190*VLOOKUP('Données projet'!$B$12,Paramètres!$A$1:$I$89,3,0)*0.475*44/12</f>
        <v>3.9758106085220258E-23</v>
      </c>
      <c r="CN190" s="24">
        <f t="shared" si="172"/>
        <v>0.40620572563179064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371.7282125501186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293.3333333333365</v>
      </c>
      <c r="AN191" s="62">
        <f ca="1">AVERAGE(OFFSET($AM$3,0,0,'Données projet'!$E$10+1,1))-AVERAGE(OFFSET($H$3,0,0,'Données projet'!$E$10+1,1))</f>
        <v>411.73139494306878</v>
      </c>
      <c r="AO191" s="62">
        <f t="shared" si="144"/>
        <v>254.25036207346591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-3.2514435588382188E-14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309.71642374647882</v>
      </c>
      <c r="BJ191" s="62">
        <f t="shared" si="146"/>
        <v>266.63880397664315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8.068545452097925E-2</v>
      </c>
      <c r="BQ191" s="23">
        <f>EXP(-LN(2)/25)*BQ190+(1-EXP(-LN(2)/25))/(LN(2)/25)*Calculateur!BL191*Calculateur!BN191*VLOOKUP('Données projet'!$B$11,Paramètres!$A$1:$I$89,3,0)*0.475*44/12</f>
        <v>6.1302256418686245E-2</v>
      </c>
      <c r="BR191" s="23">
        <f>EXP(-LN(2)/2)*BR190+(1-EXP(-LN(2)/2))/(LN(2)/2)*BL191*BO191*VLOOKUP('Données projet'!$B$11,Paramètres!$A$1:$I$89,3,0)*0.475*44/12</f>
        <v>2.1937230758360204E-23</v>
      </c>
      <c r="BS191" s="24">
        <f t="shared" si="169"/>
        <v>0.1419877109396655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-6.7984728957526396E-14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348.62416478262719</v>
      </c>
      <c r="CE191" s="62">
        <f t="shared" si="148"/>
        <v>371.70674704563288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0.24510643613456679</v>
      </c>
      <c r="CL191" s="23">
        <f>EXP(-LN(2)/25)*CL190+(1-EXP(-LN(2)/25))/(LN(2)/25)*Calculateur!CG191*Calculateur!CI191*VLOOKUP('Données projet'!$B$12,Paramètres!$A$1:$I$89,3,0)*0.475*44/12</f>
        <v>0.15192555750666939</v>
      </c>
      <c r="CM191" s="23">
        <f>EXP(-LN(2)/2)*CM190+(1-EXP(-LN(2)/2))/(LN(2)/2)*CG191*CJ191*VLOOKUP('Données projet'!$B$12,Paramètres!$A$1:$I$89,3,0)*0.475*44/12</f>
        <v>2.8113226419993384E-23</v>
      </c>
      <c r="CN191" s="24">
        <f t="shared" si="172"/>
        <v>0.3970319936412362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371.7282125501186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293.3333333333365</v>
      </c>
      <c r="AN192" s="62">
        <f ca="1">AVERAGE(OFFSET($AM$3,0,0,'Données projet'!$E$10+1,1))-AVERAGE(OFFSET($H$3,0,0,'Données projet'!$E$10+1,1))</f>
        <v>411.73139494306878</v>
      </c>
      <c r="AO192" s="62">
        <f t="shared" si="144"/>
        <v>254.25036207346591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-3.2514435588382188E-14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309.71642374647882</v>
      </c>
      <c r="BJ192" s="62">
        <f t="shared" si="146"/>
        <v>266.63880397664315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7.9103261971090702E-2</v>
      </c>
      <c r="BQ192" s="23">
        <f>EXP(-LN(2)/25)*BQ191+(1-EXP(-LN(2)/25))/(LN(2)/25)*Calculateur!BL192*Calculateur!BN192*VLOOKUP('Données projet'!$B$11,Paramètres!$A$1:$I$89,3,0)*0.475*44/12</f>
        <v>5.9625942993171713E-2</v>
      </c>
      <c r="BR192" s="23">
        <f>EXP(-LN(2)/2)*BR191+(1-EXP(-LN(2)/2))/(LN(2)/2)*BL192*BO192*VLOOKUP('Données projet'!$B$11,Paramètres!$A$1:$I$89,3,0)*0.475*44/12</f>
        <v>1.5511964629690609E-23</v>
      </c>
      <c r="BS192" s="24">
        <f t="shared" si="169"/>
        <v>0.13872920496426241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-6.7984728957526396E-14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348.62416478262719</v>
      </c>
      <c r="CE192" s="62">
        <f t="shared" si="148"/>
        <v>371.70674704563288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0.24030004842213207</v>
      </c>
      <c r="CL192" s="23">
        <f>EXP(-LN(2)/25)*CL191+(1-EXP(-LN(2)/25))/(LN(2)/25)*Calculateur!CG192*Calculateur!CI192*VLOOKUP('Données projet'!$B$12,Paramètres!$A$1:$I$89,3,0)*0.475*44/12</f>
        <v>0.14777114514723166</v>
      </c>
      <c r="CM192" s="23">
        <f>EXP(-LN(2)/2)*CM191+(1-EXP(-LN(2)/2))/(LN(2)/2)*CG192*CJ192*VLOOKUP('Données projet'!$B$12,Paramètres!$A$1:$I$89,3,0)*0.475*44/12</f>
        <v>1.9879053042610129E-23</v>
      </c>
      <c r="CN192" s="24">
        <f t="shared" si="172"/>
        <v>0.3880711935693637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371.7282125501186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293.3333333333365</v>
      </c>
      <c r="AN193" s="62">
        <f ca="1">AVERAGE(OFFSET($AM$3,0,0,'Données projet'!$E$10+1,1))-AVERAGE(OFFSET($H$3,0,0,'Données projet'!$E$10+1,1))</f>
        <v>411.73139494306878</v>
      </c>
      <c r="AO193" s="62">
        <f t="shared" si="144"/>
        <v>254.25036207346591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-3.2514435588382188E-14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309.71642374647882</v>
      </c>
      <c r="BJ193" s="62">
        <f t="shared" si="146"/>
        <v>266.63880397664315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7.7552095252063302E-2</v>
      </c>
      <c r="BQ193" s="23">
        <f>EXP(-LN(2)/25)*BQ192+(1-EXP(-LN(2)/25))/(LN(2)/25)*Calculateur!BL193*Calculateur!BN193*VLOOKUP('Données projet'!$B$11,Paramètres!$A$1:$I$89,3,0)*0.475*44/12</f>
        <v>5.7995468446431366E-2</v>
      </c>
      <c r="BR193" s="23">
        <f>EXP(-LN(2)/2)*BR192+(1-EXP(-LN(2)/2))/(LN(2)/2)*BL193*BO193*VLOOKUP('Données projet'!$B$11,Paramètres!$A$1:$I$89,3,0)*0.475*44/12</f>
        <v>1.0968615379180102E-23</v>
      </c>
      <c r="BS193" s="24">
        <f t="shared" si="169"/>
        <v>0.13554756369849466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-6.7984728957526396E-14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348.62416478262719</v>
      </c>
      <c r="CE193" s="62">
        <f t="shared" si="148"/>
        <v>371.70674704563288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0.23558791104113116</v>
      </c>
      <c r="CL193" s="23">
        <f>EXP(-LN(2)/25)*CL192+(1-EXP(-LN(2)/25))/(LN(2)/25)*Calculateur!CG193*Calculateur!CI193*VLOOKUP('Données projet'!$B$12,Paramètres!$A$1:$I$89,3,0)*0.475*44/12</f>
        <v>0.14373033541223382</v>
      </c>
      <c r="CM193" s="23">
        <f>EXP(-LN(2)/2)*CM192+(1-EXP(-LN(2)/2))/(LN(2)/2)*CG193*CJ193*VLOOKUP('Données projet'!$B$12,Paramètres!$A$1:$I$89,3,0)*0.475*44/12</f>
        <v>1.4056613209996692E-23</v>
      </c>
      <c r="CN193" s="24">
        <f t="shared" si="172"/>
        <v>0.37931824645336498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371.7282125501186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293.3333333333365</v>
      </c>
      <c r="AN194" s="62">
        <f ca="1">AVERAGE(OFFSET($AM$3,0,0,'Données projet'!$E$10+1,1))-AVERAGE(OFFSET($H$3,0,0,'Données projet'!$E$10+1,1))</f>
        <v>411.73139494306878</v>
      </c>
      <c r="AO194" s="62">
        <f t="shared" si="144"/>
        <v>254.25036207346591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-3.2514435588382188E-14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309.71642374647882</v>
      </c>
      <c r="BJ194" s="62">
        <f t="shared" si="146"/>
        <v>266.63880397664315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7.6031345966277752E-2</v>
      </c>
      <c r="BQ194" s="23">
        <f>EXP(-LN(2)/25)*BQ193+(1-EXP(-LN(2)/25))/(LN(2)/25)*Calculateur!BL194*Calculateur!BN194*VLOOKUP('Données projet'!$B$11,Paramètres!$A$1:$I$89,3,0)*0.475*44/12</f>
        <v>5.6409579311914565E-2</v>
      </c>
      <c r="BR194" s="23">
        <f>EXP(-LN(2)/2)*BR193+(1-EXP(-LN(2)/2))/(LN(2)/2)*BL194*BO194*VLOOKUP('Données projet'!$B$11,Paramètres!$A$1:$I$89,3,0)*0.475*44/12</f>
        <v>7.7559823148453043E-24</v>
      </c>
      <c r="BS194" s="24">
        <f t="shared" si="169"/>
        <v>0.13244092527819232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-6.7984728957526396E-14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348.62416478262719</v>
      </c>
      <c r="CE194" s="62">
        <f t="shared" si="148"/>
        <v>371.70674704563288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0.23096817580005166</v>
      </c>
      <c r="CL194" s="23">
        <f>EXP(-LN(2)/25)*CL193+(1-EXP(-LN(2)/25))/(LN(2)/25)*Calculateur!CG194*Calculateur!CI194*VLOOKUP('Données projet'!$B$12,Paramètres!$A$1:$I$89,3,0)*0.475*44/12</f>
        <v>0.13980002183193643</v>
      </c>
      <c r="CM194" s="23">
        <f>EXP(-LN(2)/2)*CM193+(1-EXP(-LN(2)/2))/(LN(2)/2)*CG194*CJ194*VLOOKUP('Données projet'!$B$12,Paramètres!$A$1:$I$89,3,0)*0.475*44/12</f>
        <v>9.9395265213050644E-24</v>
      </c>
      <c r="CN194" s="24">
        <f t="shared" si="172"/>
        <v>0.37076819763198809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371.7282125501186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293.3333333333365</v>
      </c>
      <c r="AN195" s="62">
        <f ca="1">AVERAGE(OFFSET($AM$3,0,0,'Données projet'!$E$10+1,1))-AVERAGE(OFFSET($H$3,0,0,'Données projet'!$E$10+1,1))</f>
        <v>411.73139494306878</v>
      </c>
      <c r="AO195" s="62">
        <f t="shared" si="144"/>
        <v>254.25036207346591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-3.2514435588382188E-14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309.71642374647882</v>
      </c>
      <c r="BJ195" s="62">
        <f t="shared" si="146"/>
        <v>266.63880397664315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7.4540417646420984E-2</v>
      </c>
      <c r="BQ195" s="23">
        <f>EXP(-LN(2)/25)*BQ194+(1-EXP(-LN(2)/25))/(LN(2)/25)*Calculateur!BL195*Calculateur!BN195*VLOOKUP('Données projet'!$B$11,Paramètres!$A$1:$I$89,3,0)*0.475*44/12</f>
        <v>5.4867056399179409E-2</v>
      </c>
      <c r="BR195" s="23">
        <f>EXP(-LN(2)/2)*BR194+(1-EXP(-LN(2)/2))/(LN(2)/2)*BL195*BO195*VLOOKUP('Données projet'!$B$11,Paramètres!$A$1:$I$89,3,0)*0.475*44/12</f>
        <v>5.4843076895900509E-24</v>
      </c>
      <c r="BS195" s="24">
        <f t="shared" si="169"/>
        <v>0.12940747404560038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-6.7984728957526396E-14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348.62416478262719</v>
      </c>
      <c r="CE195" s="62">
        <f t="shared" si="148"/>
        <v>371.70674704563288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0.22643903074928948</v>
      </c>
      <c r="CL195" s="23">
        <f>EXP(-LN(2)/25)*CL194+(1-EXP(-LN(2)/25))/(LN(2)/25)*Calculateur!CG195*Calculateur!CI195*VLOOKUP('Données projet'!$B$12,Paramètres!$A$1:$I$89,3,0)*0.475*44/12</f>
        <v>0.1359771828831785</v>
      </c>
      <c r="CM195" s="23">
        <f>EXP(-LN(2)/2)*CM194+(1-EXP(-LN(2)/2))/(LN(2)/2)*CG195*CJ195*VLOOKUP('Données projet'!$B$12,Paramètres!$A$1:$I$89,3,0)*0.475*44/12</f>
        <v>7.028306604998346E-24</v>
      </c>
      <c r="CN195" s="24">
        <f t="shared" si="172"/>
        <v>0.36241621363246801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371.7282125501186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293.3333333333365</v>
      </c>
      <c r="AN196" s="62">
        <f ca="1">AVERAGE(OFFSET($AM$3,0,0,'Données projet'!$E$10+1,1))-AVERAGE(OFFSET($H$3,0,0,'Données projet'!$E$10+1,1))</f>
        <v>411.73139494306878</v>
      </c>
      <c r="AO196" s="62">
        <f t="shared" si="144"/>
        <v>254.25036207346591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-3.2514435588382188E-14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309.71642374647882</v>
      </c>
      <c r="BJ196" s="62">
        <f t="shared" si="146"/>
        <v>266.63880397664315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7.3078725521540114E-2</v>
      </c>
      <c r="BQ196" s="23">
        <f>EXP(-LN(2)/25)*BQ195+(1-EXP(-LN(2)/25))/(LN(2)/25)*Calculateur!BL196*Calculateur!BN196*VLOOKUP('Données projet'!$B$11,Paramètres!$A$1:$I$89,3,0)*0.475*44/12</f>
        <v>5.3366713856610751E-2</v>
      </c>
      <c r="BR196" s="23">
        <f>EXP(-LN(2)/2)*BR195+(1-EXP(-LN(2)/2))/(LN(2)/2)*BL196*BO196*VLOOKUP('Données projet'!$B$11,Paramètres!$A$1:$I$89,3,0)*0.475*44/12</f>
        <v>3.8779911574226521E-24</v>
      </c>
      <c r="BS196" s="24">
        <f t="shared" si="169"/>
        <v>0.12644543937815086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-6.7984728957526396E-14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348.62416478262719</v>
      </c>
      <c r="CE196" s="62">
        <f t="shared" si="148"/>
        <v>371.70674704563288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0.22199869947046702</v>
      </c>
      <c r="CL196" s="23">
        <f>EXP(-LN(2)/25)*CL195+(1-EXP(-LN(2)/25))/(LN(2)/25)*Calculateur!CG196*Calculateur!CI196*VLOOKUP('Données projet'!$B$12,Paramètres!$A$1:$I$89,3,0)*0.475*44/12</f>
        <v>0.13225887966650873</v>
      </c>
      <c r="CM196" s="23">
        <f>EXP(-LN(2)/2)*CM195+(1-EXP(-LN(2)/2))/(LN(2)/2)*CG196*CJ196*VLOOKUP('Données projet'!$B$12,Paramètres!$A$1:$I$89,3,0)*0.475*44/12</f>
        <v>4.9697632606525322E-24</v>
      </c>
      <c r="CN196" s="24">
        <f t="shared" si="172"/>
        <v>0.35425757913697575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371.7282125501186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293.3333333333365</v>
      </c>
      <c r="AN197" s="62">
        <f ca="1">AVERAGE(OFFSET($AM$3,0,0,'Données projet'!$E$10+1,1))-AVERAGE(OFFSET($H$3,0,0,'Données projet'!$E$10+1,1))</f>
        <v>411.73139494306878</v>
      </c>
      <c r="AO197" s="62">
        <f t="shared" ref="AO197:AO203" si="205">$AO$3</f>
        <v>254.25036207346591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-3.2514435588382188E-14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309.71642374647882</v>
      </c>
      <c r="BJ197" s="62">
        <f t="shared" ref="BJ197:BJ203" si="206">$BJ$3</f>
        <v>266.63880397664315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7.1645696287683996E-2</v>
      </c>
      <c r="BQ197" s="23">
        <f>EXP(-LN(2)/25)*BQ196+(1-EXP(-LN(2)/25))/(LN(2)/25)*Calculateur!BL197*Calculateur!BN197*VLOOKUP('Données projet'!$B$11,Paramètres!$A$1:$I$89,3,0)*0.475*44/12</f>
        <v>5.1907398259768221E-2</v>
      </c>
      <c r="BR197" s="23">
        <f>EXP(-LN(2)/2)*BR196+(1-EXP(-LN(2)/2))/(LN(2)/2)*BL197*BO197*VLOOKUP('Données projet'!$B$11,Paramètres!$A$1:$I$89,3,0)*0.475*44/12</f>
        <v>2.7421538447950255E-24</v>
      </c>
      <c r="BS197" s="24">
        <f t="shared" si="169"/>
        <v>0.12355309454745222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-6.7984728957526396E-14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348.62416478262719</v>
      </c>
      <c r="CE197" s="62">
        <f t="shared" ref="CE197:CE203" si="207">$CE$3</f>
        <v>371.70674704563288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0.21764544037968761</v>
      </c>
      <c r="CL197" s="23">
        <f>EXP(-LN(2)/25)*CL196+(1-EXP(-LN(2)/25))/(LN(2)/25)*Calculateur!CG197*Calculateur!CI197*VLOOKUP('Données projet'!$B$12,Paramètres!$A$1:$I$89,3,0)*0.475*44/12</f>
        <v>0.12864225364683585</v>
      </c>
      <c r="CM197" s="23">
        <f>EXP(-LN(2)/2)*CM196+(1-EXP(-LN(2)/2))/(LN(2)/2)*CG197*CJ197*VLOOKUP('Données projet'!$B$12,Paramètres!$A$1:$I$89,3,0)*0.475*44/12</f>
        <v>3.514153302499173E-24</v>
      </c>
      <c r="CN197" s="24">
        <f t="shared" si="172"/>
        <v>0.34628769402652348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371.7282125501186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293.3333333333365</v>
      </c>
      <c r="AN198" s="62">
        <f ca="1">AVERAGE(OFFSET($AM$3,0,0,'Données projet'!$E$10+1,1))-AVERAGE(OFFSET($H$3,0,0,'Données projet'!$E$10+1,1))</f>
        <v>411.73139494306878</v>
      </c>
      <c r="AO198" s="62">
        <f t="shared" si="205"/>
        <v>254.25036207346591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-3.2514435588382188E-14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309.71642374647882</v>
      </c>
      <c r="BJ198" s="62">
        <f t="shared" si="206"/>
        <v>266.63880397664315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7.0240767883042274E-2</v>
      </c>
      <c r="BQ198" s="23">
        <f>EXP(-LN(2)/25)*BQ197+(1-EXP(-LN(2)/25))/(LN(2)/25)*Calculateur!BL198*Calculateur!BN198*VLOOKUP('Données projet'!$B$11,Paramètres!$A$1:$I$89,3,0)*0.475*44/12</f>
        <v>5.0487987724663418E-2</v>
      </c>
      <c r="BR198" s="23">
        <f>EXP(-LN(2)/2)*BR197+(1-EXP(-LN(2)/2))/(LN(2)/2)*BL198*BO198*VLOOKUP('Données projet'!$B$11,Paramètres!$A$1:$I$89,3,0)*0.475*44/12</f>
        <v>1.9389955787113261E-24</v>
      </c>
      <c r="BS198" s="24">
        <f t="shared" si="169"/>
        <v>0.12072875560770568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-6.7984728957526396E-14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348.62416478262719</v>
      </c>
      <c r="CE198" s="62">
        <f t="shared" si="207"/>
        <v>371.70674704563288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0.21337754604445253</v>
      </c>
      <c r="CL198" s="23">
        <f>EXP(-LN(2)/25)*CL197+(1-EXP(-LN(2)/25))/(LN(2)/25)*Calculateur!CG198*Calculateur!CI198*VLOOKUP('Données projet'!$B$12,Paramètres!$A$1:$I$89,3,0)*0.475*44/12</f>
        <v>0.12512452445586103</v>
      </c>
      <c r="CM198" s="23">
        <f>EXP(-LN(2)/2)*CM197+(1-EXP(-LN(2)/2))/(LN(2)/2)*CG198*CJ198*VLOOKUP('Données projet'!$B$12,Paramètres!$A$1:$I$89,3,0)*0.475*44/12</f>
        <v>2.4848816303262661E-24</v>
      </c>
      <c r="CN198" s="24">
        <f t="shared" si="172"/>
        <v>0.33850207050031356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371.7282125501186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293.3333333333365</v>
      </c>
      <c r="AN199" s="62">
        <f ca="1">AVERAGE(OFFSET($AM$3,0,0,'Données projet'!$E$10+1,1))-AVERAGE(OFFSET($H$3,0,0,'Données projet'!$E$10+1,1))</f>
        <v>411.73139494306878</v>
      </c>
      <c r="AO199" s="62">
        <f t="shared" si="205"/>
        <v>254.25036207346591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-3.2514435588382188E-14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309.71642374647882</v>
      </c>
      <c r="BJ199" s="62">
        <f t="shared" si="206"/>
        <v>266.63880397664315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6.8863389267493857E-2</v>
      </c>
      <c r="BQ199" s="23">
        <f>EXP(-LN(2)/25)*BQ198+(1-EXP(-LN(2)/25))/(LN(2)/25)*Calculateur!BL199*Calculateur!BN199*VLOOKUP('Données projet'!$B$11,Paramètres!$A$1:$I$89,3,0)*0.475*44/12</f>
        <v>4.9107391045284617E-2</v>
      </c>
      <c r="BR199" s="23">
        <f>EXP(-LN(2)/2)*BR198+(1-EXP(-LN(2)/2))/(LN(2)/2)*BL199*BO199*VLOOKUP('Données projet'!$B$11,Paramètres!$A$1:$I$89,3,0)*0.475*44/12</f>
        <v>1.3710769223975127E-24</v>
      </c>
      <c r="BS199" s="24">
        <f t="shared" si="169"/>
        <v>0.11797078031277847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-6.7984728957526396E-14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348.62416478262719</v>
      </c>
      <c r="CE199" s="62">
        <f t="shared" si="207"/>
        <v>371.70674704563288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0.2091933425139729</v>
      </c>
      <c r="CL199" s="23">
        <f>EXP(-LN(2)/25)*CL198+(1-EXP(-LN(2)/25))/(LN(2)/25)*Calculateur!CG199*Calculateur!CI199*VLOOKUP('Données projet'!$B$12,Paramètres!$A$1:$I$89,3,0)*0.475*44/12</f>
        <v>0.12170298775460274</v>
      </c>
      <c r="CM199" s="23">
        <f>EXP(-LN(2)/2)*CM198+(1-EXP(-LN(2)/2))/(LN(2)/2)*CG199*CJ199*VLOOKUP('Données projet'!$B$12,Paramètres!$A$1:$I$89,3,0)*0.475*44/12</f>
        <v>1.7570766512495865E-24</v>
      </c>
      <c r="CN199" s="24">
        <f t="shared" si="172"/>
        <v>0.33089633026857562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371.7282125501186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293.3333333333365</v>
      </c>
      <c r="AN200" s="62">
        <f ca="1">AVERAGE(OFFSET($AM$3,0,0,'Données projet'!$E$10+1,1))-AVERAGE(OFFSET($H$3,0,0,'Données projet'!$E$10+1,1))</f>
        <v>411.73139494306878</v>
      </c>
      <c r="AO200" s="62">
        <f t="shared" si="205"/>
        <v>254.25036207346591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-3.2514435588382188E-14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309.71642374647882</v>
      </c>
      <c r="BJ200" s="62">
        <f t="shared" si="206"/>
        <v>266.63880397664315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6.7513020206478355E-2</v>
      </c>
      <c r="BQ200" s="23">
        <f>EXP(-LN(2)/25)*BQ199+(1-EXP(-LN(2)/25))/(LN(2)/25)*Calculateur!BL200*Calculateur!BN200*VLOOKUP('Données projet'!$B$11,Paramètres!$A$1:$I$89,3,0)*0.475*44/12</f>
        <v>4.7764546854705853E-2</v>
      </c>
      <c r="BR200" s="23">
        <f>EXP(-LN(2)/2)*BR199+(1-EXP(-LN(2)/2))/(LN(2)/2)*BL200*BO200*VLOOKUP('Données projet'!$B$11,Paramètres!$A$1:$I$89,3,0)*0.475*44/12</f>
        <v>9.6949778935566303E-25</v>
      </c>
      <c r="BS200" s="24">
        <f t="shared" si="169"/>
        <v>0.11527756706118421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-6.7984728957526396E-14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348.62416478262719</v>
      </c>
      <c r="CE200" s="62">
        <f t="shared" si="207"/>
        <v>371.70674704563288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0.20509118866261383</v>
      </c>
      <c r="CL200" s="23">
        <f>EXP(-LN(2)/25)*CL199+(1-EXP(-LN(2)/25))/(LN(2)/25)*Calculateur!CG200*Calculateur!CI200*VLOOKUP('Données projet'!$B$12,Paramètres!$A$1:$I$89,3,0)*0.475*44/12</f>
        <v>0.11837501315437116</v>
      </c>
      <c r="CM200" s="23">
        <f>EXP(-LN(2)/2)*CM199+(1-EXP(-LN(2)/2))/(LN(2)/2)*CG200*CJ200*VLOOKUP('Données projet'!$B$12,Paramètres!$A$1:$I$89,3,0)*0.475*44/12</f>
        <v>1.242440815163133E-24</v>
      </c>
      <c r="CN200" s="24">
        <f t="shared" si="172"/>
        <v>0.32346620181698499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371.7282125501186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293.3333333333365</v>
      </c>
      <c r="AN201" s="62">
        <f ca="1">AVERAGE(OFFSET($AM$3,0,0,'Données projet'!$E$10+1,1))-AVERAGE(OFFSET($H$3,0,0,'Données projet'!$E$10+1,1))</f>
        <v>411.73139494306878</v>
      </c>
      <c r="AO201" s="62">
        <f t="shared" si="205"/>
        <v>254.25036207346591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-3.2514435588382188E-14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309.71642374647882</v>
      </c>
      <c r="BJ201" s="62">
        <f t="shared" si="206"/>
        <v>266.63880397664315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6.6189131059105566E-2</v>
      </c>
      <c r="BQ201" s="23">
        <f>EXP(-LN(2)/25)*BQ200+(1-EXP(-LN(2)/25))/(LN(2)/25)*Calculateur!BL201*Calculateur!BN201*VLOOKUP('Données projet'!$B$11,Paramètres!$A$1:$I$89,3,0)*0.475*44/12</f>
        <v>4.645842280913557E-2</v>
      </c>
      <c r="BR201" s="23">
        <f>EXP(-LN(2)/2)*BR200+(1-EXP(-LN(2)/2))/(LN(2)/2)*BL201*BO201*VLOOKUP('Données projet'!$B$11,Paramètres!$A$1:$I$89,3,0)*0.475*44/12</f>
        <v>6.8553846119875637E-25</v>
      </c>
      <c r="BS201" s="24">
        <f t="shared" si="169"/>
        <v>0.11264755386824113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-6.7984728957526396E-14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348.62416478262719</v>
      </c>
      <c r="CE201" s="62">
        <f t="shared" si="207"/>
        <v>371.70674704563288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0.20106947554621313</v>
      </c>
      <c r="CL201" s="23">
        <f>EXP(-LN(2)/25)*CL200+(1-EXP(-LN(2)/25))/(LN(2)/25)*Calculateur!CG201*Calculateur!CI201*VLOOKUP('Données projet'!$B$12,Paramètres!$A$1:$I$89,3,0)*0.475*44/12</f>
        <v>0.11513804219459349</v>
      </c>
      <c r="CM201" s="23">
        <f>EXP(-LN(2)/2)*CM200+(1-EXP(-LN(2)/2))/(LN(2)/2)*CG201*CJ201*VLOOKUP('Données projet'!$B$12,Paramètres!$A$1:$I$89,3,0)*0.475*44/12</f>
        <v>8.7853832562479325E-25</v>
      </c>
      <c r="CN201" s="24">
        <f t="shared" si="172"/>
        <v>0.31620751774080663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371.7282125501186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293.3333333333365</v>
      </c>
      <c r="AN202" s="62">
        <f ca="1">AVERAGE(OFFSET($AM$3,0,0,'Données projet'!$E$10+1,1))-AVERAGE(OFFSET($H$3,0,0,'Données projet'!$E$10+1,1))</f>
        <v>411.73139494306878</v>
      </c>
      <c r="AO202" s="62">
        <f t="shared" si="205"/>
        <v>254.25036207346591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-3.2514435588382188E-14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309.71642374647882</v>
      </c>
      <c r="BJ202" s="62">
        <f t="shared" si="206"/>
        <v>266.63880397664315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6.4891202570420109E-2</v>
      </c>
      <c r="BQ202" s="23">
        <f>EXP(-LN(2)/25)*BQ201+(1-EXP(-LN(2)/25))/(LN(2)/25)*Calculateur!BL202*Calculateur!BN202*VLOOKUP('Données projet'!$B$11,Paramètres!$A$1:$I$89,3,0)*0.475*44/12</f>
        <v>4.5188014794277483E-2</v>
      </c>
      <c r="BR202" s="23">
        <f>EXP(-LN(2)/2)*BR201+(1-EXP(-LN(2)/2))/(LN(2)/2)*BL202*BO202*VLOOKUP('Données projet'!$B$11,Paramètres!$A$1:$I$89,3,0)*0.475*44/12</f>
        <v>4.8474889467783152E-25</v>
      </c>
      <c r="BS202" s="24">
        <f t="shared" si="169"/>
        <v>0.11007921736469758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-6.7984728957526396E-14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348.62416478262719</v>
      </c>
      <c r="CE202" s="62">
        <f t="shared" si="207"/>
        <v>371.70674704563288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0.19712662577102225</v>
      </c>
      <c r="CL202" s="23">
        <f>EXP(-LN(2)/25)*CL201+(1-EXP(-LN(2)/25))/(LN(2)/25)*Calculateur!CG202*Calculateur!CI202*VLOOKUP('Données projet'!$B$12,Paramètres!$A$1:$I$89,3,0)*0.475*44/12</f>
        <v>0.11198958637593584</v>
      </c>
      <c r="CM202" s="23">
        <f>EXP(-LN(2)/2)*CM201+(1-EXP(-LN(2)/2))/(LN(2)/2)*CG202*CJ202*VLOOKUP('Données projet'!$B$12,Paramètres!$A$1:$I$89,3,0)*0.475*44/12</f>
        <v>6.2122040758156652E-25</v>
      </c>
      <c r="CN202" s="24">
        <f t="shared" si="172"/>
        <v>0.30911621214695806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371.7282125501186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293.3333333333365</v>
      </c>
      <c r="AN203" s="62">
        <f ca="1">AVERAGE(OFFSET($AM$3,0,0,'Données projet'!$E$10+1,1))-AVERAGE(OFFSET($H$3,0,0,'Données projet'!$E$10+1,1))</f>
        <v>411.73139494306878</v>
      </c>
      <c r="AO203" s="62">
        <f t="shared" si="205"/>
        <v>254.25036207346591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-3.2514435588382188E-14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309.71642374647882</v>
      </c>
      <c r="BJ203" s="62">
        <f t="shared" si="206"/>
        <v>266.63880397664315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6.3618725667739559E-2</v>
      </c>
      <c r="BQ203" s="23">
        <f>EXP(-LN(2)/25)*BQ202+(1-EXP(-LN(2)/25))/(LN(2)/25)*Calculateur!BL203*Calculateur!BN203*VLOOKUP('Données projet'!$B$11,Paramètres!$A$1:$I$89,3,0)*0.475*44/12</f>
        <v>4.3952346153393544E-2</v>
      </c>
      <c r="BR203" s="23">
        <f>EXP(-LN(2)/2)*BR202+(1-EXP(-LN(2)/2))/(LN(2)/2)*BL203*BO203*VLOOKUP('Données projet'!$B$11,Paramètres!$A$1:$I$89,3,0)*0.475*44/12</f>
        <v>3.4276923059937818E-25</v>
      </c>
      <c r="BS203" s="24">
        <f t="shared" si="169"/>
        <v>0.1075710718211331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-6.7984728957526396E-14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348.62416478262719</v>
      </c>
      <c r="CE203" s="62">
        <f t="shared" si="207"/>
        <v>371.70674704563288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0.19326109287502197</v>
      </c>
      <c r="CL203" s="23">
        <f>EXP(-LN(2)/25)*CL202+(1-EXP(-LN(2)/25))/(LN(2)/25)*Calculateur!CG203*Calculateur!CI203*VLOOKUP('Données projet'!$B$12,Paramètres!$A$1:$I$89,3,0)*0.475*44/12</f>
        <v>0.10892722524720948</v>
      </c>
      <c r="CM203" s="23">
        <f>EXP(-LN(2)/2)*CM202+(1-EXP(-LN(2)/2))/(LN(2)/2)*CG203*CJ203*VLOOKUP('Données projet'!$B$12,Paramètres!$A$1:$I$89,3,0)*0.475*44/12</f>
        <v>4.3926916281239663E-25</v>
      </c>
      <c r="CN203" s="24">
        <f t="shared" si="172"/>
        <v>0.30218831812223146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1.2287866875939204</v>
      </c>
      <c r="BV205" s="88">
        <f>EXP(LN('Données projet'!B114)/'Données projet'!A114)</f>
        <v>1.3239616704988877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P22" sqref="P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0.83167999999999986</v>
      </c>
      <c r="C6" s="156">
        <f ca="1">IF(OR('Données projet'!B9="",'Données projet'!C9="",'Données projet'!C9=0%),0,Calculateur!S3)</f>
        <v>371.7282125501186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192.42546558847781</v>
      </c>
      <c r="G6" s="156">
        <f ca="1">F6*(100%-'Données projet'!$C$24)*(100%-'Données projet'!$C$25)*(100%-'Données projet'!$C$26)*(100%-'Données projet'!$C$27)</f>
        <v>173.18291902963003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6.029679999999999</v>
      </c>
      <c r="K6" s="160">
        <f>J6*(100%-'Données projet'!$C$24)*(100%-'Données projet'!$C$25)*(100%-'Données projet'!$C$26)*(100%-'Données projet'!$C$27)</f>
        <v>5.4267119999999993</v>
      </c>
      <c r="L6" s="161">
        <f ca="1">G6+I6+K6</f>
        <v>178.60963102963004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0.20791999999999997</v>
      </c>
      <c r="C7" s="156">
        <f ca="1">IF(OR('Données projet'!B10="",'Données projet'!C10="",'Données projet'!C10=0%),0,Calculateur!AN3)</f>
        <v>411.73139494306878</v>
      </c>
      <c r="D7" s="156">
        <f>IF(OR('Données projet'!B10="",'Données projet'!C10="",'Données projet'!C10=0%),0,Calculateur!AO3)</f>
        <v>254.25036207346591</v>
      </c>
      <c r="E7" s="156">
        <f t="shared" ref="E7:E15" ca="1" si="0">MIN(C7,D7)</f>
        <v>254.25036207346591</v>
      </c>
      <c r="F7" s="156">
        <f t="shared" ref="F7:F15" ca="1" si="1">E7*B7</f>
        <v>52.86373528231502</v>
      </c>
      <c r="G7" s="156">
        <f ca="1">F7*(100%-'Données projet'!$C$24)*(100%-'Données projet'!$C$25)*(100%-'Données projet'!$C$26)*(100%-'Données projet'!$C$27)</f>
        <v>47.577361754083519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1.5074199999999998</v>
      </c>
      <c r="K7" s="160">
        <f>J7*(100%-'Données projet'!$C$24)*(100%-'Données projet'!$C$25)*(100%-'Données projet'!$C$26)*(100%-'Données projet'!$C$27)</f>
        <v>1.3566779999999998</v>
      </c>
      <c r="L7" s="161">
        <f t="shared" ref="L7:L15" ca="1" si="2">G7+I7+K7</f>
        <v>48.934039754083521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sylvestre</v>
      </c>
      <c r="B8" s="163">
        <f>'Données projet'!D11</f>
        <v>0.36612</v>
      </c>
      <c r="C8" s="156">
        <f ca="1">IF(OR('Données projet'!B11="",'Données projet'!C11="",'Données projet'!C11=0%),0,Calculateur!BI3)</f>
        <v>309.71642374647882</v>
      </c>
      <c r="D8" s="156">
        <f>IF(OR('Données projet'!B11="",'Données projet'!C11="",'Données projet'!C11=0%),0,Calculateur!BJ3)</f>
        <v>266.63880397664315</v>
      </c>
      <c r="E8" s="156">
        <f t="shared" ca="1" si="0"/>
        <v>266.63880397664315</v>
      </c>
      <c r="F8" s="156">
        <f t="shared" ca="1" si="1"/>
        <v>97.621798911928593</v>
      </c>
      <c r="G8" s="156">
        <f ca="1">F8*(100%-'Données projet'!$C$24)*(100%-'Données projet'!$C$25)*(100%-'Données projet'!$C$26)*(100%-'Données projet'!$C$27)</f>
        <v>87.859619020735735</v>
      </c>
      <c r="H8" s="164">
        <f>IF(OR('Données projet'!B11="",'Données projet'!C11="",'Données projet'!C11=0%),0,AVERAGE(Calculateur!$BS$3:$BS$33)*B8)</f>
        <v>0.90803106545505941</v>
      </c>
      <c r="I8" s="158">
        <f>H8*(100%-'Données projet'!$C$24)*(100%-'Données projet'!$C$25)*(100%-'Données projet'!$C$26)*(100%-'Données projet'!$C$27)</f>
        <v>0.81722795890955346</v>
      </c>
      <c r="J8" s="159">
        <f>IF(OR('Données projet'!B11="",'Données projet'!C11="",'Données projet'!C11=0%),0,SUM(Calculateur!$BL$3:$BL$33)*VLOOKUP('Données projet'!$B$11,Paramètres!$A$1:$I$89,9,0)*B8)</f>
        <v>10.3904856</v>
      </c>
      <c r="K8" s="160">
        <f>J8*(100%-'Données projet'!$C$24)*(100%-'Données projet'!$C$25)*(100%-'Données projet'!$C$26)*(100%-'Données projet'!$C$27)</f>
        <v>9.3514370400000004</v>
      </c>
      <c r="L8" s="161">
        <f t="shared" ca="1" si="2"/>
        <v>98.028284019645298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0.85427999999999993</v>
      </c>
      <c r="C9" s="156">
        <f ca="1">IF(OR('Données projet'!B12="",'Données projet'!C12="",'Données projet'!C12=0%),0,Calculateur!CD3)</f>
        <v>348.62416478262719</v>
      </c>
      <c r="D9" s="156">
        <f>IF(OR('Données projet'!B12="",'Données projet'!C12="",'Données projet'!C12=0%),0,Calculateur!CE3)</f>
        <v>371.70674704563288</v>
      </c>
      <c r="E9" s="156">
        <f t="shared" ca="1" si="0"/>
        <v>348.62416478262719</v>
      </c>
      <c r="F9" s="156">
        <f t="shared" ca="1" si="1"/>
        <v>297.82265149050272</v>
      </c>
      <c r="G9" s="156">
        <f ca="1">F9*(100%-'Données projet'!$C$24)*(100%-'Données projet'!$C$25)*(100%-'Données projet'!$C$26)*(100%-'Données projet'!$C$27)</f>
        <v>268.04038634145246</v>
      </c>
      <c r="H9" s="164">
        <f>IF(OR('Données projet'!B12="",'Données projet'!C12="",'Données projet'!C12=0%),0,AVERAGE(Calculateur!$CN$3:$CN$33)*B9)</f>
        <v>4.6007622186586561</v>
      </c>
      <c r="I9" s="158">
        <f>H9*(100%-'Données projet'!$C$24)*(100%-'Données projet'!$C$25)*(100%-'Données projet'!$C$26)*(100%-'Données projet'!$C$27)</f>
        <v>4.1406859967927909</v>
      </c>
      <c r="J9" s="159">
        <f>IF(OR('Données projet'!B12="",'Données projet'!C12="",'Données projet'!C12=0%),0,SUM(Calculateur!$CG$3:$CG$33)*VLOOKUP('Données projet'!$B$12,Paramètres!$A$1:$I$89,9,0)*B9)</f>
        <v>44.080847999999996</v>
      </c>
      <c r="K9" s="160">
        <f>J9*(100%-'Données projet'!$C$24)*(100%-'Données projet'!$C$25)*(100%-'Données projet'!$C$26)*(100%-'Données projet'!$C$27)</f>
        <v>39.672763199999999</v>
      </c>
      <c r="L9" s="161">
        <f t="shared" ca="1" si="2"/>
        <v>311.85383553824528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640.73365127322415</v>
      </c>
      <c r="G16" s="175">
        <f t="shared" ca="1" si="3"/>
        <v>576.66028614590175</v>
      </c>
      <c r="H16" s="176">
        <f t="shared" si="3"/>
        <v>5.5087932841137155</v>
      </c>
      <c r="I16" s="176">
        <f t="shared" si="3"/>
        <v>4.9579139557023444</v>
      </c>
      <c r="J16" s="177">
        <f t="shared" si="3"/>
        <v>62.008433599999996</v>
      </c>
      <c r="K16" s="177">
        <f t="shared" si="3"/>
        <v>55.807590239999996</v>
      </c>
      <c r="L16" s="178">
        <f t="shared" ca="1" si="3"/>
        <v>637.42579034160417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sylvestre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90" zoomScaleNormal="90" workbookViewId="0">
      <selection activeCell="V28" sqref="V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575.53769892530249</v>
      </c>
      <c r="U10" s="190">
        <f>'Données projet'!D9</f>
        <v>0.83167999999999986</v>
      </c>
      <c r="V10" s="189">
        <f>U10*T10</f>
        <v>478.66319344219551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530.68169632012598</v>
      </c>
      <c r="U11" s="190">
        <f>'Données projet'!D10</f>
        <v>0.20791999999999997</v>
      </c>
      <c r="V11" s="189">
        <f t="shared" ref="V11" si="0">U11*T11</f>
        <v>110.33933829888058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sylvestre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1664.9007419013305</v>
      </c>
      <c r="U12" s="190">
        <f>'Données projet'!D11</f>
        <v>0.36612</v>
      </c>
      <c r="V12" s="189">
        <f t="shared" ref="V12:V19" si="1">U12*T12</f>
        <v>609.55345962491515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3314.3756984997212</v>
      </c>
      <c r="U13" s="190">
        <f>'Données projet'!D12</f>
        <v>0.85427999999999993</v>
      </c>
      <c r="V13" s="189">
        <f t="shared" si="1"/>
        <v>2831.4048717143414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5284.36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1350.79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877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877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-17846.927356066317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877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992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-17846.927356066317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150</v>
      </c>
      <c r="D42" s="194">
        <f t="shared" si="2"/>
        <v>42750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>
        <v>150</v>
      </c>
      <c r="D73" s="191">
        <f t="shared" si="4"/>
        <v>42750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sylvestre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9</v>
      </c>
      <c r="C85" s="204">
        <v>12</v>
      </c>
      <c r="D85" s="191">
        <f>B85*C85</f>
        <v>108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21</v>
      </c>
      <c r="C86" s="204">
        <v>12</v>
      </c>
      <c r="D86" s="191">
        <f t="shared" ref="D86:D104" si="6">B86*C86</f>
        <v>252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36</v>
      </c>
      <c r="C87" s="204">
        <v>15</v>
      </c>
      <c r="D87" s="191">
        <f t="shared" si="6"/>
        <v>540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49</v>
      </c>
      <c r="C88" s="204">
        <v>17</v>
      </c>
      <c r="D88" s="191">
        <f t="shared" si="6"/>
        <v>833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4">
        <v>17</v>
      </c>
      <c r="D89" s="191">
        <f t="shared" si="6"/>
        <v>714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38</v>
      </c>
      <c r="C90" s="204">
        <v>17</v>
      </c>
      <c r="D90" s="191">
        <f t="shared" si="6"/>
        <v>646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37</v>
      </c>
      <c r="C91" s="204">
        <v>20</v>
      </c>
      <c r="D91" s="191">
        <f t="shared" si="6"/>
        <v>740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48</v>
      </c>
      <c r="C92" s="204">
        <v>25</v>
      </c>
      <c r="D92" s="191">
        <f t="shared" si="6"/>
        <v>1200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50</v>
      </c>
      <c r="C93" s="204">
        <v>30</v>
      </c>
      <c r="D93" s="191">
        <f t="shared" si="6"/>
        <v>1500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20</v>
      </c>
      <c r="C94" s="204">
        <v>35</v>
      </c>
      <c r="D94" s="191">
        <f t="shared" si="6"/>
        <v>700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444</v>
      </c>
      <c r="C95" s="204">
        <v>60</v>
      </c>
      <c r="D95" s="191">
        <f t="shared" si="6"/>
        <v>26640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17</v>
      </c>
      <c r="B116" s="193">
        <f>'Données projet'!D114</f>
        <v>15</v>
      </c>
      <c r="C116" s="204">
        <v>12</v>
      </c>
      <c r="D116" s="191">
        <f>B116*C116</f>
        <v>180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15</v>
      </c>
      <c r="C117" s="204">
        <v>12</v>
      </c>
      <c r="D117" s="191">
        <f t="shared" ref="D117:D135" si="8">B117*C117</f>
        <v>180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36</v>
      </c>
      <c r="C118" s="204">
        <v>15</v>
      </c>
      <c r="D118" s="191">
        <f t="shared" si="8"/>
        <v>540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54</v>
      </c>
      <c r="C119" s="204">
        <v>17</v>
      </c>
      <c r="D119" s="191">
        <f t="shared" si="8"/>
        <v>918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52</v>
      </c>
      <c r="C120" s="204">
        <v>17</v>
      </c>
      <c r="D120" s="191">
        <f t="shared" si="8"/>
        <v>884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48</v>
      </c>
      <c r="C121" s="204">
        <v>17</v>
      </c>
      <c r="D121" s="191">
        <f t="shared" si="8"/>
        <v>816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57</v>
      </c>
      <c r="C122" s="204">
        <v>20</v>
      </c>
      <c r="D122" s="191">
        <f t="shared" si="8"/>
        <v>1140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47</v>
      </c>
      <c r="C123" s="204">
        <v>25</v>
      </c>
      <c r="D123" s="191">
        <f t="shared" si="8"/>
        <v>1175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48</v>
      </c>
      <c r="C124" s="204">
        <v>30</v>
      </c>
      <c r="D124" s="191">
        <f t="shared" si="8"/>
        <v>1440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32</v>
      </c>
      <c r="C125" s="204">
        <v>35</v>
      </c>
      <c r="D125" s="191">
        <f t="shared" si="8"/>
        <v>1120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555</v>
      </c>
      <c r="C126" s="204">
        <v>60</v>
      </c>
      <c r="D126" s="191">
        <f t="shared" si="8"/>
        <v>33300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2023-11-27T14:49:49Z</dcterms:modified>
</cp:coreProperties>
</file>