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JO 2024\Oulches\"/>
    </mc:Choice>
  </mc:AlternateContent>
  <bookViews>
    <workbookView xWindow="0" yWindow="0" windowWidth="28800" windowHeight="1183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4" i="1" l="1"/>
  <c r="D102" i="1"/>
  <c r="D100" i="1"/>
  <c r="D98" i="1"/>
  <c r="D96" i="1"/>
  <c r="D94" i="1"/>
  <c r="B106" i="1"/>
  <c r="D106" i="1" s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D92" i="1"/>
  <c r="B92" i="1"/>
  <c r="B91" i="1"/>
  <c r="B90" i="1"/>
  <c r="B89" i="1"/>
  <c r="B88" i="1"/>
  <c r="D153" i="1"/>
  <c r="B153" i="1"/>
  <c r="D152" i="1"/>
  <c r="B152" i="1"/>
  <c r="D151" i="1"/>
  <c r="B151" i="1"/>
  <c r="D150" i="1"/>
  <c r="B150" i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41" i="1"/>
  <c r="B141" i="1"/>
  <c r="B140" i="1"/>
  <c r="B132" i="1"/>
  <c r="D132" i="1" s="1"/>
  <c r="B131" i="1"/>
  <c r="B130" i="1"/>
  <c r="B129" i="1"/>
  <c r="B128" i="1"/>
  <c r="D131" i="1"/>
  <c r="D130" i="1"/>
  <c r="D129" i="1"/>
  <c r="D128" i="1"/>
  <c r="D127" i="1"/>
  <c r="B67" i="1" l="1"/>
  <c r="D126" i="1" l="1"/>
  <c r="D125" i="1"/>
  <c r="D124" i="1"/>
  <c r="D123" i="1"/>
  <c r="D122" i="1"/>
  <c r="D121" i="1"/>
  <c r="D120" i="1"/>
  <c r="D119" i="1"/>
  <c r="D118" i="1"/>
  <c r="D117" i="1"/>
  <c r="D116" i="1"/>
  <c r="D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15" i="1"/>
  <c r="B114" i="1"/>
  <c r="D72" i="1"/>
  <c r="D71" i="1"/>
  <c r="D70" i="1"/>
  <c r="D69" i="1"/>
  <c r="D68" i="1"/>
  <c r="D67" i="1"/>
  <c r="D65" i="1"/>
  <c r="D63" i="1"/>
  <c r="B72" i="1"/>
  <c r="B71" i="1"/>
  <c r="B70" i="1"/>
  <c r="B69" i="1"/>
  <c r="B68" i="1"/>
  <c r="B66" i="1"/>
  <c r="B65" i="1"/>
  <c r="B64" i="1"/>
  <c r="B63" i="1"/>
  <c r="B62" i="1"/>
  <c r="D43" i="1"/>
  <c r="D42" i="1"/>
  <c r="D41" i="1"/>
  <c r="D39" i="1"/>
  <c r="D37" i="1"/>
  <c r="D36" i="1"/>
  <c r="D44" i="1"/>
  <c r="B44" i="1"/>
  <c r="B43" i="1"/>
  <c r="B42" i="1"/>
  <c r="B41" i="1"/>
  <c r="B40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C31" i="2" l="1" a="1"/>
  <c r="BC31" i="2" s="1"/>
  <c r="BC18" i="2" a="1"/>
  <c r="BC18" i="2" s="1"/>
  <c r="CS77" i="2" a="1"/>
  <c r="CS77" i="2" s="1"/>
  <c r="CS72" i="2" a="1"/>
  <c r="CS72" i="2" s="1"/>
  <c r="CS56" i="2" a="1"/>
  <c r="CS56" i="2" s="1"/>
  <c r="CS137" i="2" a="1"/>
  <c r="CS137" i="2" s="1"/>
  <c r="CS129" i="2" a="1"/>
  <c r="CS129" i="2" s="1"/>
  <c r="CS24" i="2" a="1"/>
  <c r="CS24" i="2" s="1"/>
  <c r="CS52" i="2" a="1"/>
  <c r="CS52" i="2" s="1"/>
  <c r="CS120" i="2" a="1"/>
  <c r="CS120" i="2" s="1"/>
  <c r="CS38" i="2" a="1"/>
  <c r="CS38" i="2" s="1"/>
  <c r="CS185" i="2" a="1"/>
  <c r="CS185" i="2" s="1"/>
  <c r="CS116" i="2" a="1"/>
  <c r="CS116" i="2" s="1"/>
  <c r="CS66" i="2" a="1"/>
  <c r="CS66" i="2" s="1"/>
  <c r="CS134" i="2" a="1"/>
  <c r="CS134" i="2" s="1"/>
  <c r="CS105" i="2" a="1"/>
  <c r="CS105" i="2" s="1"/>
  <c r="CS161" i="2" a="1"/>
  <c r="CS161" i="2" s="1"/>
  <c r="BC83" i="2" a="1"/>
  <c r="BC83" i="2" s="1"/>
  <c r="BC7" i="2" a="1"/>
  <c r="BC7" i="2" s="1"/>
  <c r="BC84" i="2" a="1"/>
  <c r="BC84" i="2" s="1"/>
  <c r="BC164" i="2" a="1"/>
  <c r="BC164" i="2" s="1"/>
  <c r="BC181" i="2" a="1"/>
  <c r="BC181" i="2" s="1"/>
  <c r="BC65" i="2" a="1"/>
  <c r="BC65" i="2" s="1"/>
  <c r="BC126" i="2" a="1"/>
  <c r="BC126" i="2" s="1"/>
  <c r="BC38" i="2" a="1"/>
  <c r="BC38" i="2" s="1"/>
  <c r="BC32" i="2" a="1"/>
  <c r="BC32" i="2" s="1"/>
  <c r="BC114" i="2" a="1"/>
  <c r="BC114" i="2" s="1"/>
  <c r="BC151" i="2" a="1"/>
  <c r="BC151" i="2" s="1"/>
  <c r="BC192" i="2" a="1"/>
  <c r="BC192" i="2" s="1"/>
  <c r="BC82" i="2" a="1"/>
  <c r="BC82" i="2" s="1"/>
  <c r="BC55" i="2" a="1"/>
  <c r="BC55" i="2" s="1"/>
  <c r="BC47" i="2" a="1"/>
  <c r="BC47" i="2" s="1"/>
  <c r="BC185" i="2" a="1"/>
  <c r="BC185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BX107" i="2" a="1"/>
  <c r="BX107" i="2" s="1"/>
  <c r="BP203" i="2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151" i="2" a="1"/>
  <c r="AH151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Y24" i="2" l="1"/>
  <c r="CY93" i="2"/>
  <c r="CY150" i="2"/>
  <c r="CY56" i="2"/>
  <c r="CY19" i="2"/>
  <c r="CY64" i="2"/>
  <c r="CY124" i="2"/>
  <c r="CY157" i="2"/>
  <c r="CY178" i="2"/>
  <c r="CY132" i="2"/>
  <c r="CY193" i="2"/>
  <c r="CY111" i="2"/>
  <c r="CY127" i="2"/>
  <c r="CY20" i="2"/>
  <c r="CY85" i="2"/>
  <c r="CY167" i="2"/>
  <c r="CY145" i="2"/>
  <c r="CY63" i="2"/>
  <c r="CY195" i="2"/>
  <c r="CY129" i="2"/>
  <c r="CY138" i="2"/>
  <c r="CY171" i="2"/>
  <c r="CY10" i="2"/>
  <c r="CY180" i="2"/>
  <c r="CY158" i="2"/>
  <c r="CY52" i="2"/>
  <c r="CY15" i="2"/>
  <c r="CY201" i="2"/>
  <c r="CY82" i="2"/>
  <c r="CY149" i="2"/>
  <c r="CY55" i="2"/>
  <c r="CY98" i="2"/>
  <c r="CY59" i="2"/>
  <c r="CY135" i="2"/>
  <c r="CY77" i="2"/>
  <c r="CY156" i="2"/>
  <c r="CY41" i="2"/>
  <c r="CY23" i="2"/>
  <c r="CY203" i="2"/>
  <c r="CY134" i="2"/>
  <c r="CY130" i="2"/>
  <c r="CY32" i="2"/>
  <c r="CY66" i="2"/>
  <c r="CY113" i="2"/>
  <c r="CY45" i="2"/>
  <c r="CY34" i="2"/>
  <c r="CY128" i="2"/>
  <c r="CY139" i="2"/>
  <c r="CY136" i="2"/>
  <c r="CY61" i="2"/>
  <c r="CY9" i="2"/>
  <c r="CY75" i="2"/>
  <c r="CY172" i="2"/>
  <c r="CY81" i="2"/>
  <c r="CY84" i="2"/>
  <c r="CY114" i="2"/>
  <c r="CY140" i="2"/>
  <c r="CY122" i="2"/>
  <c r="CY86" i="2"/>
  <c r="CY54" i="2"/>
  <c r="CY190" i="2"/>
  <c r="CY50" i="2"/>
  <c r="CY199" i="2"/>
  <c r="CY123" i="2"/>
  <c r="CY25" i="2"/>
  <c r="CY36" i="2"/>
  <c r="CY143" i="2"/>
  <c r="CY30" i="2"/>
  <c r="CY57" i="2"/>
  <c r="CY14" i="2"/>
  <c r="CY69" i="2"/>
  <c r="CY29" i="2"/>
  <c r="CY169" i="2"/>
  <c r="CY165" i="2"/>
  <c r="CY95" i="2"/>
  <c r="CY89" i="2"/>
  <c r="CY39" i="2"/>
  <c r="CY116" i="2"/>
  <c r="CY189" i="2"/>
  <c r="CY118" i="2"/>
  <c r="CY22" i="2"/>
  <c r="CY166" i="2"/>
  <c r="CY68" i="2"/>
  <c r="CY96" i="2"/>
  <c r="CY187" i="2"/>
  <c r="CY5" i="2"/>
  <c r="CY18" i="2"/>
  <c r="CY141" i="2"/>
  <c r="CY28" i="2"/>
  <c r="CY102" i="2"/>
  <c r="CY164" i="2"/>
  <c r="CY40" i="2"/>
  <c r="CY144" i="2"/>
  <c r="CY184" i="2"/>
  <c r="CY26" i="2"/>
  <c r="CY31" i="2"/>
  <c r="CY6" i="2"/>
  <c r="CY97" i="2"/>
  <c r="CY87" i="2"/>
  <c r="CY88" i="2"/>
  <c r="CY17" i="2"/>
  <c r="CY179" i="2"/>
  <c r="CY181" i="2"/>
  <c r="CY43" i="2"/>
  <c r="CY110" i="2"/>
  <c r="CY173" i="2"/>
  <c r="CY137" i="2"/>
  <c r="CY148" i="2"/>
  <c r="CY65" i="2"/>
  <c r="CY94" i="2"/>
  <c r="CY119" i="2"/>
  <c r="CY105" i="2"/>
  <c r="CY71" i="2"/>
  <c r="CY112" i="2"/>
  <c r="CY101" i="2"/>
  <c r="CY197" i="2"/>
  <c r="CY21" i="2"/>
  <c r="CY170" i="2"/>
  <c r="CY83" i="2"/>
  <c r="CY44" i="2"/>
  <c r="CY131" i="2"/>
  <c r="CY72" i="2"/>
  <c r="CY106" i="2"/>
  <c r="CY103" i="2"/>
  <c r="CY16" i="2"/>
  <c r="CY120" i="2"/>
  <c r="CY80" i="2"/>
  <c r="CY12" i="2"/>
  <c r="CY8" i="2"/>
  <c r="CY70" i="2"/>
  <c r="CY152" i="2"/>
  <c r="CY183" i="2"/>
  <c r="CY79" i="2"/>
  <c r="CY33" i="2"/>
  <c r="CY35" i="2"/>
  <c r="CY3" i="2"/>
  <c r="C10" i="4" s="1"/>
  <c r="E10" i="4" s="1"/>
  <c r="F10" i="4" s="1"/>
  <c r="G10" i="4" s="1"/>
  <c r="L10" i="4" s="1"/>
  <c r="CY160" i="2"/>
  <c r="CY185" i="2"/>
  <c r="CY13" i="2"/>
  <c r="CY107" i="2"/>
  <c r="CY4" i="2"/>
  <c r="CY74" i="2"/>
  <c r="CY58" i="2"/>
  <c r="CY202" i="2"/>
  <c r="CY162" i="2"/>
  <c r="CY51" i="2"/>
  <c r="CY146" i="2"/>
  <c r="CY90" i="2"/>
  <c r="CY163" i="2"/>
  <c r="CY42" i="2"/>
  <c r="CY191" i="2"/>
  <c r="CY47" i="2"/>
  <c r="CY176" i="2"/>
  <c r="CY151" i="2"/>
  <c r="CY186" i="2"/>
  <c r="CY133" i="2"/>
  <c r="CY48" i="2"/>
  <c r="CY7" i="2"/>
  <c r="CY188" i="2"/>
  <c r="CY92" i="2"/>
  <c r="CY67" i="2"/>
  <c r="CY153" i="2"/>
  <c r="CY49" i="2"/>
  <c r="CY168" i="2"/>
  <c r="CY155" i="2"/>
  <c r="CY117" i="2"/>
  <c r="CY62" i="2"/>
  <c r="CY37" i="2"/>
  <c r="CY198" i="2"/>
  <c r="CY126" i="2"/>
  <c r="CY194" i="2"/>
  <c r="CY125" i="2"/>
  <c r="CY46" i="2"/>
  <c r="CY53" i="2"/>
  <c r="CY27" i="2"/>
  <c r="CY78" i="2"/>
  <c r="CY109" i="2"/>
  <c r="CY177" i="2"/>
  <c r="CY154" i="2"/>
  <c r="CY121" i="2"/>
  <c r="CY200" i="2"/>
  <c r="CY99" i="2"/>
  <c r="CY115" i="2"/>
  <c r="CY91" i="2"/>
  <c r="CY196" i="2"/>
  <c r="CY11" i="2"/>
  <c r="CY104" i="2"/>
  <c r="CY174" i="2"/>
  <c r="CY60" i="2"/>
  <c r="CY100" i="2"/>
  <c r="CY175" i="2"/>
  <c r="CY161" i="2"/>
  <c r="CY38" i="2"/>
  <c r="CY192" i="2"/>
  <c r="CY76" i="2"/>
  <c r="CY108" i="2"/>
  <c r="CY142" i="2"/>
  <c r="CY73" i="2"/>
  <c r="CY159" i="2"/>
  <c r="CY182" i="2"/>
  <c r="CY147" i="2"/>
  <c r="CD60" i="2"/>
  <c r="CD70" i="2"/>
  <c r="CD103" i="2"/>
  <c r="CD18" i="2"/>
  <c r="CD30" i="2"/>
  <c r="CD9" i="2"/>
  <c r="CD50" i="2"/>
  <c r="CD96" i="2"/>
  <c r="CD125" i="2"/>
  <c r="CD141" i="2"/>
  <c r="CD184" i="2"/>
  <c r="CD119" i="2"/>
  <c r="CD150" i="2"/>
  <c r="CD155" i="2"/>
  <c r="CD44" i="2"/>
  <c r="CD200" i="2"/>
  <c r="CD15" i="2"/>
  <c r="CD180" i="2"/>
  <c r="CD132" i="2"/>
  <c r="CD85" i="2"/>
  <c r="CD118" i="2"/>
  <c r="CD127" i="2"/>
  <c r="CD175" i="2"/>
  <c r="CD82" i="2"/>
  <c r="CD29" i="2"/>
  <c r="CD55" i="2"/>
  <c r="CD27" i="2"/>
  <c r="CD72" i="2"/>
  <c r="CD203" i="2"/>
  <c r="CD147" i="2"/>
  <c r="CD151" i="2"/>
  <c r="CD22" i="2"/>
  <c r="CD139" i="2"/>
  <c r="CD143" i="2"/>
  <c r="CD26" i="2"/>
  <c r="CD146" i="2"/>
  <c r="CD126" i="2"/>
  <c r="CD192" i="2"/>
  <c r="CD174" i="2"/>
  <c r="CD80" i="2"/>
  <c r="CD137" i="2"/>
  <c r="CD32" i="2"/>
  <c r="CD138" i="2"/>
  <c r="CD93" i="2"/>
  <c r="CD111" i="2"/>
  <c r="CD168" i="2"/>
  <c r="CD100" i="2"/>
  <c r="CD24" i="2"/>
  <c r="CD196" i="2"/>
  <c r="CD110" i="2"/>
  <c r="CD48" i="2"/>
  <c r="CD123" i="2"/>
  <c r="CD159" i="2"/>
  <c r="CD54" i="2"/>
  <c r="CD154" i="2"/>
  <c r="CD41" i="2"/>
  <c r="CD152" i="2"/>
  <c r="CD88" i="2"/>
  <c r="CD194" i="2"/>
  <c r="CD83" i="2"/>
  <c r="CD17" i="2"/>
  <c r="CD4" i="2"/>
  <c r="CD182" i="2"/>
  <c r="CD106" i="2"/>
  <c r="CD115" i="2"/>
  <c r="CD43" i="2"/>
  <c r="CD148" i="2"/>
  <c r="CD133" i="2"/>
  <c r="CD160" i="2"/>
  <c r="CD89" i="2"/>
  <c r="CD164" i="2"/>
  <c r="CD13" i="2"/>
  <c r="CD91" i="2"/>
  <c r="CD129" i="2"/>
  <c r="CD52" i="2"/>
  <c r="CD68" i="2"/>
  <c r="CD181" i="2"/>
  <c r="CD38" i="2"/>
  <c r="CD104" i="2"/>
  <c r="CD53" i="2"/>
  <c r="CD74" i="2"/>
  <c r="CD156" i="2"/>
  <c r="CD99" i="2"/>
  <c r="CD64" i="2"/>
  <c r="CD198" i="2"/>
  <c r="CD135" i="2"/>
  <c r="CD61" i="2"/>
  <c r="CD37" i="2"/>
  <c r="CD39" i="2"/>
  <c r="CD56" i="2"/>
  <c r="CD189" i="2"/>
  <c r="CD36" i="2"/>
  <c r="CD7" i="2"/>
  <c r="CD117" i="2"/>
  <c r="CD78" i="2"/>
  <c r="CD87" i="2"/>
  <c r="CD134" i="2"/>
  <c r="CD153" i="2"/>
  <c r="CD188" i="2"/>
  <c r="CD178" i="2"/>
  <c r="CD124" i="2"/>
  <c r="CD16" i="2"/>
  <c r="CD5" i="2"/>
  <c r="CD65" i="2"/>
  <c r="CD169" i="2"/>
  <c r="CD149" i="2"/>
  <c r="CD114" i="2"/>
  <c r="CD171" i="2"/>
  <c r="CD179" i="2"/>
  <c r="CD40" i="2"/>
  <c r="CD130" i="2"/>
  <c r="CD76" i="2"/>
  <c r="CD14" i="2"/>
  <c r="CD116" i="2"/>
  <c r="CD177" i="2"/>
  <c r="CD101" i="2"/>
  <c r="CD144" i="2"/>
  <c r="CD195" i="2"/>
  <c r="CD75" i="2"/>
  <c r="CD161" i="2"/>
  <c r="CD12" i="2"/>
  <c r="CD128" i="2"/>
  <c r="CD67" i="2"/>
  <c r="CD94" i="2"/>
  <c r="CD136" i="2"/>
  <c r="CD185" i="2"/>
  <c r="CD81" i="2"/>
  <c r="CD42" i="2"/>
  <c r="CD21" i="2"/>
  <c r="CD112" i="2"/>
  <c r="CD140" i="2"/>
  <c r="CD121" i="2"/>
  <c r="CD11" i="2"/>
  <c r="CD49" i="2"/>
  <c r="CD162" i="2"/>
  <c r="CD23" i="2"/>
  <c r="CD6" i="2"/>
  <c r="CD142" i="2"/>
  <c r="CD63" i="2"/>
  <c r="CD35" i="2"/>
  <c r="CD131" i="2"/>
  <c r="CD71" i="2"/>
  <c r="CD10" i="2"/>
  <c r="CD201" i="2"/>
  <c r="CD187" i="2"/>
  <c r="CD90" i="2"/>
  <c r="CD66" i="2"/>
  <c r="CD33" i="2"/>
  <c r="CD20" i="2"/>
  <c r="CD97" i="2"/>
  <c r="CD165" i="2"/>
  <c r="CD92" i="2"/>
  <c r="CD79" i="2"/>
  <c r="CD163" i="2"/>
  <c r="CD202" i="2"/>
  <c r="CD173" i="2"/>
  <c r="CD172" i="2"/>
  <c r="CD199" i="2"/>
  <c r="CD86" i="2"/>
  <c r="CD47" i="2"/>
  <c r="CD108" i="2"/>
  <c r="CD183" i="2"/>
  <c r="CD105" i="2"/>
  <c r="CD25" i="2"/>
  <c r="CD69" i="2"/>
  <c r="CD167" i="2"/>
  <c r="CD170" i="2"/>
  <c r="CD166" i="2"/>
  <c r="CD109" i="2"/>
  <c r="CD191" i="2"/>
  <c r="CD73" i="2"/>
  <c r="CD157" i="2"/>
  <c r="CD102" i="2"/>
  <c r="CD57" i="2"/>
  <c r="CD122" i="2"/>
  <c r="CD98" i="2"/>
  <c r="CD113" i="2"/>
  <c r="CD176" i="2"/>
  <c r="CD84" i="2"/>
  <c r="CD95" i="2"/>
  <c r="CD190" i="2"/>
  <c r="CD158" i="2"/>
  <c r="CD3" i="2"/>
  <c r="C9" i="4" s="1"/>
  <c r="E9" i="4" s="1"/>
  <c r="F9" i="4" s="1"/>
  <c r="G9" i="4" s="1"/>
  <c r="L9" i="4" s="1"/>
  <c r="CD19" i="2"/>
  <c r="CD58" i="2"/>
  <c r="CD45" i="2"/>
  <c r="CD107" i="2"/>
  <c r="CD28" i="2"/>
  <c r="CD51" i="2"/>
  <c r="CD120" i="2"/>
  <c r="CD197" i="2"/>
  <c r="CD8" i="2"/>
  <c r="CD145" i="2"/>
  <c r="CD46" i="2"/>
  <c r="CD186" i="2"/>
  <c r="CD59" i="2"/>
  <c r="CD62" i="2"/>
  <c r="CD34" i="2"/>
  <c r="CD193" i="2"/>
  <c r="CD77" i="2"/>
  <c r="CD31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I47" i="2" s="1"/>
  <c r="BE105" i="2"/>
  <c r="BS103" i="2"/>
  <c r="BI181" i="2" l="1"/>
  <c r="BI122" i="2"/>
  <c r="BI138" i="2"/>
  <c r="BI32" i="2"/>
  <c r="BI81" i="2"/>
  <c r="BI102" i="2"/>
  <c r="BI54" i="2"/>
  <c r="BI65" i="2"/>
  <c r="BI46" i="2"/>
  <c r="BI110" i="2"/>
  <c r="BI188" i="2"/>
  <c r="BI22" i="2"/>
  <c r="BI185" i="2"/>
  <c r="BI195" i="2"/>
  <c r="BI183" i="2"/>
  <c r="BI174" i="2"/>
  <c r="BI49" i="2"/>
  <c r="BI107" i="2"/>
  <c r="BI203" i="2"/>
  <c r="BI200" i="2"/>
  <c r="BI51" i="2"/>
  <c r="BI71" i="2"/>
  <c r="BI18" i="2"/>
  <c r="BI83" i="2"/>
  <c r="BI48" i="2"/>
  <c r="BI3" i="2"/>
  <c r="C8" i="4" s="1"/>
  <c r="E8" i="4" s="1"/>
  <c r="F8" i="4" s="1"/>
  <c r="G8" i="4" s="1"/>
  <c r="L8" i="4" s="1"/>
  <c r="BI153" i="2"/>
  <c r="BI82" i="2"/>
  <c r="BI5" i="2"/>
  <c r="BI24" i="2"/>
  <c r="BI17" i="2"/>
  <c r="BI43" i="2"/>
  <c r="BI202" i="2"/>
  <c r="BI109" i="2"/>
  <c r="BI123" i="2"/>
  <c r="BI169" i="2"/>
  <c r="BI193" i="2"/>
  <c r="BI10" i="2"/>
  <c r="BI140" i="2"/>
  <c r="BI156" i="2"/>
  <c r="BI162" i="2"/>
  <c r="BI165" i="2"/>
  <c r="BI86" i="2"/>
  <c r="BI170" i="2"/>
  <c r="BI78" i="2"/>
  <c r="BI114" i="2"/>
  <c r="BI62" i="2"/>
  <c r="BI143" i="2"/>
  <c r="BI159" i="2"/>
  <c r="BI160" i="2"/>
  <c r="BI125" i="2"/>
  <c r="BI164" i="2"/>
  <c r="BI63" i="2"/>
  <c r="BI79" i="2"/>
  <c r="BI137" i="2"/>
  <c r="BI178" i="2"/>
  <c r="BI106" i="2"/>
  <c r="BI108" i="2"/>
  <c r="BI179" i="2"/>
  <c r="BI144" i="2"/>
  <c r="BI155" i="2"/>
  <c r="BI77" i="2"/>
  <c r="BI163" i="2"/>
  <c r="BI93" i="2"/>
  <c r="BI157" i="2"/>
  <c r="BI132" i="2"/>
  <c r="BI37" i="2"/>
  <c r="BI9" i="2"/>
  <c r="BI84" i="2"/>
  <c r="BI15" i="2"/>
  <c r="BI124" i="2"/>
  <c r="BI90" i="2"/>
  <c r="BI36" i="2"/>
  <c r="BI158" i="2"/>
  <c r="BI20" i="2"/>
  <c r="BI91" i="2"/>
  <c r="BI142" i="2"/>
  <c r="BI87" i="2"/>
  <c r="BI145" i="2"/>
  <c r="BI182" i="2"/>
  <c r="BI186" i="2"/>
  <c r="BI72" i="2"/>
  <c r="BI7" i="2"/>
  <c r="BI129" i="2"/>
  <c r="BI21" i="2"/>
  <c r="BI101" i="2"/>
  <c r="BI33" i="2"/>
  <c r="BI68" i="2"/>
  <c r="BI44" i="2"/>
  <c r="BI175" i="2"/>
  <c r="BI189" i="2"/>
  <c r="BI12" i="2"/>
  <c r="BI64" i="2"/>
  <c r="BI100" i="2"/>
  <c r="BI35" i="2"/>
  <c r="BI136" i="2"/>
  <c r="BI134" i="2"/>
  <c r="BI105" i="2"/>
  <c r="BI113" i="2"/>
  <c r="BI34" i="2"/>
  <c r="BI42" i="2"/>
  <c r="BI104" i="2"/>
  <c r="BI194" i="2"/>
  <c r="BI14" i="2"/>
  <c r="BI115" i="2"/>
  <c r="BI55" i="2"/>
  <c r="BI176" i="2"/>
  <c r="BI119" i="2"/>
  <c r="BI133" i="2"/>
  <c r="BI187" i="2"/>
  <c r="BI173" i="2"/>
  <c r="BI80" i="2"/>
  <c r="BI66" i="2"/>
  <c r="BI111" i="2"/>
  <c r="BI127" i="2"/>
  <c r="BI118" i="2"/>
  <c r="BI13" i="2"/>
  <c r="BI184" i="2"/>
  <c r="BI85" i="2"/>
  <c r="BI150" i="2"/>
  <c r="BI38" i="2"/>
  <c r="BI139" i="2"/>
  <c r="BI168" i="2"/>
  <c r="BI27" i="2"/>
  <c r="BI29" i="2"/>
  <c r="BI16" i="2"/>
  <c r="BI19" i="2"/>
  <c r="BI70" i="2"/>
  <c r="BI94" i="2"/>
  <c r="BI192" i="2"/>
  <c r="BI92" i="2"/>
  <c r="BI172" i="2"/>
  <c r="BI45" i="2"/>
  <c r="BI28" i="2"/>
  <c r="BI177" i="2"/>
  <c r="BI23" i="2"/>
  <c r="BI75" i="2"/>
  <c r="BI180" i="2"/>
  <c r="BI58" i="2"/>
  <c r="BI126" i="2"/>
  <c r="BI73" i="2"/>
  <c r="BI151" i="2"/>
  <c r="BI40" i="2"/>
  <c r="BI98" i="2"/>
  <c r="BI135" i="2"/>
  <c r="BI60" i="2"/>
  <c r="BI154" i="2"/>
  <c r="BI146" i="2"/>
  <c r="BI31" i="2"/>
  <c r="BI59" i="2"/>
  <c r="BI95" i="2"/>
  <c r="BI26" i="2"/>
  <c r="BI167" i="2"/>
  <c r="BI128" i="2"/>
  <c r="BI61" i="2"/>
  <c r="BI56" i="2"/>
  <c r="BI99" i="2"/>
  <c r="BI120" i="2"/>
  <c r="BI152" i="2"/>
  <c r="BI131" i="2"/>
  <c r="BI88" i="2"/>
  <c r="BI97" i="2"/>
  <c r="BI69" i="2"/>
  <c r="BI147" i="2"/>
  <c r="BI198" i="2"/>
  <c r="BI39" i="2"/>
  <c r="BI201" i="2"/>
  <c r="BI197" i="2"/>
  <c r="BI52" i="2"/>
  <c r="BI11" i="2"/>
  <c r="BI112" i="2"/>
  <c r="BI74" i="2"/>
  <c r="BI141" i="2"/>
  <c r="BI57" i="2"/>
  <c r="BI190" i="2"/>
  <c r="BI53" i="2"/>
  <c r="BI25" i="2"/>
  <c r="BI166" i="2"/>
  <c r="BI148" i="2"/>
  <c r="BI6" i="2"/>
  <c r="BI8" i="2"/>
  <c r="BI76" i="2"/>
  <c r="BI30" i="2"/>
  <c r="BI89" i="2"/>
  <c r="BI116" i="2"/>
  <c r="BI196" i="2"/>
  <c r="BI41" i="2"/>
  <c r="BI121" i="2"/>
  <c r="BI171" i="2"/>
  <c r="BI191" i="2"/>
  <c r="BI96" i="2"/>
  <c r="BI149" i="2"/>
  <c r="BI130" i="2"/>
  <c r="BI117" i="2"/>
  <c r="BI50" i="2"/>
  <c r="BI199" i="2"/>
  <c r="BI4" i="2"/>
  <c r="BI67" i="2"/>
  <c r="BI161" i="2"/>
  <c r="BI103" i="2"/>
  <c r="FE193" i="2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<sst xmlns="http://schemas.openxmlformats.org/spreadsheetml/2006/main" count="1174" uniqueCount="324">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</sst>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179.17198857385839</c:v>
                </c:pt>
                <c:pt idx="25">
                  <c:v>198.66710978758559</c:v>
                </c:pt>
                <c:pt idx="26">
                  <c:v>218.14017912965292</c:v>
                </c:pt>
                <c:pt idx="27">
                  <c:v>237.57329645777699</c:v>
                </c:pt>
                <c:pt idx="28">
                  <c:v>256.97018935365219</c:v>
                </c:pt>
                <c:pt idx="29">
                  <c:v>276.33397636592599</c:v>
                </c:pt>
                <c:pt idx="30">
                  <c:v>233.28692088602762</c:v>
                </c:pt>
                <c:pt idx="31">
                  <c:v>251.52986006510639</c:v>
                </c:pt>
                <c:pt idx="32">
                  <c:v>269.74281909874736</c:v>
                </c:pt>
                <c:pt idx="33">
                  <c:v>287.92810676308375</c:v>
                </c:pt>
                <c:pt idx="34">
                  <c:v>306.08771631790279</c:v>
                </c:pt>
                <c:pt idx="35">
                  <c:v>324.77611046953086</c:v>
                </c:pt>
                <c:pt idx="36">
                  <c:v>343.44074860711902</c:v>
                </c:pt>
                <c:pt idx="37">
                  <c:v>277.64048093700967</c:v>
                </c:pt>
                <c:pt idx="38">
                  <c:v>294.48954060352372</c:v>
                </c:pt>
                <c:pt idx="39">
                  <c:v>311.31709651831665</c:v>
                </c:pt>
                <c:pt idx="40">
                  <c:v>328.12447444010132</c:v>
                </c:pt>
                <c:pt idx="41">
                  <c:v>344.91285322325461</c:v>
                </c:pt>
                <c:pt idx="42">
                  <c:v>361.68328760369928</c:v>
                </c:pt>
                <c:pt idx="43">
                  <c:v>378.43672653622247</c:v>
                </c:pt>
                <c:pt idx="44">
                  <c:v>395.17402811417605</c:v>
                </c:pt>
                <c:pt idx="45">
                  <c:v>327.7803309925909</c:v>
                </c:pt>
                <c:pt idx="46">
                  <c:v>342.65491458987907</c:v>
                </c:pt>
                <c:pt idx="47">
                  <c:v>357.515309385075</c:v>
                </c:pt>
                <c:pt idx="48">
                  <c:v>372.36218816092588</c:v>
                </c:pt>
                <c:pt idx="49">
                  <c:v>387.19616567314239</c:v>
                </c:pt>
                <c:pt idx="50">
                  <c:v>402.01780573308946</c:v>
                </c:pt>
                <c:pt idx="51">
                  <c:v>416.82762719136457</c:v>
                </c:pt>
                <c:pt idx="52">
                  <c:v>431.62610902660208</c:v>
                </c:pt>
                <c:pt idx="53">
                  <c:v>366.26587036399184</c:v>
                </c:pt>
                <c:pt idx="54">
                  <c:v>379.56512784230631</c:v>
                </c:pt>
                <c:pt idx="55">
                  <c:v>392.85424897119748</c:v>
                </c:pt>
                <c:pt idx="56">
                  <c:v>406.13362494673265</c:v>
                </c:pt>
                <c:pt idx="57">
                  <c:v>419.40361929545026</c:v>
                </c:pt>
                <c:pt idx="58">
                  <c:v>432.66457066342628</c:v>
                </c:pt>
                <c:pt idx="59">
                  <c:v>445.91679524557208</c:v>
                </c:pt>
                <c:pt idx="60">
                  <c:v>459.1605889111022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167840"/>
        <c:axId val="1492177088"/>
      </c:scatterChart>
      <c:valAx>
        <c:axId val="1492167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7088"/>
        <c:crosses val="autoZero"/>
        <c:crossBetween val="midCat"/>
      </c:valAx>
      <c:valAx>
        <c:axId val="149217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67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175456"/>
        <c:axId val="1492164576"/>
      </c:scatterChart>
      <c:valAx>
        <c:axId val="1492175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64576"/>
        <c:crosses val="autoZero"/>
        <c:crossBetween val="midCat"/>
      </c:valAx>
      <c:valAx>
        <c:axId val="149216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5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67.141068601994363</c:v>
                </c:pt>
                <c:pt idx="17">
                  <c:v>84.965895845508868</c:v>
                </c:pt>
                <c:pt idx="18">
                  <c:v>102.69609677832152</c:v>
                </c:pt>
                <c:pt idx="19">
                  <c:v>120.35039026570223</c:v>
                </c:pt>
                <c:pt idx="20">
                  <c:v>137.94151075020798</c:v>
                </c:pt>
                <c:pt idx="21">
                  <c:v>155.47866232925674</c:v>
                </c:pt>
                <c:pt idx="22">
                  <c:v>172.96879566591463</c:v>
                </c:pt>
                <c:pt idx="23">
                  <c:v>118.91172145652443</c:v>
                </c:pt>
                <c:pt idx="24">
                  <c:v>133.60360008678595</c:v>
                </c:pt>
                <c:pt idx="25">
                  <c:v>151.40834557678431</c:v>
                </c:pt>
                <c:pt idx="26">
                  <c:v>169.16318954630938</c:v>
                </c:pt>
                <c:pt idx="27">
                  <c:v>186.87411053311584</c:v>
                </c:pt>
                <c:pt idx="28">
                  <c:v>158.76051047616974</c:v>
                </c:pt>
                <c:pt idx="29">
                  <c:v>175.59896515661092</c:v>
                </c:pt>
                <c:pt idx="30">
                  <c:v>192.39950654022343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242.60830522574884</c:v>
                </c:pt>
                <c:pt idx="34">
                  <c:v>203.58097513744312</c:v>
                </c:pt>
                <c:pt idx="35">
                  <c:v>220.02792534458783</c:v>
                </c:pt>
                <c:pt idx="36">
                  <c:v>236.44664825214025</c:v>
                </c:pt>
                <c:pt idx="37">
                  <c:v>252.83938003643593</c:v>
                </c:pt>
                <c:pt idx="38">
                  <c:v>269.20804307840717</c:v>
                </c:pt>
                <c:pt idx="39">
                  <c:v>285.5543068085463</c:v>
                </c:pt>
                <c:pt idx="40">
                  <c:v>301.87963387321696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288.86291050410284</c:v>
                </c:pt>
                <c:pt idx="45">
                  <c:v>304.0589372536673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171104"/>
        <c:axId val="1492171648"/>
      </c:scatterChart>
      <c:valAx>
        <c:axId val="1492171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1648"/>
        <c:crosses val="autoZero"/>
        <c:crossBetween val="midCat"/>
      </c:valAx>
      <c:valAx>
        <c:axId val="149217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1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164.17879436035102</c:v>
                </c:pt>
                <c:pt idx="32">
                  <c:v>174.52072725964572</c:v>
                </c:pt>
                <c:pt idx="33">
                  <c:v>184.84826514493383</c:v>
                </c:pt>
                <c:pt idx="34">
                  <c:v>195.16232639601046</c:v>
                </c:pt>
                <c:pt idx="35">
                  <c:v>205.46372427529786</c:v>
                </c:pt>
                <c:pt idx="36">
                  <c:v>215.7531837424614</c:v>
                </c:pt>
                <c:pt idx="37">
                  <c:v>227.19267517809314</c:v>
                </c:pt>
                <c:pt idx="38">
                  <c:v>238.61898396081872</c:v>
                </c:pt>
                <c:pt idx="39">
                  <c:v>250.03283068588925</c:v>
                </c:pt>
                <c:pt idx="40">
                  <c:v>261.4348647376932</c:v>
                </c:pt>
                <c:pt idx="41">
                  <c:v>272.8256741928891</c:v>
                </c:pt>
                <c:pt idx="42">
                  <c:v>284.20579398162147</c:v>
                </c:pt>
                <c:pt idx="43">
                  <c:v>296.2968499993928</c:v>
                </c:pt>
                <c:pt idx="44">
                  <c:v>308.37690605489189</c:v>
                </c:pt>
                <c:pt idx="45">
                  <c:v>320.4464539164232</c:v>
                </c:pt>
                <c:pt idx="46">
                  <c:v>332.50594526961692</c:v>
                </c:pt>
                <c:pt idx="47">
                  <c:v>345.100009913561</c:v>
                </c:pt>
                <c:pt idx="48">
                  <c:v>357.68398176809529</c:v>
                </c:pt>
                <c:pt idx="49">
                  <c:v>370.25826600777145</c:v>
                </c:pt>
                <c:pt idx="50">
                  <c:v>382.82323803634176</c:v>
                </c:pt>
                <c:pt idx="51">
                  <c:v>395.37924660026198</c:v>
                </c:pt>
                <c:pt idx="52">
                  <c:v>236.25024475085797</c:v>
                </c:pt>
                <c:pt idx="53">
                  <c:v>247.59615286649523</c:v>
                </c:pt>
                <c:pt idx="54">
                  <c:v>258.93026223231544</c:v>
                </c:pt>
                <c:pt idx="55">
                  <c:v>270.25316238981299</c:v>
                </c:pt>
                <c:pt idx="56">
                  <c:v>281.56538941412151</c:v>
                </c:pt>
                <c:pt idx="57">
                  <c:v>292.67919777140122</c:v>
                </c:pt>
                <c:pt idx="58">
                  <c:v>303.78358590566455</c:v>
                </c:pt>
                <c:pt idx="59">
                  <c:v>314.87894685838495</c:v>
                </c:pt>
                <c:pt idx="60">
                  <c:v>325.96564369687246</c:v>
                </c:pt>
                <c:pt idx="61">
                  <c:v>337.04401276379809</c:v>
                </c:pt>
                <c:pt idx="62">
                  <c:v>252.21456919520082</c:v>
                </c:pt>
                <c:pt idx="63">
                  <c:v>262.44542146430371</c:v>
                </c:pt>
                <c:pt idx="64">
                  <c:v>272.66727459691919</c:v>
                </c:pt>
                <c:pt idx="65">
                  <c:v>282.88051374655544</c:v>
                </c:pt>
                <c:pt idx="66">
                  <c:v>293.08549396442731</c:v>
                </c:pt>
                <c:pt idx="67">
                  <c:v>303.28254354108361</c:v>
                </c:pt>
                <c:pt idx="68">
                  <c:v>313.75825241617503</c:v>
                </c:pt>
                <c:pt idx="69">
                  <c:v>324.22620744324951</c:v>
                </c:pt>
                <c:pt idx="70">
                  <c:v>334.68669438075693</c:v>
                </c:pt>
                <c:pt idx="71">
                  <c:v>345.13997965752463</c:v>
                </c:pt>
                <c:pt idx="72">
                  <c:v>355.58631223872908</c:v>
                </c:pt>
                <c:pt idx="73">
                  <c:v>366.02592526105178</c:v>
                </c:pt>
                <c:pt idx="74">
                  <c:v>281.81632883541471</c:v>
                </c:pt>
                <c:pt idx="75">
                  <c:v>291.28277988050223</c:v>
                </c:pt>
                <c:pt idx="76">
                  <c:v>300.74236004002967</c:v>
                </c:pt>
                <c:pt idx="77">
                  <c:v>310.19531605992989</c:v>
                </c:pt>
                <c:pt idx="78">
                  <c:v>319.64187840887752</c:v>
                </c:pt>
                <c:pt idx="79">
                  <c:v>329.08226281184687</c:v>
                </c:pt>
                <c:pt idx="80">
                  <c:v>338.69481657281057</c:v>
                </c:pt>
                <c:pt idx="81">
                  <c:v>348.30136779641333</c:v>
                </c:pt>
                <c:pt idx="82">
                  <c:v>357.90210547556256</c:v>
                </c:pt>
                <c:pt idx="83">
                  <c:v>367.49720763064016</c:v>
                </c:pt>
                <c:pt idx="84">
                  <c:v>377.08684222260217</c:v>
                </c:pt>
                <c:pt idx="85">
                  <c:v>386.67116796831192</c:v>
                </c:pt>
                <c:pt idx="86">
                  <c:v>310.20302068238692</c:v>
                </c:pt>
                <c:pt idx="87">
                  <c:v>318.88345757459672</c:v>
                </c:pt>
                <c:pt idx="88">
                  <c:v>327.55866418727197</c:v>
                </c:pt>
                <c:pt idx="89">
                  <c:v>336.22879868133322</c:v>
                </c:pt>
                <c:pt idx="90">
                  <c:v>344.89401038910336</c:v>
                </c:pt>
                <c:pt idx="91">
                  <c:v>353.55444052140371</c:v>
                </c:pt>
                <c:pt idx="92">
                  <c:v>362.31388021108506</c:v>
                </c:pt>
                <c:pt idx="93">
                  <c:v>371.06869139569397</c:v>
                </c:pt>
                <c:pt idx="94">
                  <c:v>379.81899874468559</c:v>
                </c:pt>
                <c:pt idx="95">
                  <c:v>388.5649207110805</c:v>
                </c:pt>
                <c:pt idx="96">
                  <c:v>397.30656997742796</c:v>
                </c:pt>
                <c:pt idx="97">
                  <c:v>406.04405386046113</c:v>
                </c:pt>
                <c:pt idx="98">
                  <c:v>334.39312563623611</c:v>
                </c:pt>
                <c:pt idx="99">
                  <c:v>342.24703403704711</c:v>
                </c:pt>
                <c:pt idx="100">
                  <c:v>350.09698079823971</c:v>
                </c:pt>
                <c:pt idx="101">
                  <c:v>357.94306734951584</c:v>
                </c:pt>
                <c:pt idx="102">
                  <c:v>365.78539030752995</c:v>
                </c:pt>
                <c:pt idx="103">
                  <c:v>373.62404180484197</c:v>
                </c:pt>
                <c:pt idx="104">
                  <c:v>381.51151922303688</c:v>
                </c:pt>
                <c:pt idx="105">
                  <c:v>389.39545073608275</c:v>
                </c:pt>
                <c:pt idx="106">
                  <c:v>397.27591831089313</c:v>
                </c:pt>
                <c:pt idx="107">
                  <c:v>405.15300039508844</c:v>
                </c:pt>
                <c:pt idx="108">
                  <c:v>413.02677213508395</c:v>
                </c:pt>
                <c:pt idx="109">
                  <c:v>420.89730557667355</c:v>
                </c:pt>
                <c:pt idx="110">
                  <c:v>347.56231546624485</c:v>
                </c:pt>
                <c:pt idx="111">
                  <c:v>354.64786759228605</c:v>
                </c:pt>
                <c:pt idx="112">
                  <c:v>361.73031893174408</c:v>
                </c:pt>
                <c:pt idx="113">
                  <c:v>368.80973881426411</c:v>
                </c:pt>
                <c:pt idx="114">
                  <c:v>375.88619368839113</c:v>
                </c:pt>
                <c:pt idx="115">
                  <c:v>382.95974729448511</c:v>
                </c:pt>
                <c:pt idx="116">
                  <c:v>390.02023951163727</c:v>
                </c:pt>
                <c:pt idx="117">
                  <c:v>397.07795839700185</c:v>
                </c:pt>
                <c:pt idx="118">
                  <c:v>404.1329602354952</c:v>
                </c:pt>
                <c:pt idx="119">
                  <c:v>411.18529918508119</c:v>
                </c:pt>
                <c:pt idx="120">
                  <c:v>418.23502739305417</c:v>
                </c:pt>
                <c:pt idx="121">
                  <c:v>425.2821951040678</c:v>
                </c:pt>
                <c:pt idx="122">
                  <c:v>223.15332793340858</c:v>
                </c:pt>
                <c:pt idx="123">
                  <c:v>228.35256653094208</c:v>
                </c:pt>
                <c:pt idx="124">
                  <c:v>233.54909656198768</c:v>
                </c:pt>
                <c:pt idx="125">
                  <c:v>238.74298690714295</c:v>
                </c:pt>
                <c:pt idx="126">
                  <c:v>243.93430319999149</c:v>
                </c:pt>
                <c:pt idx="127">
                  <c:v>248.62911644730318</c:v>
                </c:pt>
                <c:pt idx="128">
                  <c:v>253.32191818238957</c:v>
                </c:pt>
                <c:pt idx="129">
                  <c:v>258.01275099580988</c:v>
                </c:pt>
                <c:pt idx="130">
                  <c:v>262.70165580030135</c:v>
                </c:pt>
                <c:pt idx="131">
                  <c:v>267.38867192633217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165664"/>
        <c:axId val="1492165120"/>
      </c:scatterChart>
      <c:valAx>
        <c:axId val="1492165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65120"/>
        <c:crosses val="autoZero"/>
        <c:crossBetween val="midCat"/>
      </c:valAx>
      <c:valAx>
        <c:axId val="149216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65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2.9625898878490471</c:v>
                </c:pt>
                <c:pt idx="2">
                  <c:v>3.4039612784800823</c:v>
                </c:pt>
                <c:pt idx="3">
                  <c:v>3.9113232846574237</c:v>
                </c:pt>
                <c:pt idx="4">
                  <c:v>4.4945754388931123</c:v>
                </c:pt>
                <c:pt idx="5">
                  <c:v>5.1651070019607603</c:v>
                </c:pt>
                <c:pt idx="6">
                  <c:v>5.9360217973536349</c:v>
                </c:pt>
                <c:pt idx="7">
                  <c:v>6.8223970697716476</c:v>
                </c:pt>
                <c:pt idx="8">
                  <c:v>7.8415815291955733</c:v>
                </c:pt>
                <c:pt idx="9">
                  <c:v>9.0135385269017352</c:v>
                </c:pt>
                <c:pt idx="10">
                  <c:v>10.361241214135799</c:v>
                </c:pt>
                <c:pt idx="11">
                  <c:v>11.911127576351623</c:v>
                </c:pt>
                <c:pt idx="12">
                  <c:v>13.693624436972533</c:v>
                </c:pt>
                <c:pt idx="13">
                  <c:v>15.743750908808332</c:v>
                </c:pt>
                <c:pt idx="14">
                  <c:v>18.101813366532504</c:v>
                </c:pt>
                <c:pt idx="15">
                  <c:v>20.814205852241191</c:v>
                </c:pt>
                <c:pt idx="16">
                  <c:v>23.934331945263509</c:v>
                </c:pt>
                <c:pt idx="17">
                  <c:v>27.523666569948592</c:v>
                </c:pt>
                <c:pt idx="18">
                  <c:v>31.652979030557692</c:v>
                </c:pt>
                <c:pt idx="19">
                  <c:v>36.403741807649943</c:v>
                </c:pt>
                <c:pt idx="20">
                  <c:v>41.869753391206821</c:v>
                </c:pt>
                <c:pt idx="21">
                  <c:v>48.159007738002209</c:v>
                </c:pt>
                <c:pt idx="22">
                  <c:v>55.395847911812147</c:v>
                </c:pt>
                <c:pt idx="23">
                  <c:v>63.723447195789056</c:v>
                </c:pt>
                <c:pt idx="24">
                  <c:v>73.306667572960549</c:v>
                </c:pt>
                <c:pt idx="25">
                  <c:v>84.335353087442456</c:v>
                </c:pt>
                <c:pt idx="26">
                  <c:v>97.028124380213498</c:v>
                </c:pt>
                <c:pt idx="27">
                  <c:v>111.63675081753672</c:v>
                </c:pt>
                <c:pt idx="28">
                  <c:v>128.45118830302636</c:v>
                </c:pt>
                <c:pt idx="29">
                  <c:v>147.8053843231921</c:v>
                </c:pt>
                <c:pt idx="30">
                  <c:v>170.08396729468322</c:v>
                </c:pt>
                <c:pt idx="31">
                  <c:v>182.12930577135731</c:v>
                </c:pt>
                <c:pt idx="32">
                  <c:v>194.15601061422299</c:v>
                </c:pt>
                <c:pt idx="33">
                  <c:v>206.16539946406169</c:v>
                </c:pt>
                <c:pt idx="34">
                  <c:v>218.15862375664324</c:v>
                </c:pt>
                <c:pt idx="35">
                  <c:v>230.13669787148163</c:v>
                </c:pt>
                <c:pt idx="36">
                  <c:v>242.1005218850687</c:v>
                </c:pt>
                <c:pt idx="37">
                  <c:v>254.05089958511962</c:v>
                </c:pt>
                <c:pt idx="38">
                  <c:v>265.98855291397268</c:v>
                </c:pt>
                <c:pt idx="39">
                  <c:v>277.91413368078207</c:v>
                </c:pt>
                <c:pt idx="40">
                  <c:v>289.82823315642196</c:v>
                </c:pt>
                <c:pt idx="41">
                  <c:v>301.73139000695488</c:v>
                </c:pt>
                <c:pt idx="42">
                  <c:v>313.62409690889746</c:v>
                </c:pt>
                <c:pt idx="43">
                  <c:v>245.00805956050655</c:v>
                </c:pt>
                <c:pt idx="44">
                  <c:v>260.58165546253059</c:v>
                </c:pt>
                <c:pt idx="45">
                  <c:v>276.13423636686611</c:v>
                </c:pt>
                <c:pt idx="46">
                  <c:v>291.66715257720426</c:v>
                </c:pt>
                <c:pt idx="47">
                  <c:v>307.18159879690614</c:v>
                </c:pt>
                <c:pt idx="48">
                  <c:v>322.67863917864548</c:v>
                </c:pt>
                <c:pt idx="49">
                  <c:v>338.15922730710088</c:v>
                </c:pt>
                <c:pt idx="50">
                  <c:v>353.62422232935836</c:v>
                </c:pt>
                <c:pt idx="51">
                  <c:v>305.54137138903656</c:v>
                </c:pt>
                <c:pt idx="52">
                  <c:v>321.22959956998579</c:v>
                </c:pt>
                <c:pt idx="53">
                  <c:v>336.90088345829662</c:v>
                </c:pt>
                <c:pt idx="54">
                  <c:v>352.5561221238242</c:v>
                </c:pt>
                <c:pt idx="55">
                  <c:v>368.19612827574588</c:v>
                </c:pt>
                <c:pt idx="56">
                  <c:v>383.82163995071102</c:v>
                </c:pt>
                <c:pt idx="57">
                  <c:v>399.43333019792385</c:v>
                </c:pt>
                <c:pt idx="58">
                  <c:v>415.03181517088069</c:v>
                </c:pt>
                <c:pt idx="59">
                  <c:v>352.63415132381471</c:v>
                </c:pt>
                <c:pt idx="60">
                  <c:v>367.76996710089202</c:v>
                </c:pt>
                <c:pt idx="61">
                  <c:v>382.89219046906697</c:v>
                </c:pt>
                <c:pt idx="62">
                  <c:v>398.0014337780226</c:v>
                </c:pt>
                <c:pt idx="63">
                  <c:v>413.09825909665619</c:v>
                </c:pt>
                <c:pt idx="64">
                  <c:v>428.18318406669545</c:v>
                </c:pt>
                <c:pt idx="65">
                  <c:v>443.25668688841051</c:v>
                </c:pt>
                <c:pt idx="66">
                  <c:v>458.3192105928365</c:v>
                </c:pt>
                <c:pt idx="67">
                  <c:v>388.33665130296413</c:v>
                </c:pt>
                <c:pt idx="68">
                  <c:v>402.79819590157155</c:v>
                </c:pt>
                <c:pt idx="69">
                  <c:v>417.24851308662295</c:v>
                </c:pt>
                <c:pt idx="70">
                  <c:v>431.68804640114007</c:v>
                </c:pt>
                <c:pt idx="71">
                  <c:v>446.11720729983131</c:v>
                </c:pt>
                <c:pt idx="72">
                  <c:v>460.53637845499702</c:v>
                </c:pt>
                <c:pt idx="73">
                  <c:v>474.94591662688066</c:v>
                </c:pt>
                <c:pt idx="74">
                  <c:v>489.34615516758663</c:v>
                </c:pt>
                <c:pt idx="75">
                  <c:v>424.07393973483869</c:v>
                </c:pt>
                <c:pt idx="76">
                  <c:v>438.15196797061236</c:v>
                </c:pt>
                <c:pt idx="77">
                  <c:v>452.22029640977235</c:v>
                </c:pt>
                <c:pt idx="78">
                  <c:v>466.27926926160961</c:v>
                </c:pt>
                <c:pt idx="79">
                  <c:v>480.32920828959851</c:v>
                </c:pt>
                <c:pt idx="80">
                  <c:v>494.3704149025466</c:v>
                </c:pt>
                <c:pt idx="81">
                  <c:v>508.40317199584666</c:v>
                </c:pt>
                <c:pt idx="82">
                  <c:v>522.42774557890573</c:v>
                </c:pt>
                <c:pt idx="83">
                  <c:v>536.44438621876964</c:v>
                </c:pt>
                <c:pt idx="84">
                  <c:v>550.45333032506289</c:v>
                </c:pt>
                <c:pt idx="85">
                  <c:v>462.40441544210557</c:v>
                </c:pt>
                <c:pt idx="86">
                  <c:v>475.84902171451205</c:v>
                </c:pt>
                <c:pt idx="87">
                  <c:v>489.28554888722721</c:v>
                </c:pt>
                <c:pt idx="88">
                  <c:v>502.71425004017493</c:v>
                </c:pt>
                <c:pt idx="89">
                  <c:v>516.13536363275159</c:v>
                </c:pt>
                <c:pt idx="90">
                  <c:v>529.54911471463799</c:v>
                </c:pt>
                <c:pt idx="91">
                  <c:v>542.95571600757273</c:v>
                </c:pt>
                <c:pt idx="92">
                  <c:v>556.35536887475484</c:v>
                </c:pt>
                <c:pt idx="93">
                  <c:v>569.74826419202441</c:v>
                </c:pt>
                <c:pt idx="94">
                  <c:v>583.13458313289823</c:v>
                </c:pt>
                <c:pt idx="95">
                  <c:v>494.84413775335452</c:v>
                </c:pt>
                <c:pt idx="96">
                  <c:v>507.88430142896306</c:v>
                </c:pt>
                <c:pt idx="97">
                  <c:v>520.9173902677295</c:v>
                </c:pt>
                <c:pt idx="98">
                  <c:v>533.94360618050712</c:v>
                </c:pt>
                <c:pt idx="99">
                  <c:v>546.96314042542838</c:v>
                </c:pt>
                <c:pt idx="100">
                  <c:v>559.97617441544344</c:v>
                </c:pt>
                <c:pt idx="101">
                  <c:v>572.9828804469131</c:v>
                </c:pt>
                <c:pt idx="102">
                  <c:v>585.98342235862708</c:v>
                </c:pt>
                <c:pt idx="103">
                  <c:v>598.977956129316</c:v>
                </c:pt>
                <c:pt idx="104">
                  <c:v>611.96663042063949</c:v>
                </c:pt>
                <c:pt idx="105">
                  <c:v>526.28574975059178</c:v>
                </c:pt>
                <c:pt idx="106">
                  <c:v>539.12636886315681</c:v>
                </c:pt>
                <c:pt idx="107">
                  <c:v>551.96056394883033</c:v>
                </c:pt>
                <c:pt idx="108">
                  <c:v>564.78850538740096</c:v>
                </c:pt>
                <c:pt idx="109">
                  <c:v>577.61035519017764</c:v>
                </c:pt>
                <c:pt idx="110">
                  <c:v>590.42626759155371</c:v>
                </c:pt>
                <c:pt idx="111">
                  <c:v>603.23638958655579</c:v>
                </c:pt>
                <c:pt idx="112">
                  <c:v>616.04086142037625</c:v>
                </c:pt>
                <c:pt idx="113">
                  <c:v>628.83981703510517</c:v>
                </c:pt>
                <c:pt idx="114">
                  <c:v>641.63338447821877</c:v>
                </c:pt>
                <c:pt idx="115">
                  <c:v>562.95926187241867</c:v>
                </c:pt>
                <c:pt idx="116">
                  <c:v>575.84374262094013</c:v>
                </c:pt>
                <c:pt idx="117">
                  <c:v>588.72220759118409</c:v>
                </c:pt>
                <c:pt idx="118">
                  <c:v>601.59480687828307</c:v>
                </c:pt>
                <c:pt idx="119">
                  <c:v>614.46168363268123</c:v>
                </c:pt>
                <c:pt idx="120">
                  <c:v>627.32297452318937</c:v>
                </c:pt>
                <c:pt idx="121">
                  <c:v>640.17881016011006</c:v>
                </c:pt>
                <c:pt idx="122">
                  <c:v>653.02931548262256</c:v>
                </c:pt>
                <c:pt idx="123">
                  <c:v>665.87461011410721</c:v>
                </c:pt>
                <c:pt idx="124">
                  <c:v>678.71480868863921</c:v>
                </c:pt>
                <c:pt idx="125">
                  <c:v>606.60703484605312</c:v>
                </c:pt>
                <c:pt idx="126">
                  <c:v>619.59096372498072</c:v>
                </c:pt>
                <c:pt idx="127">
                  <c:v>632.56925644620856</c:v>
                </c:pt>
                <c:pt idx="128">
                  <c:v>645.54204488948324</c:v>
                </c:pt>
                <c:pt idx="129">
                  <c:v>658.50945520432981</c:v>
                </c:pt>
                <c:pt idx="130">
                  <c:v>671.47160816932444</c:v>
                </c:pt>
                <c:pt idx="131">
                  <c:v>684.42861952219482</c:v>
                </c:pt>
                <c:pt idx="132">
                  <c:v>697.38060026364246</c:v>
                </c:pt>
                <c:pt idx="133">
                  <c:v>710.32765693743158</c:v>
                </c:pt>
                <c:pt idx="134">
                  <c:v>723.26989188901098</c:v>
                </c:pt>
                <c:pt idx="135">
                  <c:v>647.46058821147005</c:v>
                </c:pt>
                <c:pt idx="136">
                  <c:v>660.56956911636678</c:v>
                </c:pt>
                <c:pt idx="137">
                  <c:v>673.67319570089342</c:v>
                </c:pt>
                <c:pt idx="138">
                  <c:v>686.77158673279519</c:v>
                </c:pt>
                <c:pt idx="139">
                  <c:v>699.86485608256964</c:v>
                </c:pt>
                <c:pt idx="140">
                  <c:v>712.9531130151455</c:v>
                </c:pt>
                <c:pt idx="141">
                  <c:v>726.0364624590444</c:v>
                </c:pt>
                <c:pt idx="142">
                  <c:v>739.11500525514657</c:v>
                </c:pt>
                <c:pt idx="143">
                  <c:v>752.18883838694512</c:v>
                </c:pt>
                <c:pt idx="144">
                  <c:v>765.2580551939717</c:v>
                </c:pt>
                <c:pt idx="145">
                  <c:v>688.59059005951383</c:v>
                </c:pt>
                <c:pt idx="146">
                  <c:v>701.92239963587781</c:v>
                </c:pt>
                <c:pt idx="147">
                  <c:v>715.24902927754647</c:v>
                </c:pt>
                <c:pt idx="148">
                  <c:v>728.57058903781763</c:v>
                </c:pt>
                <c:pt idx="149">
                  <c:v>741.88718461991868</c:v>
                </c:pt>
                <c:pt idx="150">
                  <c:v>755.19891762556847</c:v>
                </c:pt>
                <c:pt idx="151">
                  <c:v>768.50588578511326</c:v>
                </c:pt>
                <c:pt idx="152">
                  <c:v>781.80818317090791</c:v>
                </c:pt>
                <c:pt idx="153">
                  <c:v>795.1059003954316</c:v>
                </c:pt>
                <c:pt idx="154">
                  <c:v>808.39912479547229</c:v>
                </c:pt>
                <c:pt idx="155">
                  <c:v>733.42249662858615</c:v>
                </c:pt>
                <c:pt idx="156">
                  <c:v>746.93119157878891</c:v>
                </c:pt>
                <c:pt idx="157">
                  <c:v>760.43491984377908</c:v>
                </c:pt>
                <c:pt idx="158">
                  <c:v>773.93378198657854</c:v>
                </c:pt>
                <c:pt idx="159">
                  <c:v>787.42787477877528</c:v>
                </c:pt>
                <c:pt idx="160">
                  <c:v>800.91729140733412</c:v>
                </c:pt>
                <c:pt idx="161">
                  <c:v>814.40212166676554</c:v>
                </c:pt>
                <c:pt idx="162">
                  <c:v>827.88245213791367</c:v>
                </c:pt>
                <c:pt idx="163">
                  <c:v>841.35836635450642</c:v>
                </c:pt>
                <c:pt idx="164">
                  <c:v>854.82994495848925</c:v>
                </c:pt>
                <c:pt idx="165">
                  <c:v>773.18882242867812</c:v>
                </c:pt>
                <c:pt idx="166">
                  <c:v>786.8468472902299</c:v>
                </c:pt>
                <c:pt idx="167">
                  <c:v>800.50007780159365</c:v>
                </c:pt>
                <c:pt idx="168">
                  <c:v>814.14860719230444</c:v>
                </c:pt>
                <c:pt idx="169">
                  <c:v>827.79252531377222</c:v>
                </c:pt>
                <c:pt idx="170">
                  <c:v>841.43191881649716</c:v>
                </c:pt>
                <c:pt idx="171">
                  <c:v>855.06687131520766</c:v>
                </c:pt>
                <c:pt idx="172">
                  <c:v>868.69746354292693</c:v>
                </c:pt>
                <c:pt idx="173">
                  <c:v>882.32377349487808</c:v>
                </c:pt>
                <c:pt idx="174">
                  <c:v>895.94587656304566</c:v>
                </c:pt>
                <c:pt idx="175">
                  <c:v>558.54952218555457</c:v>
                </c:pt>
                <c:pt idx="176">
                  <c:v>567.32983134322524</c:v>
                </c:pt>
                <c:pt idx="177">
                  <c:v>576.10730038492477</c:v>
                </c:pt>
                <c:pt idx="178">
                  <c:v>394.51230338926274</c:v>
                </c:pt>
                <c:pt idx="179">
                  <c:v>399.94057760723263</c:v>
                </c:pt>
                <c:pt idx="180">
                  <c:v>405.36725708774452</c:v>
                </c:pt>
                <c:pt idx="181">
                  <c:v>281.37557293150093</c:v>
                </c:pt>
                <c:pt idx="182">
                  <c:v>284.72107184351643</c:v>
                </c:pt>
                <c:pt idx="183">
                  <c:v>288.06569060016398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169472"/>
        <c:axId val="1492172192"/>
      </c:scatterChart>
      <c:valAx>
        <c:axId val="1492169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2192"/>
        <c:crosses val="autoZero"/>
        <c:crossBetween val="midCat"/>
      </c:valAx>
      <c:valAx>
        <c:axId val="149217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69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3.138116823340459</c:v>
                </c:pt>
                <c:pt idx="2">
                  <c:v>3.6057282391313876</c:v>
                </c:pt>
                <c:pt idx="3">
                  <c:v>4.1432661590140816</c:v>
                </c:pt>
                <c:pt idx="4">
                  <c:v>4.7612223379531846</c:v>
                </c:pt>
                <c:pt idx="5">
                  <c:v>5.4716676296551228</c:v>
                </c:pt>
                <c:pt idx="6">
                  <c:v>6.2884903440569744</c:v>
                </c:pt>
                <c:pt idx="7">
                  <c:v>7.2276706801471775</c:v>
                </c:pt>
                <c:pt idx="8">
                  <c:v>8.3075967075432775</c:v>
                </c:pt>
                <c:pt idx="9">
                  <c:v>9.5494282025589801</c:v>
                </c:pt>
                <c:pt idx="10">
                  <c:v>10.977515603622104</c:v>
                </c:pt>
                <c:pt idx="11">
                  <c:v>12.619882456216958</c:v>
                </c:pt>
                <c:pt idx="12">
                  <c:v>14.508780991339856</c:v>
                </c:pt>
                <c:pt idx="13">
                  <c:v>16.681331949509609</c:v>
                </c:pt>
                <c:pt idx="14">
                  <c:v>19.180261454336804</c:v>
                </c:pt>
                <c:pt idx="15">
                  <c:v>22.054749689737893</c:v>
                </c:pt>
                <c:pt idx="16">
                  <c:v>25.361408382528499</c:v>
                </c:pt>
                <c:pt idx="17">
                  <c:v>29.165406682829158</c:v>
                </c:pt>
                <c:pt idx="18">
                  <c:v>33.541768020913615</c:v>
                </c:pt>
                <c:pt idx="19">
                  <c:v>38.576863961301143</c:v>
                </c:pt>
                <c:pt idx="20">
                  <c:v>44.370135042782103</c:v>
                </c:pt>
                <c:pt idx="21">
                  <c:v>51.036073167089711</c:v>
                </c:pt>
                <c:pt idx="22">
                  <c:v>58.706505371835114</c:v>
                </c:pt>
                <c:pt idx="23">
                  <c:v>67.5332249020597</c:v>
                </c:pt>
                <c:pt idx="24">
                  <c:v>77.691022502672382</c:v>
                </c:pt>
                <c:pt idx="25">
                  <c:v>89.381178933381463</c:v>
                </c:pt>
                <c:pt idx="26">
                  <c:v>102.83548902255673</c:v>
                </c:pt>
                <c:pt idx="27">
                  <c:v>118.3208983159828</c:v>
                </c:pt>
                <c:pt idx="28">
                  <c:v>136.14484575891694</c:v>
                </c:pt>
                <c:pt idx="29">
                  <c:v>156.6614201269465</c:v>
                </c:pt>
                <c:pt idx="30">
                  <c:v>180.27845438316592</c:v>
                </c:pt>
                <c:pt idx="31">
                  <c:v>193.04762506378083</c:v>
                </c:pt>
                <c:pt idx="32">
                  <c:v>205.79715244793996</c:v>
                </c:pt>
                <c:pt idx="33">
                  <c:v>218.52842557273402</c:v>
                </c:pt>
                <c:pt idx="34">
                  <c:v>231.24265826443045</c:v>
                </c:pt>
                <c:pt idx="35">
                  <c:v>243.94091986665353</c:v>
                </c:pt>
                <c:pt idx="36">
                  <c:v>256.62415922650126</c:v>
                </c:pt>
                <c:pt idx="37">
                  <c:v>269.29322368489164</c:v>
                </c:pt>
                <c:pt idx="38">
                  <c:v>281.94887430257756</c:v>
                </c:pt>
                <c:pt idx="39">
                  <c:v>294.59179820696414</c:v>
                </c:pt>
                <c:pt idx="40">
                  <c:v>307.22261870691239</c:v>
                </c:pt>
                <c:pt idx="41">
                  <c:v>319.84190365608259</c:v>
                </c:pt>
                <c:pt idx="42">
                  <c:v>332.45017242664682</c:v>
                </c:pt>
                <c:pt idx="43">
                  <c:v>259.70654684215691</c:v>
                </c:pt>
                <c:pt idx="44">
                  <c:v>276.21676663491212</c:v>
                </c:pt>
                <c:pt idx="45">
                  <c:v>292.70483273323231</c:v>
                </c:pt>
                <c:pt idx="46">
                  <c:v>309.17216860695549</c:v>
                </c:pt>
                <c:pt idx="47">
                  <c:v>325.62003369439333</c:v>
                </c:pt>
                <c:pt idx="48">
                  <c:v>342.04954980928665</c:v>
                </c:pt>
                <c:pt idx="49">
                  <c:v>358.46172220625863</c:v>
                </c:pt>
                <c:pt idx="50">
                  <c:v>374.85745658524337</c:v>
                </c:pt>
                <c:pt idx="51">
                  <c:v>323.88111780060541</c:v>
                </c:pt>
                <c:pt idx="52">
                  <c:v>340.51331546865435</c:v>
                </c:pt>
                <c:pt idx="53">
                  <c:v>357.12765071829648</c:v>
                </c:pt>
                <c:pt idx="54">
                  <c:v>373.72507133544781</c:v>
                </c:pt>
                <c:pt idx="55">
                  <c:v>390.3064340658982</c:v>
                </c:pt>
                <c:pt idx="56">
                  <c:v>406.87251693678098</c:v>
                </c:pt>
                <c:pt idx="57">
                  <c:v>423.42402946644233</c:v>
                </c:pt>
                <c:pt idx="58">
                  <c:v>439.96162119462957</c:v>
                </c:pt>
                <c:pt idx="59">
                  <c:v>373.80779681315607</c:v>
                </c:pt>
                <c:pt idx="60">
                  <c:v>389.85462149627875</c:v>
                </c:pt>
                <c:pt idx="61">
                  <c:v>405.88711726640668</c:v>
                </c:pt>
                <c:pt idx="62">
                  <c:v>421.90592965336396</c:v>
                </c:pt>
                <c:pt idx="63">
                  <c:v>437.91165118172734</c:v>
                </c:pt>
                <c:pt idx="64">
                  <c:v>453.904827541619</c:v>
                </c:pt>
                <c:pt idx="65">
                  <c:v>469.88596284457026</c:v>
                </c:pt>
                <c:pt idx="66">
                  <c:v>485.85552412723405</c:v>
                </c:pt>
                <c:pt idx="67">
                  <c:v>411.65932317358482</c:v>
                </c:pt>
                <c:pt idx="68">
                  <c:v>426.99147030075329</c:v>
                </c:pt>
                <c:pt idx="69">
                  <c:v>442.3117816574445</c:v>
                </c:pt>
                <c:pt idx="70">
                  <c:v>457.62072482004004</c:v>
                </c:pt>
                <c:pt idx="71">
                  <c:v>472.91873353790379</c:v>
                </c:pt>
                <c:pt idx="72">
                  <c:v>488.20621121841833</c:v>
                </c:pt>
                <c:pt idx="73">
                  <c:v>503.4835339528654</c:v>
                </c:pt>
                <c:pt idx="74">
                  <c:v>518.75105315601888</c:v>
                </c:pt>
                <c:pt idx="75">
                  <c:v>449.54816192441126</c:v>
                </c:pt>
                <c:pt idx="76">
                  <c:v>464.47386199669717</c:v>
                </c:pt>
                <c:pt idx="77">
                  <c:v>479.38933668930628</c:v>
                </c:pt>
                <c:pt idx="78">
                  <c:v>494.29494886249591</c:v>
                </c:pt>
                <c:pt idx="79">
                  <c:v>509.19103771447982</c:v>
                </c:pt>
                <c:pt idx="80">
                  <c:v>524.07792098588936</c:v>
                </c:pt>
                <c:pt idx="81">
                  <c:v>538.9558969007918</c:v>
                </c:pt>
                <c:pt idx="82">
                  <c:v>553.82524588230217</c:v>
                </c:pt>
                <c:pt idx="83">
                  <c:v>568.68623207443125</c:v>
                </c:pt>
                <c:pt idx="84">
                  <c:v>583.53910469664891</c:v>
                </c:pt>
                <c:pt idx="85">
                  <c:v>490.18674362377425</c:v>
                </c:pt>
                <c:pt idx="86">
                  <c:v>504.44102856289129</c:v>
                </c:pt>
                <c:pt idx="87">
                  <c:v>518.68679663664727</c:v>
                </c:pt>
                <c:pt idx="88">
                  <c:v>532.92431463809089</c:v>
                </c:pt>
                <c:pt idx="89">
                  <c:v>547.15383394753087</c:v>
                </c:pt>
                <c:pt idx="90">
                  <c:v>561.37559180895494</c:v>
                </c:pt>
                <c:pt idx="91">
                  <c:v>575.5898124704205</c:v>
                </c:pt>
                <c:pt idx="92">
                  <c:v>589.79670820598255</c:v>
                </c:pt>
                <c:pt idx="93">
                  <c:v>603.9964802340802</c:v>
                </c:pt>
                <c:pt idx="94">
                  <c:v>618.18931954510981</c:v>
                </c:pt>
                <c:pt idx="95">
                  <c:v>524.58017621329691</c:v>
                </c:pt>
                <c:pt idx="96">
                  <c:v>538.40577291251623</c:v>
                </c:pt>
                <c:pt idx="97">
                  <c:v>552.2239114251629</c:v>
                </c:pt>
                <c:pt idx="98">
                  <c:v>566.03480460262153</c:v>
                </c:pt>
                <c:pt idx="99">
                  <c:v>579.83865406633811</c:v>
                </c:pt>
                <c:pt idx="100">
                  <c:v>593.6356510591155</c:v>
                </c:pt>
                <c:pt idx="101">
                  <c:v>607.42597721318577</c:v>
                </c:pt>
                <c:pt idx="102">
                  <c:v>621.20980524493598</c:v>
                </c:pt>
                <c:pt idx="103">
                  <c:v>634.98729958479817</c:v>
                </c:pt>
                <c:pt idx="104">
                  <c:v>648.75861694965693</c:v>
                </c:pt>
                <c:pt idx="105">
                  <c:v>557.91564685186324</c:v>
                </c:pt>
                <c:pt idx="106">
                  <c:v>571.52977947873853</c:v>
                </c:pt>
                <c:pt idx="107">
                  <c:v>585.13713999310119</c:v>
                </c:pt>
                <c:pt idx="108">
                  <c:v>598.73790800676159</c:v>
                </c:pt>
                <c:pt idx="109">
                  <c:v>612.33225430960385</c:v>
                </c:pt>
                <c:pt idx="110">
                  <c:v>625.92034149320591</c:v>
                </c:pt>
                <c:pt idx="111">
                  <c:v>639.50232451751344</c:v>
                </c:pt>
                <c:pt idx="112">
                  <c:v>653.07835122689823</c:v>
                </c:pt>
                <c:pt idx="113">
                  <c:v>666.64856282109702</c:v>
                </c:pt>
                <c:pt idx="114">
                  <c:v>680.21309428583368</c:v>
                </c:pt>
                <c:pt idx="115">
                  <c:v>596.79845840369978</c:v>
                </c:pt>
                <c:pt idx="116">
                  <c:v>610.45920392248615</c:v>
                </c:pt>
                <c:pt idx="117">
                  <c:v>624.11360769830765</c:v>
                </c:pt>
                <c:pt idx="118">
                  <c:v>637.7618279591951</c:v>
                </c:pt>
                <c:pt idx="119">
                  <c:v>651.40401561219312</c:v>
                </c:pt>
                <c:pt idx="120">
                  <c:v>665.04031473150633</c:v>
                </c:pt>
                <c:pt idx="121">
                  <c:v>678.67086300455026</c:v>
                </c:pt>
                <c:pt idx="122">
                  <c:v>692.29579214032958</c:v>
                </c:pt>
                <c:pt idx="123">
                  <c:v>705.91522824401125</c:v>
                </c:pt>
                <c:pt idx="124">
                  <c:v>719.52929216111306</c:v>
                </c:pt>
                <c:pt idx="125">
                  <c:v>643.07607035454623</c:v>
                </c:pt>
                <c:pt idx="126">
                  <c:v>656.84237685226265</c:v>
                </c:pt>
                <c:pt idx="127">
                  <c:v>670.60274179731664</c:v>
                </c:pt>
                <c:pt idx="128">
                  <c:v>684.35730421535266</c:v>
                </c:pt>
                <c:pt idx="129">
                  <c:v>698.10619709130299</c:v>
                </c:pt>
                <c:pt idx="130">
                  <c:v>711.84954774812559</c:v>
                </c:pt>
                <c:pt idx="131">
                  <c:v>725.58747819479186</c:v>
                </c:pt>
                <c:pt idx="132">
                  <c:v>739.32010544657135</c:v>
                </c:pt>
                <c:pt idx="133">
                  <c:v>753.04754182029819</c:v>
                </c:pt>
                <c:pt idx="134">
                  <c:v>766.7698952070042</c:v>
                </c:pt>
                <c:pt idx="135">
                  <c:v>686.39146674143706</c:v>
                </c:pt>
                <c:pt idx="136">
                  <c:v>700.29046698088541</c:v>
                </c:pt>
                <c:pt idx="137">
                  <c:v>714.1838227763443</c:v>
                </c:pt>
                <c:pt idx="138">
                  <c:v>728.07165933098452</c:v>
                </c:pt>
                <c:pt idx="139">
                  <c:v>741.95409668537138</c:v>
                </c:pt>
                <c:pt idx="140">
                  <c:v>755.83125002494864</c:v>
                </c:pt>
                <c:pt idx="141">
                  <c:v>769.70322996378638</c:v>
                </c:pt>
                <c:pt idx="142">
                  <c:v>783.5701428068229</c:v>
                </c:pt>
                <c:pt idx="143">
                  <c:v>797.43209079259793</c:v>
                </c:pt>
                <c:pt idx="144">
                  <c:v>811.28917231824153</c:v>
                </c:pt>
                <c:pt idx="145">
                  <c:v>730.00029723206171</c:v>
                </c:pt>
                <c:pt idx="146">
                  <c:v>744.13565694144756</c:v>
                </c:pt>
                <c:pt idx="147">
                  <c:v>758.26555604159967</c:v>
                </c:pt>
                <c:pt idx="148">
                  <c:v>772.39011054904779</c:v>
                </c:pt>
                <c:pt idx="149">
                  <c:v>786.5094318945454</c:v>
                </c:pt>
                <c:pt idx="150">
                  <c:v>800.62362718509576</c:v>
                </c:pt>
                <c:pt idx="151">
                  <c:v>814.73279944655917</c:v>
                </c:pt>
                <c:pt idx="152">
                  <c:v>828.83704784859776</c:v>
                </c:pt>
                <c:pt idx="153">
                  <c:v>842.93646791352364</c:v>
                </c:pt>
                <c:pt idx="154">
                  <c:v>857.03115171046522</c:v>
                </c:pt>
                <c:pt idx="155">
                  <c:v>777.53448816232947</c:v>
                </c:pt>
                <c:pt idx="156">
                  <c:v>791.85749989068017</c:v>
                </c:pt>
                <c:pt idx="157">
                  <c:v>806.17527581419324</c:v>
                </c:pt>
                <c:pt idx="158">
                  <c:v>820.48792194489386</c:v>
                </c:pt>
                <c:pt idx="159">
                  <c:v>834.79554029793405</c:v>
                </c:pt>
                <c:pt idx="160">
                  <c:v>849.098229109611</c:v>
                </c:pt>
                <c:pt idx="161">
                  <c:v>863.39608303994601</c:v>
                </c:pt>
                <c:pt idx="162">
                  <c:v>877.68919336116357</c:v>
                </c:pt>
                <c:pt idx="163">
                  <c:v>891.97764813326205</c:v>
                </c:pt>
                <c:pt idx="164">
                  <c:v>906.26153236776724</c:v>
                </c:pt>
                <c:pt idx="165">
                  <c:v>819.69805145553573</c:v>
                </c:pt>
                <c:pt idx="166">
                  <c:v>834.1794835036527</c:v>
                </c:pt>
                <c:pt idx="167">
                  <c:v>848.65586141992264</c:v>
                </c:pt>
                <c:pt idx="168">
                  <c:v>863.12728348551911</c:v>
                </c:pt>
                <c:pt idx="169">
                  <c:v>877.59384442044677</c:v>
                </c:pt>
                <c:pt idx="170">
                  <c:v>892.0556355703593</c:v>
                </c:pt>
                <c:pt idx="171">
                  <c:v>906.51274508064569</c:v>
                </c:pt>
                <c:pt idx="172">
                  <c:v>920.96525805884448</c:v>
                </c:pt>
                <c:pt idx="173">
                  <c:v>935.41325672634719</c:v>
                </c:pt>
                <c:pt idx="174">
                  <c:v>949.85682056024837</c:v>
                </c:pt>
                <c:pt idx="175">
                  <c:v>592.12304906806696</c:v>
                </c:pt>
                <c:pt idx="176">
                  <c:v>601.43234199296364</c:v>
                </c:pt>
                <c:pt idx="177">
                  <c:v>610.73864091032749</c:v>
                </c:pt>
                <c:pt idx="178">
                  <c:v>418.20674856444356</c:v>
                </c:pt>
                <c:pt idx="179">
                  <c:v>423.96181447412363</c:v>
                </c:pt>
                <c:pt idx="180">
                  <c:v>429.71519923556508</c:v>
                </c:pt>
                <c:pt idx="181">
                  <c:v>298.26146166083942</c:v>
                </c:pt>
                <c:pt idx="182">
                  <c:v>301.80821575939927</c:v>
                </c:pt>
                <c:pt idx="183">
                  <c:v>305.35404201141029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170016"/>
        <c:axId val="1492170560"/>
      </c:scatterChart>
      <c:valAx>
        <c:axId val="1492170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0560"/>
        <c:crosses val="autoZero"/>
        <c:crossBetween val="midCat"/>
      </c:valAx>
      <c:valAx>
        <c:axId val="14921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0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176000"/>
        <c:axId val="1492177632"/>
      </c:scatterChart>
      <c:valAx>
        <c:axId val="1492176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7632"/>
        <c:crosses val="autoZero"/>
        <c:crossBetween val="midCat"/>
      </c:valAx>
      <c:valAx>
        <c:axId val="149217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6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162400"/>
        <c:axId val="1492173824"/>
      </c:scatterChart>
      <c:valAx>
        <c:axId val="1492162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3824"/>
        <c:crosses val="autoZero"/>
        <c:crossBetween val="midCat"/>
      </c:valAx>
      <c:valAx>
        <c:axId val="149217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62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174368"/>
        <c:axId val="1492176544"/>
      </c:scatterChart>
      <c:valAx>
        <c:axId val="1492174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6544"/>
        <c:crosses val="autoZero"/>
        <c:crossBetween val="midCat"/>
      </c:valAx>
      <c:valAx>
        <c:axId val="149217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4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164032"/>
        <c:axId val="1492174912"/>
      </c:scatterChart>
      <c:valAx>
        <c:axId val="1492164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74912"/>
        <c:crosses val="autoZero"/>
        <c:crossBetween val="midCat"/>
      </c:valAx>
      <c:valAx>
        <c:axId val="1492174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92164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E12" sqref="E1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3.77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0.61829999999999996</v>
      </c>
      <c r="D9" s="36">
        <f t="shared" ref="D9:D18" si="0">C9*$C$5</f>
        <v>2.330991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0.26500000000000001</v>
      </c>
      <c r="D10" s="36">
        <f t="shared" si="0"/>
        <v>0.9990500000000001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5.8400000000000001E-2</v>
      </c>
      <c r="D11" s="36">
        <f t="shared" si="0"/>
        <v>0.220168</v>
      </c>
      <c r="E11" s="37">
        <v>131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4.6699999999999998E-2</v>
      </c>
      <c r="D12" s="36">
        <f t="shared" si="0"/>
        <v>0.17605899999999999</v>
      </c>
      <c r="E12" s="37">
        <v>183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52</v>
      </c>
      <c r="C13" s="35">
        <v>1.1599999999999999E-2</v>
      </c>
      <c r="D13" s="36">
        <f t="shared" si="0"/>
        <v>4.3732E-2</v>
      </c>
      <c r="E13" s="37">
        <v>183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3.77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17</v>
      </c>
      <c r="B36" s="63">
        <f>164.23/1.3</f>
        <v>126.33076923076922</v>
      </c>
      <c r="C36" s="63">
        <v>1</v>
      </c>
      <c r="D36" s="63">
        <f>54.71/1.3</f>
        <v>42.084615384615383</v>
      </c>
      <c r="E36" s="54"/>
      <c r="F36" s="54"/>
      <c r="G36" s="54"/>
      <c r="H36" s="54"/>
      <c r="I36" s="52">
        <f>IFERROR(B36/A36,"")</f>
        <v>7.4312217194570129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23</v>
      </c>
      <c r="B37" s="63">
        <f>225.95/1.3</f>
        <v>173.80769230769229</v>
      </c>
      <c r="C37" s="63">
        <v>2</v>
      </c>
      <c r="D37" s="63">
        <f>70.33/1.3</f>
        <v>54.099999999999994</v>
      </c>
      <c r="E37" s="54"/>
      <c r="F37" s="54"/>
      <c r="G37" s="54"/>
      <c r="H37" s="54"/>
      <c r="I37" s="56">
        <f t="shared" ref="I37:I55" si="1">IF(A37&lt;&gt;0,(B37-(B36-D36))/(A37-A36),"")</f>
        <v>14.926923076923075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f>194.78/1.3</f>
        <v>149.83076923076922</v>
      </c>
      <c r="C38" s="63"/>
      <c r="D38" s="63"/>
      <c r="E38" s="54"/>
      <c r="F38" s="54"/>
      <c r="G38" s="54"/>
      <c r="H38" s="54"/>
      <c r="I38" s="56">
        <f t="shared" si="1"/>
        <v>15.061538461538461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29</v>
      </c>
      <c r="B39" s="63">
        <f>273.19/1.3</f>
        <v>210.14615384615385</v>
      </c>
      <c r="C39" s="63">
        <v>3</v>
      </c>
      <c r="D39" s="63">
        <f>61.96/1.3</f>
        <v>47.661538461538463</v>
      </c>
      <c r="E39" s="54"/>
      <c r="F39" s="54"/>
      <c r="G39" s="54"/>
      <c r="H39" s="54"/>
      <c r="I39" s="52">
        <f t="shared" si="1"/>
        <v>15.078846153846158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f>303.37/1.3</f>
        <v>233.36153846153846</v>
      </c>
      <c r="C40" s="63"/>
      <c r="D40" s="63"/>
      <c r="E40" s="54"/>
      <c r="F40" s="54"/>
      <c r="G40" s="54"/>
      <c r="H40" s="54"/>
      <c r="I40" s="52">
        <f t="shared" si="1"/>
        <v>14.175384615384615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36</v>
      </c>
      <c r="B41" s="63">
        <f>341.35/1.3</f>
        <v>262.57692307692309</v>
      </c>
      <c r="C41" s="63">
        <v>4</v>
      </c>
      <c r="D41" s="63">
        <f>83.92/1.3</f>
        <v>64.553846153846152</v>
      </c>
      <c r="E41" s="54"/>
      <c r="F41" s="54"/>
      <c r="G41" s="54"/>
      <c r="H41" s="54"/>
      <c r="I41" s="56">
        <f t="shared" si="1"/>
        <v>14.607692307692318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44</v>
      </c>
      <c r="B42" s="63">
        <f>394.1/1.3</f>
        <v>303.15384615384619</v>
      </c>
      <c r="C42" s="63">
        <v>5</v>
      </c>
      <c r="D42" s="63">
        <f>83.82/1.3</f>
        <v>64.476923076923072</v>
      </c>
      <c r="E42" s="54"/>
      <c r="F42" s="54"/>
      <c r="G42" s="54"/>
      <c r="H42" s="54"/>
      <c r="I42" s="56">
        <f t="shared" si="1"/>
        <v>13.141346153846158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52</v>
      </c>
      <c r="B43" s="63">
        <f>431.36/1.3</f>
        <v>331.81538461538463</v>
      </c>
      <c r="C43" s="63">
        <v>6</v>
      </c>
      <c r="D43" s="63">
        <f>80.32/1.3</f>
        <v>61.784615384615378</v>
      </c>
      <c r="E43" s="54"/>
      <c r="F43" s="54"/>
      <c r="G43" s="54"/>
      <c r="H43" s="54"/>
      <c r="I43" s="52">
        <f t="shared" si="1"/>
        <v>11.642307692307689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f>459.55/1.3</f>
        <v>353.5</v>
      </c>
      <c r="C44" s="63">
        <v>7</v>
      </c>
      <c r="D44" s="63">
        <f>B44</f>
        <v>353.5</v>
      </c>
      <c r="E44" s="54"/>
      <c r="F44" s="54"/>
      <c r="G44" s="54"/>
      <c r="H44" s="54"/>
      <c r="I44" s="52">
        <f t="shared" si="1"/>
        <v>10.433653846153845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f>46.42/1.3</f>
        <v>35.707692307692305</v>
      </c>
      <c r="C62" s="63"/>
      <c r="D62" s="63"/>
      <c r="E62" s="54"/>
      <c r="F62" s="54"/>
      <c r="G62" s="54"/>
      <c r="H62" s="54"/>
      <c r="I62" s="56">
        <f>IFERROR(B62/A62,"")</f>
        <v>2.3805128205128203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22</v>
      </c>
      <c r="B63" s="63">
        <f>168.98/1.3</f>
        <v>129.98461538461538</v>
      </c>
      <c r="C63" s="63">
        <v>1</v>
      </c>
      <c r="D63" s="63">
        <f>68.57/1.3</f>
        <v>52.746153846153838</v>
      </c>
      <c r="E63" s="54"/>
      <c r="F63" s="54"/>
      <c r="G63" s="54"/>
      <c r="H63" s="54"/>
      <c r="I63" s="52">
        <f>IF(A63&lt;&gt;0,(B63-(B62-D62))/(A63-A62),"")</f>
        <v>13.468131868131868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24</v>
      </c>
      <c r="B64" s="63">
        <f>129.64/1.3</f>
        <v>99.723076923076903</v>
      </c>
      <c r="C64" s="63"/>
      <c r="D64" s="63"/>
      <c r="E64" s="54"/>
      <c r="F64" s="54"/>
      <c r="G64" s="54"/>
      <c r="H64" s="54"/>
      <c r="I64" s="52">
        <f>IF(A64&lt;&gt;0,(B64-(B63-D63))/(A64-A63),"")</f>
        <v>11.242307692307683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27</v>
      </c>
      <c r="B65" s="63">
        <f>182.93/1.3</f>
        <v>140.71538461538461</v>
      </c>
      <c r="C65" s="63">
        <v>2</v>
      </c>
      <c r="D65" s="63">
        <f>45.04/1.3</f>
        <v>34.646153846153844</v>
      </c>
      <c r="E65" s="54"/>
      <c r="F65" s="54"/>
      <c r="G65" s="54"/>
      <c r="H65" s="54"/>
      <c r="I65" s="52">
        <f>IF(A65&lt;&gt;0,(B65-(B64-D64))/(A65-A64),"")</f>
        <v>13.664102564102569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f>188.48/1.3</f>
        <v>144.98461538461538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12.971794871794875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33</v>
      </c>
      <c r="B67" s="63">
        <f>239.07/1.3</f>
        <v>183.89999999999998</v>
      </c>
      <c r="C67" s="63">
        <v>3</v>
      </c>
      <c r="D67" s="63">
        <f>55.91/1.3</f>
        <v>43.007692307692302</v>
      </c>
      <c r="E67" s="54"/>
      <c r="F67" s="54"/>
      <c r="G67" s="54"/>
      <c r="H67" s="54"/>
      <c r="I67" s="52">
        <f t="shared" si="2"/>
        <v>12.971794871794865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41</v>
      </c>
      <c r="B68" s="63">
        <f>315.66/1.3</f>
        <v>242.81538461538463</v>
      </c>
      <c r="C68" s="63">
        <v>4</v>
      </c>
      <c r="D68" s="63">
        <f>76.03/1.3</f>
        <v>58.484615384615381</v>
      </c>
      <c r="E68" s="54"/>
      <c r="F68" s="54"/>
      <c r="G68" s="54"/>
      <c r="H68" s="54"/>
      <c r="I68" s="52">
        <f t="shared" si="2"/>
        <v>12.74038461538462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f>378.41/1.3</f>
        <v>291.0846153846154</v>
      </c>
      <c r="C69" s="53">
        <v>5</v>
      </c>
      <c r="D69" s="53">
        <f>71.88/1.3</f>
        <v>55.292307692307688</v>
      </c>
      <c r="E69" s="54"/>
      <c r="F69" s="54"/>
      <c r="G69" s="54"/>
      <c r="H69" s="54"/>
      <c r="I69" s="52">
        <f t="shared" si="2"/>
        <v>11.861538461538462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f>445.15/1.3</f>
        <v>342.42307692307691</v>
      </c>
      <c r="C70" s="53">
        <v>6</v>
      </c>
      <c r="D70" s="53">
        <f>70.54/1.3</f>
        <v>54.261538461538464</v>
      </c>
      <c r="E70" s="54"/>
      <c r="F70" s="54"/>
      <c r="G70" s="54"/>
      <c r="H70" s="54"/>
      <c r="I70" s="52">
        <f t="shared" si="2"/>
        <v>10.66307692307692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f>493.99/1.3</f>
        <v>379.99230769230769</v>
      </c>
      <c r="C71" s="53">
        <v>7</v>
      </c>
      <c r="D71" s="53">
        <f>68.47/1.3</f>
        <v>52.669230769230765</v>
      </c>
      <c r="E71" s="54"/>
      <c r="F71" s="54"/>
      <c r="G71" s="54"/>
      <c r="H71" s="54"/>
      <c r="I71" s="52">
        <f t="shared" si="2"/>
        <v>9.1830769230769249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80</v>
      </c>
      <c r="B72" s="53">
        <f>523.78/1.3</f>
        <v>402.90769230769229</v>
      </c>
      <c r="C72" s="53">
        <v>8</v>
      </c>
      <c r="D72" s="53">
        <f>B72</f>
        <v>402.90769230769229</v>
      </c>
      <c r="E72" s="54"/>
      <c r="F72" s="54"/>
      <c r="G72" s="54"/>
      <c r="H72" s="54"/>
      <c r="I72" s="52">
        <f t="shared" si="2"/>
        <v>7.5584615384615343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30</v>
      </c>
      <c r="B88" s="63">
        <f>191.43/1.3</f>
        <v>147.25384615384615</v>
      </c>
      <c r="C88" s="63"/>
      <c r="D88" s="63"/>
      <c r="E88" s="54"/>
      <c r="F88" s="54"/>
      <c r="G88" s="54"/>
      <c r="H88" s="93"/>
      <c r="I88" s="56">
        <f>IFERROR(B88/A88,"")</f>
        <v>4.9084615384615384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36</v>
      </c>
      <c r="B89" s="63">
        <f>270.86/1.3</f>
        <v>208.35384615384615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10.183333333333332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42</v>
      </c>
      <c r="B90" s="63">
        <f>359.27/1.3</f>
        <v>276.36153846153843</v>
      </c>
      <c r="C90" s="63"/>
      <c r="D90" s="63"/>
      <c r="E90" s="93"/>
      <c r="F90" s="93"/>
      <c r="G90" s="93"/>
      <c r="H90" s="93"/>
      <c r="I90" s="56">
        <f t="shared" si="3"/>
        <v>11.334615384615381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46</v>
      </c>
      <c r="B91" s="63">
        <f>421.95/1.3</f>
        <v>324.57692307692304</v>
      </c>
      <c r="C91" s="63"/>
      <c r="D91" s="63"/>
      <c r="E91" s="93"/>
      <c r="F91" s="93"/>
      <c r="G91" s="93"/>
      <c r="H91" s="93"/>
      <c r="I91" s="56">
        <f t="shared" si="3"/>
        <v>12.053846153846152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51</v>
      </c>
      <c r="B92" s="63">
        <f>503.84/1.3</f>
        <v>387.56923076923073</v>
      </c>
      <c r="C92" s="63">
        <v>1</v>
      </c>
      <c r="D92" s="63">
        <f>221.21/1.3</f>
        <v>170.16153846153847</v>
      </c>
      <c r="E92" s="93"/>
      <c r="F92" s="93"/>
      <c r="G92" s="93"/>
      <c r="H92" s="93"/>
      <c r="I92" s="56">
        <f t="shared" si="3"/>
        <v>12.598461538461539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56</v>
      </c>
      <c r="B93" s="63">
        <f>355.85/1.3</f>
        <v>273.73076923076923</v>
      </c>
      <c r="C93" s="63"/>
      <c r="D93" s="63"/>
      <c r="E93" s="93"/>
      <c r="F93" s="93"/>
      <c r="G93" s="93"/>
      <c r="H93" s="93"/>
      <c r="I93" s="56">
        <f t="shared" si="3"/>
        <v>11.264615384615393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61</v>
      </c>
      <c r="B94" s="63">
        <f>427.85/1.3</f>
        <v>329.11538461538464</v>
      </c>
      <c r="C94" s="63">
        <v>2</v>
      </c>
      <c r="D94" s="63">
        <f>123.19/1.3</f>
        <v>94.76153846153845</v>
      </c>
      <c r="E94" s="93"/>
      <c r="F94" s="93"/>
      <c r="G94" s="93"/>
      <c r="H94" s="93"/>
      <c r="I94" s="56">
        <f t="shared" si="3"/>
        <v>11.076923076923084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67</v>
      </c>
      <c r="B95" s="63">
        <f>384/1.3</f>
        <v>295.38461538461536</v>
      </c>
      <c r="C95" s="63"/>
      <c r="D95" s="63"/>
      <c r="E95" s="93"/>
      <c r="F95" s="93"/>
      <c r="G95" s="93"/>
      <c r="H95" s="93"/>
      <c r="I95" s="56">
        <f t="shared" si="3"/>
        <v>10.171794871794864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73</v>
      </c>
      <c r="B96" s="63">
        <f>465.57/1.3</f>
        <v>358.1307692307692</v>
      </c>
      <c r="C96" s="63">
        <v>3</v>
      </c>
      <c r="D96" s="63">
        <f>121.66/1.3</f>
        <v>93.584615384615375</v>
      </c>
      <c r="E96" s="93"/>
      <c r="F96" s="93"/>
      <c r="G96" s="93"/>
      <c r="H96" s="93"/>
      <c r="I96" s="56">
        <f t="shared" si="3"/>
        <v>10.457692307692307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79</v>
      </c>
      <c r="B97" s="63">
        <f>417.5/1.3</f>
        <v>321.15384615384613</v>
      </c>
      <c r="C97" s="63"/>
      <c r="D97" s="63"/>
      <c r="E97" s="93"/>
      <c r="F97" s="93"/>
      <c r="G97" s="93"/>
      <c r="H97" s="93"/>
      <c r="I97" s="56">
        <f t="shared" si="3"/>
        <v>9.4346153846153786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85</v>
      </c>
      <c r="B98" s="63">
        <f>492.48/1.3</f>
        <v>378.83076923076925</v>
      </c>
      <c r="C98" s="63">
        <v>4</v>
      </c>
      <c r="D98" s="63">
        <f>110.77/1.3</f>
        <v>85.207692307692298</v>
      </c>
      <c r="E98" s="93"/>
      <c r="F98" s="93"/>
      <c r="G98" s="93"/>
      <c r="H98" s="93"/>
      <c r="I98" s="56">
        <f t="shared" si="3"/>
        <v>9.6128205128205195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91</v>
      </c>
      <c r="B99" s="63">
        <f>449.33/1.3</f>
        <v>345.63846153846151</v>
      </c>
      <c r="C99" s="63"/>
      <c r="D99" s="63"/>
      <c r="E99" s="93"/>
      <c r="F99" s="93"/>
      <c r="G99" s="93"/>
      <c r="H99" s="93"/>
      <c r="I99" s="56">
        <f t="shared" si="3"/>
        <v>8.6692307692307597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97</v>
      </c>
      <c r="B100" s="63">
        <f>517.76/1.3</f>
        <v>398.27692307692308</v>
      </c>
      <c r="C100" s="63">
        <v>5</v>
      </c>
      <c r="D100" s="63">
        <f>103.57/1.3</f>
        <v>79.669230769230765</v>
      </c>
      <c r="E100" s="68"/>
      <c r="F100" s="68"/>
      <c r="G100" s="68"/>
      <c r="H100" s="68"/>
      <c r="I100" s="56">
        <f t="shared" si="3"/>
        <v>8.7730769230769283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103</v>
      </c>
      <c r="B101" s="63">
        <f>475.47/1.3</f>
        <v>365.74615384615385</v>
      </c>
      <c r="C101" s="63"/>
      <c r="D101" s="63"/>
      <c r="E101" s="68"/>
      <c r="F101" s="68"/>
      <c r="G101" s="68"/>
      <c r="H101" s="68"/>
      <c r="I101" s="56">
        <f t="shared" si="3"/>
        <v>7.8564102564102525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109</v>
      </c>
      <c r="B102" s="53">
        <f>537.16/1.3</f>
        <v>413.2</v>
      </c>
      <c r="C102" s="63">
        <v>6</v>
      </c>
      <c r="D102" s="53">
        <f>104.85/1.3</f>
        <v>80.653846153846146</v>
      </c>
      <c r="E102" s="57"/>
      <c r="F102" s="57"/>
      <c r="G102" s="57"/>
      <c r="H102" s="57"/>
      <c r="I102" s="56">
        <f t="shared" si="3"/>
        <v>7.9089743589743575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115</v>
      </c>
      <c r="B103" s="53">
        <f>487.64/1.3</f>
        <v>375.10769230769228</v>
      </c>
      <c r="C103" s="63"/>
      <c r="D103" s="53"/>
      <c r="E103" s="57"/>
      <c r="F103" s="57"/>
      <c r="G103" s="57"/>
      <c r="H103" s="57"/>
      <c r="I103" s="56">
        <f t="shared" si="3"/>
        <v>7.0935897435897362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121</v>
      </c>
      <c r="B104" s="53">
        <f>542.89/1.3</f>
        <v>417.60769230769228</v>
      </c>
      <c r="C104" s="63">
        <v>7</v>
      </c>
      <c r="D104" s="53">
        <f>269.2/1.3</f>
        <v>207.07692307692307</v>
      </c>
      <c r="E104" s="57"/>
      <c r="F104" s="57"/>
      <c r="G104" s="57"/>
      <c r="H104" s="57"/>
      <c r="I104" s="56">
        <f t="shared" si="3"/>
        <v>7.083333333333333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126</v>
      </c>
      <c r="B105" s="53">
        <f>307.19/1.3</f>
        <v>236.29999999999998</v>
      </c>
      <c r="C105" s="53"/>
      <c r="D105" s="53"/>
      <c r="E105" s="57"/>
      <c r="F105" s="57"/>
      <c r="G105" s="57"/>
      <c r="H105" s="57"/>
      <c r="I105" s="56">
        <f t="shared" si="3"/>
        <v>5.1538461538461551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131</v>
      </c>
      <c r="B106" s="53">
        <f>337.5/1.3</f>
        <v>259.61538461538458</v>
      </c>
      <c r="C106" s="53">
        <v>8</v>
      </c>
      <c r="D106" s="53">
        <f>B106</f>
        <v>259.61538461538458</v>
      </c>
      <c r="E106" s="57"/>
      <c r="F106" s="57"/>
      <c r="G106" s="57"/>
      <c r="H106" s="57"/>
      <c r="I106" s="56">
        <f t="shared" si="3"/>
        <v>4.66307692307692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30</v>
      </c>
      <c r="B114" s="63">
        <f>117.54/1.56</f>
        <v>75.346153846153854</v>
      </c>
      <c r="C114" s="53"/>
      <c r="D114" s="63"/>
      <c r="E114" s="54"/>
      <c r="F114" s="54"/>
      <c r="G114" s="54"/>
      <c r="H114" s="54"/>
      <c r="I114" s="56">
        <f>IFERROR(B114/A114,"")</f>
        <v>2.5115384615384619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42</v>
      </c>
      <c r="B115" s="63">
        <f>220.11/1.56</f>
        <v>141.09615384615384</v>
      </c>
      <c r="C115" s="53">
        <v>1</v>
      </c>
      <c r="D115" s="63">
        <f>60.35/1.56</f>
        <v>38.685897435897438</v>
      </c>
      <c r="E115" s="54"/>
      <c r="F115" s="54"/>
      <c r="G115" s="54"/>
      <c r="H115" s="54"/>
      <c r="I115" s="56">
        <f t="shared" ref="I115:I133" si="4">IF(A115&lt;&gt;0,(B115-(B114-D114))/(A115-A114),"")</f>
        <v>5.4791666666666652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50</v>
      </c>
      <c r="B116" s="63">
        <f>248.91/1.56</f>
        <v>159.55769230769229</v>
      </c>
      <c r="C116" s="53">
        <v>2</v>
      </c>
      <c r="D116" s="63">
        <f>45.89/1.56</f>
        <v>29.416666666666664</v>
      </c>
      <c r="E116" s="54"/>
      <c r="F116" s="54"/>
      <c r="G116" s="54"/>
      <c r="H116" s="54"/>
      <c r="I116" s="56">
        <f t="shared" si="4"/>
        <v>7.1434294871794854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58</v>
      </c>
      <c r="B117" s="63">
        <f>293.26/1.56</f>
        <v>187.98717948717947</v>
      </c>
      <c r="C117" s="53">
        <v>3</v>
      </c>
      <c r="D117" s="63">
        <f>55.98/1.56</f>
        <v>35.88461538461538</v>
      </c>
      <c r="E117" s="54"/>
      <c r="F117" s="54"/>
      <c r="G117" s="54"/>
      <c r="H117" s="54"/>
      <c r="I117" s="56">
        <f t="shared" si="4"/>
        <v>7.2307692307692299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66</v>
      </c>
      <c r="B118" s="63">
        <f>324.61/1.56</f>
        <v>208.08333333333334</v>
      </c>
      <c r="C118" s="53">
        <v>4</v>
      </c>
      <c r="D118" s="63">
        <f>61.1/1.56</f>
        <v>39.166666666666664</v>
      </c>
      <c r="E118" s="54"/>
      <c r="F118" s="54"/>
      <c r="G118" s="54"/>
      <c r="H118" s="54"/>
      <c r="I118" s="56">
        <f t="shared" si="4"/>
        <v>6.9975961538461569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74</v>
      </c>
      <c r="B119" s="63">
        <f>347.12/1.56</f>
        <v>222.5128205128205</v>
      </c>
      <c r="C119" s="53">
        <v>5</v>
      </c>
      <c r="D119" s="63">
        <f>57.51/1.56</f>
        <v>36.865384615384613</v>
      </c>
      <c r="E119" s="54"/>
      <c r="F119" s="54"/>
      <c r="G119" s="54"/>
      <c r="H119" s="54"/>
      <c r="I119" s="56">
        <f t="shared" si="4"/>
        <v>6.6995192307692264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84</v>
      </c>
      <c r="B120" s="63">
        <f>391.54/1.56</f>
        <v>250.9871794871795</v>
      </c>
      <c r="C120" s="63">
        <v>6</v>
      </c>
      <c r="D120" s="63">
        <f>73.72/1.56</f>
        <v>47.256410256410255</v>
      </c>
      <c r="E120" s="93"/>
      <c r="F120" s="93"/>
      <c r="G120" s="93"/>
      <c r="H120" s="93"/>
      <c r="I120" s="56">
        <f t="shared" si="4"/>
        <v>6.533974358974362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94</v>
      </c>
      <c r="B121" s="63">
        <f>415.34/1.56</f>
        <v>266.24358974358972</v>
      </c>
      <c r="C121" s="63">
        <v>7</v>
      </c>
      <c r="D121" s="63">
        <f>73.7/1.56</f>
        <v>47.243589743589745</v>
      </c>
      <c r="E121" s="93"/>
      <c r="F121" s="93"/>
      <c r="G121" s="93"/>
      <c r="H121" s="93"/>
      <c r="I121" s="56">
        <f t="shared" si="4"/>
        <v>6.2512820512820468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104</v>
      </c>
      <c r="B122" s="63">
        <f>436.36/1.56</f>
        <v>279.71794871794873</v>
      </c>
      <c r="C122" s="63">
        <v>8</v>
      </c>
      <c r="D122" s="63">
        <f>71.74/1.56</f>
        <v>45.987179487179482</v>
      </c>
      <c r="E122" s="93"/>
      <c r="F122" s="93"/>
      <c r="G122" s="93"/>
      <c r="H122" s="93"/>
      <c r="I122" s="56">
        <f t="shared" si="4"/>
        <v>6.071794871794876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114</v>
      </c>
      <c r="B123" s="63">
        <f>458.01/1.56</f>
        <v>293.59615384615381</v>
      </c>
      <c r="C123" s="63">
        <v>9</v>
      </c>
      <c r="D123" s="63">
        <f>66.75/1.56</f>
        <v>42.78846153846154</v>
      </c>
      <c r="E123" s="93"/>
      <c r="F123" s="93"/>
      <c r="G123" s="93"/>
      <c r="H123" s="93"/>
      <c r="I123" s="56">
        <f t="shared" si="4"/>
        <v>5.9865384615384558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124</v>
      </c>
      <c r="B124" s="63">
        <f>485.1/1.56</f>
        <v>310.96153846153845</v>
      </c>
      <c r="C124" s="63">
        <v>10</v>
      </c>
      <c r="D124" s="63">
        <f>62.12/1.56</f>
        <v>39.820512820512818</v>
      </c>
      <c r="E124" s="93"/>
      <c r="F124" s="93"/>
      <c r="G124" s="93"/>
      <c r="H124" s="93"/>
      <c r="I124" s="56">
        <f t="shared" si="4"/>
        <v>6.0153846153846189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134</v>
      </c>
      <c r="B125" s="63">
        <f>517.69/1.56</f>
        <v>331.85256410256414</v>
      </c>
      <c r="C125" s="63">
        <v>11</v>
      </c>
      <c r="D125" s="63">
        <f>65/1.56</f>
        <v>41.666666666666664</v>
      </c>
      <c r="E125" s="93"/>
      <c r="F125" s="93"/>
      <c r="G125" s="93"/>
      <c r="H125" s="93"/>
      <c r="I125" s="56">
        <f t="shared" si="4"/>
        <v>6.0711538461538508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144</v>
      </c>
      <c r="B126" s="63">
        <f>548.44/1.56</f>
        <v>351.5641025641026</v>
      </c>
      <c r="C126" s="63">
        <v>12</v>
      </c>
      <c r="D126" s="63">
        <f>65.87/1.56</f>
        <v>42.224358974358978</v>
      </c>
      <c r="E126" s="68"/>
      <c r="F126" s="68"/>
      <c r="G126" s="68"/>
      <c r="H126" s="68"/>
      <c r="I126" s="56">
        <f t="shared" si="4"/>
        <v>6.1378205128205137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154</v>
      </c>
      <c r="B127" s="63">
        <f>580.07/1.56</f>
        <v>371.83974358974359</v>
      </c>
      <c r="C127" s="63">
        <v>13</v>
      </c>
      <c r="D127" s="63">
        <f>64.84/1.56</f>
        <v>41.564102564102562</v>
      </c>
      <c r="E127" s="68"/>
      <c r="F127" s="68"/>
      <c r="G127" s="68"/>
      <c r="H127" s="68"/>
      <c r="I127" s="56">
        <f t="shared" si="4"/>
        <v>6.2499999999999947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164</v>
      </c>
      <c r="B128" s="53">
        <f>614.15/1.56</f>
        <v>393.6858974358974</v>
      </c>
      <c r="C128" s="53">
        <v>14</v>
      </c>
      <c r="D128" s="53">
        <f>69.91/1.56</f>
        <v>44.814102564102562</v>
      </c>
      <c r="E128" s="57"/>
      <c r="F128" s="57"/>
      <c r="G128" s="57"/>
      <c r="H128" s="57"/>
      <c r="I128" s="56">
        <f t="shared" si="4"/>
        <v>6.3410256410256354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174</v>
      </c>
      <c r="B129" s="53">
        <f>644.36/1.56</f>
        <v>413.05128205128204</v>
      </c>
      <c r="C129" s="53">
        <v>15</v>
      </c>
      <c r="D129" s="53">
        <f>253.32/1.56</f>
        <v>162.38461538461539</v>
      </c>
      <c r="E129" s="57"/>
      <c r="F129" s="57"/>
      <c r="G129" s="57"/>
      <c r="H129" s="57"/>
      <c r="I129" s="56">
        <f t="shared" si="4"/>
        <v>6.4179487179487182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177</v>
      </c>
      <c r="B130" s="53">
        <f>410.22/1.56</f>
        <v>262.96153846153845</v>
      </c>
      <c r="C130" s="53">
        <v>16</v>
      </c>
      <c r="D130" s="53">
        <f>135.72/1.56</f>
        <v>87</v>
      </c>
      <c r="E130" s="57"/>
      <c r="F130" s="57"/>
      <c r="G130" s="57"/>
      <c r="H130" s="57"/>
      <c r="I130" s="56">
        <f t="shared" si="4"/>
        <v>4.0982905982905988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180</v>
      </c>
      <c r="B131" s="53">
        <f>286.27/1.56</f>
        <v>183.50641025641025</v>
      </c>
      <c r="C131" s="53">
        <v>17</v>
      </c>
      <c r="D131" s="53">
        <f>91.72/1.56</f>
        <v>58.794871794871796</v>
      </c>
      <c r="E131" s="57"/>
      <c r="F131" s="57"/>
      <c r="G131" s="57"/>
      <c r="H131" s="57"/>
      <c r="I131" s="56">
        <f t="shared" si="4"/>
        <v>2.5149572649572653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183</v>
      </c>
      <c r="B132" s="53">
        <f>201.75/1.56</f>
        <v>129.32692307692307</v>
      </c>
      <c r="C132" s="53">
        <v>18</v>
      </c>
      <c r="D132" s="53">
        <f>B132</f>
        <v>129.32692307692307</v>
      </c>
      <c r="E132" s="57"/>
      <c r="F132" s="57"/>
      <c r="G132" s="57"/>
      <c r="H132" s="57"/>
      <c r="I132" s="56">
        <f t="shared" si="4"/>
        <v>1.5384615384615377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Cormier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30</v>
      </c>
      <c r="B140" s="63">
        <f>117.54/1.56</f>
        <v>75.346153846153854</v>
      </c>
      <c r="C140" s="53"/>
      <c r="D140" s="63"/>
      <c r="E140" s="54"/>
      <c r="F140" s="54"/>
      <c r="G140" s="54"/>
      <c r="H140" s="54"/>
      <c r="I140" s="60">
        <f>IFERROR(B140/A140,"")</f>
        <v>2.5115384615384619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42</v>
      </c>
      <c r="B141" s="63">
        <f>220.11/1.56</f>
        <v>141.09615384615384</v>
      </c>
      <c r="C141" s="53">
        <v>1</v>
      </c>
      <c r="D141" s="63">
        <f>60.35/1.56</f>
        <v>38.685897435897438</v>
      </c>
      <c r="E141" s="54"/>
      <c r="F141" s="54"/>
      <c r="G141" s="54"/>
      <c r="H141" s="54"/>
      <c r="I141" s="60">
        <f t="shared" ref="I141:I159" si="5">IF(A141&lt;&gt;0,(B141-(B140-D140))/(A141-A140),"")</f>
        <v>5.4791666666666652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50</v>
      </c>
      <c r="B142" s="63">
        <f>248.91/1.56</f>
        <v>159.55769230769229</v>
      </c>
      <c r="C142" s="53">
        <v>2</v>
      </c>
      <c r="D142" s="63">
        <f>45.89/1.56</f>
        <v>29.416666666666664</v>
      </c>
      <c r="E142" s="54"/>
      <c r="F142" s="54"/>
      <c r="G142" s="54"/>
      <c r="H142" s="54"/>
      <c r="I142" s="60">
        <f t="shared" si="5"/>
        <v>7.1434294871794854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58</v>
      </c>
      <c r="B143" s="63">
        <f>293.26/1.56</f>
        <v>187.98717948717947</v>
      </c>
      <c r="C143" s="53">
        <v>3</v>
      </c>
      <c r="D143" s="63">
        <f>55.98/1.56</f>
        <v>35.88461538461538</v>
      </c>
      <c r="E143" s="54"/>
      <c r="F143" s="54"/>
      <c r="G143" s="54"/>
      <c r="H143" s="54"/>
      <c r="I143" s="60">
        <f t="shared" si="5"/>
        <v>7.2307692307692299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66</v>
      </c>
      <c r="B144" s="63">
        <f>324.61/1.56</f>
        <v>208.08333333333334</v>
      </c>
      <c r="C144" s="53">
        <v>4</v>
      </c>
      <c r="D144" s="63">
        <f>61.1/1.56</f>
        <v>39.166666666666664</v>
      </c>
      <c r="E144" s="54"/>
      <c r="F144" s="54"/>
      <c r="G144" s="54"/>
      <c r="H144" s="54"/>
      <c r="I144" s="60">
        <f t="shared" si="5"/>
        <v>6.9975961538461569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74</v>
      </c>
      <c r="B145" s="63">
        <f>347.12/1.56</f>
        <v>222.5128205128205</v>
      </c>
      <c r="C145" s="53">
        <v>5</v>
      </c>
      <c r="D145" s="63">
        <f>57.51/1.56</f>
        <v>36.865384615384613</v>
      </c>
      <c r="E145" s="54"/>
      <c r="F145" s="54"/>
      <c r="G145" s="54"/>
      <c r="H145" s="54"/>
      <c r="I145" s="60">
        <f t="shared" si="5"/>
        <v>6.6995192307692264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3">
        <v>84</v>
      </c>
      <c r="B146" s="63">
        <f>391.54/1.56</f>
        <v>250.9871794871795</v>
      </c>
      <c r="C146" s="63">
        <v>6</v>
      </c>
      <c r="D146" s="63">
        <f>73.72/1.56</f>
        <v>47.256410256410255</v>
      </c>
      <c r="E146" s="54"/>
      <c r="F146" s="54"/>
      <c r="G146" s="54"/>
      <c r="H146" s="54"/>
      <c r="I146" s="60">
        <f t="shared" si="5"/>
        <v>6.533974358974362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3">
        <v>94</v>
      </c>
      <c r="B147" s="63">
        <f>415.34/1.56</f>
        <v>266.24358974358972</v>
      </c>
      <c r="C147" s="63">
        <v>7</v>
      </c>
      <c r="D147" s="63">
        <f>73.7/1.56</f>
        <v>47.243589743589745</v>
      </c>
      <c r="E147" s="54"/>
      <c r="F147" s="54"/>
      <c r="G147" s="54"/>
      <c r="H147" s="54"/>
      <c r="I147" s="60">
        <f>IF(A147&lt;&gt;0,(B147-(B146-D146))/(A147-A146),"")</f>
        <v>6.2512820512820468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3">
        <v>104</v>
      </c>
      <c r="B148" s="63">
        <f>436.36/1.56</f>
        <v>279.71794871794873</v>
      </c>
      <c r="C148" s="63">
        <v>8</v>
      </c>
      <c r="D148" s="63">
        <f>71.74/1.56</f>
        <v>45.987179487179482</v>
      </c>
      <c r="E148" s="54"/>
      <c r="F148" s="54"/>
      <c r="G148" s="54"/>
      <c r="H148" s="54"/>
      <c r="I148" s="60">
        <f t="shared" si="5"/>
        <v>6.071794871794876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3">
        <v>114</v>
      </c>
      <c r="B149" s="63">
        <f>458.01/1.56</f>
        <v>293.59615384615381</v>
      </c>
      <c r="C149" s="63">
        <v>9</v>
      </c>
      <c r="D149" s="63">
        <f>66.75/1.56</f>
        <v>42.78846153846154</v>
      </c>
      <c r="E149" s="54"/>
      <c r="F149" s="54"/>
      <c r="G149" s="54"/>
      <c r="H149" s="54"/>
      <c r="I149" s="60">
        <f t="shared" si="5"/>
        <v>5.9865384615384558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3">
        <v>124</v>
      </c>
      <c r="B150" s="63">
        <f>485.1/1.56</f>
        <v>310.96153846153845</v>
      </c>
      <c r="C150" s="63">
        <v>10</v>
      </c>
      <c r="D150" s="63">
        <f>62.12/1.56</f>
        <v>39.820512820512818</v>
      </c>
      <c r="E150" s="54"/>
      <c r="F150" s="54"/>
      <c r="G150" s="54"/>
      <c r="H150" s="54"/>
      <c r="I150" s="60">
        <f t="shared" si="5"/>
        <v>6.0153846153846189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3">
        <v>134</v>
      </c>
      <c r="B151" s="63">
        <f>517.69/1.56</f>
        <v>331.85256410256414</v>
      </c>
      <c r="C151" s="63">
        <v>11</v>
      </c>
      <c r="D151" s="63">
        <f>65/1.56</f>
        <v>41.666666666666664</v>
      </c>
      <c r="E151" s="54"/>
      <c r="F151" s="54"/>
      <c r="G151" s="54"/>
      <c r="H151" s="54"/>
      <c r="I151" s="60">
        <f t="shared" si="5"/>
        <v>6.0711538461538508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3">
        <v>144</v>
      </c>
      <c r="B152" s="63">
        <f>548.44/1.56</f>
        <v>351.5641025641026</v>
      </c>
      <c r="C152" s="63">
        <v>12</v>
      </c>
      <c r="D152" s="63">
        <f>65.87/1.56</f>
        <v>42.224358974358978</v>
      </c>
      <c r="E152" s="57"/>
      <c r="F152" s="57"/>
      <c r="G152" s="57"/>
      <c r="H152" s="57"/>
      <c r="I152" s="60">
        <f t="shared" si="5"/>
        <v>6.1378205128205137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3">
        <v>154</v>
      </c>
      <c r="B153" s="63">
        <f>580.07/1.56</f>
        <v>371.83974358974359</v>
      </c>
      <c r="C153" s="63">
        <v>13</v>
      </c>
      <c r="D153" s="63">
        <f>64.84/1.56</f>
        <v>41.564102564102562</v>
      </c>
      <c r="E153" s="57"/>
      <c r="F153" s="57"/>
      <c r="G153" s="57"/>
      <c r="H153" s="57"/>
      <c r="I153" s="60">
        <f t="shared" si="5"/>
        <v>6.2499999999999947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164</v>
      </c>
      <c r="B154" s="53">
        <v>393.6858974358974</v>
      </c>
      <c r="C154" s="53">
        <v>14</v>
      </c>
      <c r="D154" s="53">
        <v>44.814102564102562</v>
      </c>
      <c r="E154" s="57"/>
      <c r="F154" s="57"/>
      <c r="G154" s="57"/>
      <c r="H154" s="57"/>
      <c r="I154" s="60">
        <f t="shared" si="5"/>
        <v>6.3410256410256354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174</v>
      </c>
      <c r="B155" s="53">
        <v>413.05128205128204</v>
      </c>
      <c r="C155" s="53">
        <v>15</v>
      </c>
      <c r="D155" s="53">
        <v>162.38461538461539</v>
      </c>
      <c r="E155" s="57"/>
      <c r="F155" s="57"/>
      <c r="G155" s="57"/>
      <c r="H155" s="57"/>
      <c r="I155" s="60">
        <f t="shared" si="5"/>
        <v>6.4179487179487182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177</v>
      </c>
      <c r="B156" s="53">
        <v>262.96153846153845</v>
      </c>
      <c r="C156" s="53">
        <v>16</v>
      </c>
      <c r="D156" s="53">
        <v>87</v>
      </c>
      <c r="E156" s="57"/>
      <c r="F156" s="57"/>
      <c r="G156" s="57"/>
      <c r="H156" s="57"/>
      <c r="I156" s="60">
        <f t="shared" si="5"/>
        <v>4.0982905982905988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180</v>
      </c>
      <c r="B157" s="53">
        <v>183.50641025641025</v>
      </c>
      <c r="C157" s="53">
        <v>17</v>
      </c>
      <c r="D157" s="53">
        <v>58.794871794871796</v>
      </c>
      <c r="E157" s="57"/>
      <c r="F157" s="57"/>
      <c r="G157" s="57"/>
      <c r="H157" s="57"/>
      <c r="I157" s="60">
        <f t="shared" si="5"/>
        <v>2.5149572649572653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183</v>
      </c>
      <c r="B158" s="53">
        <v>129.32692307692307</v>
      </c>
      <c r="C158" s="53">
        <v>18</v>
      </c>
      <c r="D158" s="53">
        <v>129.32692307692307</v>
      </c>
      <c r="E158" s="57"/>
      <c r="F158" s="57"/>
      <c r="G158" s="57"/>
      <c r="H158" s="57"/>
      <c r="I158" s="60">
        <f t="shared" si="5"/>
        <v>1.5384615384615377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Cèdre de l'Atlas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pubescent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Cormier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260.01925143568263</v>
      </c>
      <c r="T3" s="62">
        <f>IF('Données projet'!E9&gt;30,$R$33-$H$33,LOOKUP('Données projet'!$E$9,$A$3:$A$203,R3:R203)-LOOKUP('Données projet'!$E$9,$A$3:$A$203,$H$3:$H$203))</f>
        <v>269.95358755269427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289.24721145176682</v>
      </c>
      <c r="AO3" s="62">
        <f>IF('Données projet'!E10&gt;30,$AM$33-$H$33,LOOKUP('Données projet'!$E$10,$A$3:$A$203,AM3:AM203)-LOOKUP('Données projet'!$E$10,$A$3:$A$203,$H$3:$H$203))</f>
        <v>229.06617320689003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284.72381074796073</v>
      </c>
      <c r="BJ3" s="62">
        <f>IF('Données projet'!E11&gt;30,$BH$33-$H$33,LOOKUP('Données projet'!$E$11,$A$3:$A$203,BH3:BH203)-LOOKUP('Données projet'!$E$11,$A$3:$A$203,$H$3:$H$203))</f>
        <v>190.4880882944471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496.71400086768705</v>
      </c>
      <c r="CE3" s="62">
        <f>IF('Données projet'!E12&gt;30,$CC$33-$H$33,LOOKUP('Données projet'!$E$12,$A$3:$A$203,CC3:CC203)-LOOKUP('Données projet'!$E$12,$A$3:$A$203,$H$3:$H$203))</f>
        <v>206.75063396134982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524.55238798353344</v>
      </c>
      <c r="CZ3" s="62">
        <f>IF('Données projet'!E13&gt;30,$CX$33-$H$33,LOOKUP('Données projet'!$E$13,$A$3:$A$203,CX3:CX203)-LOOKUP('Données projet'!$E$13,$A$3:$A$203,$H$3:$H$203))</f>
        <v>216.94512104983255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7.4312217194570129</v>
      </c>
      <c r="N4" s="14">
        <f>IF('Données projet'!$A$36&gt;35,N3+M4-V3,IF(A4&lt;'Données projet'!$A$36,$K$205^A4,IF(A4='Données projet'!$A$36,'Données projet'!$B$36,N3+M4-V3)))</f>
        <v>1.3292852468636394</v>
      </c>
      <c r="O4" s="14">
        <f>N4*VLOOKUP('Données projet'!$B$9,Paramètres!$A$1:$I$89,3,0)*VLOOKUP('Données projet'!$B$9,Paramètres!$A$1:$I$89,5,0)</f>
        <v>0.79491257762445644</v>
      </c>
      <c r="P4" s="14">
        <f>EXP(-1.0587+0.8836*LN(O4)+0.284)</f>
        <v>0.37624805113513943</v>
      </c>
      <c r="Q4" s="22">
        <f t="shared" ref="Q4:Q34" si="2">(O4+P4)*0.475*44/12</f>
        <v>2.0397714284229629</v>
      </c>
      <c r="R4" s="62">
        <f t="shared" si="0"/>
        <v>259.92866031731182</v>
      </c>
      <c r="S4" s="62">
        <f ca="1">AVERAGE(OFFSET($R$3,0,0,'Données projet'!$E$9+1,1))-AVERAGE(OFFSET($H$3,0,0,'Données projet'!$E$9+1,1))</f>
        <v>260.01925143568263</v>
      </c>
      <c r="T4" s="62">
        <f>$T$3</f>
        <v>269.95358755269427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2.3805128205128203</v>
      </c>
      <c r="AI4" s="14">
        <f>IF('Données projet'!$A$62&gt;35,AI3+AH4-AQ3,IF(A4&lt;'Données projet'!$A$62,$AF$205^A4,IF(A4='Données projet'!$A$62,'Données projet'!$B$62,AI3+AH4-AQ3)))</f>
        <v>1.2691631451226497</v>
      </c>
      <c r="AJ4" s="14">
        <f>AI4*VLOOKUP('Données projet'!$B$10,Paramètres!$A$1:$I$89,3,0)*VLOOKUP('Données projet'!$B$10,Paramètres!$A$1:$I$89,5,0)</f>
        <v>0.75895956078334459</v>
      </c>
      <c r="AK4" s="14">
        <f>EXP(-1.0587+0.8836*LN(AJ4)+0.284)</f>
        <v>0.36117131619841292</v>
      </c>
      <c r="AL4" s="22">
        <f t="shared" ref="AL4:AL67" si="4">(AJ4+AK4)*0.475*44/12</f>
        <v>1.9508946107432275</v>
      </c>
      <c r="AM4" s="62">
        <f t="shared" ref="AM4:AM67" si="5">AL4+(AD4+AE4)*44/12</f>
        <v>259.83978349963206</v>
      </c>
      <c r="AN4" s="62">
        <f ca="1">AVERAGE(OFFSET($AM$3,0,0,'Données projet'!$E$10+1,1))-AVERAGE(OFFSET($H$3,0,0,'Données projet'!$E$10+1,1))</f>
        <v>289.24721145176682</v>
      </c>
      <c r="AO4" s="62">
        <f>$AO$3</f>
        <v>229.06617320689003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4.9084615384615384</v>
      </c>
      <c r="BD4" s="13">
        <f>IF('Données projet'!$A$88&gt;35,BD3+BC4-BL3,IF(A4&lt;'Données projet'!$A$88,$BA$205^A4,IF(A4='Données projet'!$A$88,'Données projet'!$B$88,BD3+BC4-BL3)))</f>
        <v>1.1810516433311786</v>
      </c>
      <c r="BE4" s="14">
        <f>BD4*VLOOKUP('Données projet'!$B$11,Paramètres!$A$1:$I$89,3,0)*VLOOKUP('Données projet'!$B$11,Paramètres!$A$1:$I$89,5,0)</f>
        <v>0.55273216907899159</v>
      </c>
      <c r="BF4" s="14">
        <f>EXP(-1.0587+0.8836*LN(BE4)+0.284)</f>
        <v>0.27292171413945432</v>
      </c>
      <c r="BG4" s="22">
        <f t="shared" ref="BG4:BG67" si="7">(BE4+BF4)*0.475*44/12</f>
        <v>1.4380138466054599</v>
      </c>
      <c r="BH4" s="62">
        <f t="shared" ref="BH4:BH67" si="8">BG4+(AY4+AZ4)*44/12</f>
        <v>259.32690273549434</v>
      </c>
      <c r="BI4" s="62">
        <f ca="1">AVERAGE(OFFSET($BH$3,0,0,'Données projet'!$E$11+1,1))-AVERAGE(OFFSET($H$3,0,0,'Données projet'!$E$11+1,1))</f>
        <v>284.72381074796073</v>
      </c>
      <c r="BJ4" s="62">
        <f>$BJ$3</f>
        <v>190.4880882944471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2.5115384615384619</v>
      </c>
      <c r="BY4" s="13">
        <f>IF('Données projet'!$A$114&gt;35,BY3+BX4-CG3,IF(A4&lt;'Données projet'!$A$114,$BV$205^A4,IF(A4='Données projet'!$A$114,'Données projet'!$B$114,BY3+BX4-CG3)))</f>
        <v>1.1549646791274306</v>
      </c>
      <c r="BZ4" s="14">
        <f>BY4*VLOOKUP('Données projet'!$B$12,Paramètres!$A$1:$I$89,3,0)*VLOOKUP('Données projet'!$B$12,Paramètres!$A$1:$I$89,5,0)</f>
        <v>1.1711341846352148</v>
      </c>
      <c r="CA4" s="14">
        <f>EXP(-1.0587+0.8836*LN(BZ4)+0.284)</f>
        <v>0.52987436341208494</v>
      </c>
      <c r="CB4" s="22">
        <f t="shared" ref="CB4:CB67" si="10">(BZ4+CA4)*0.475*44/12</f>
        <v>2.9625898878490471</v>
      </c>
      <c r="CC4" s="62">
        <f t="shared" ref="CC4:CC67" si="11">CB4+(BT4+BU4)*44/12</f>
        <v>260.85147877673791</v>
      </c>
      <c r="CD4" s="62">
        <f ca="1">AVERAGE(OFFSET($CC$3,0,0,'Données projet'!$E$12+1,1))-AVERAGE(OFFSET($H$3,0,0,'Données projet'!$E$12+1,1))</f>
        <v>496.71400086768705</v>
      </c>
      <c r="CE4" s="62">
        <f>$CE$3</f>
        <v>206.75063396134982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2.5115384615384619</v>
      </c>
      <c r="CT4" s="13">
        <f>IF('Données projet'!$A$140&gt;35,CT3+CS4-DB3,IF(A4&lt;'Données projet'!$A$140,$CQ$205^A4,IF(A4='Données projet'!$A$140,'Données projet'!$B$140,CT3+CS4-DB3)))</f>
        <v>1.1549646791274306</v>
      </c>
      <c r="CU4" s="18">
        <f>CT4*VLOOKUP('Données projet'!$B$13,Paramètres!$A$1:$I$89,3,0)*VLOOKUP('Données projet'!$B$13,Paramètres!$A$1:$I$89,5,0)</f>
        <v>1.2432039806127662</v>
      </c>
      <c r="CV4" s="14">
        <f>EXP(-1.0587+0.8836*LN(CU4)+0.284)</f>
        <v>0.55858558302768868</v>
      </c>
      <c r="CW4" s="22">
        <f t="shared" ref="CW4:CW67" si="13">(CU4+CV4)*0.475*44/12</f>
        <v>3.138116823340459</v>
      </c>
      <c r="CX4" s="62">
        <f t="shared" ref="CX4:CX67" si="14">CW4+(CO4+CP4)*44/12</f>
        <v>261.02700571222931</v>
      </c>
      <c r="CY4" s="62">
        <f ca="1">AVERAGE(OFFSET($CX$3,0,0,'Données projet'!$E$13+1,1))-AVERAGE(OFFSET($H$3,0,0,'Données projet'!$E$13+1,1))</f>
        <v>524.55238798353344</v>
      </c>
      <c r="CZ4" s="62">
        <f>$CZ$3</f>
        <v>216.94512104983255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7.4312217194570129</v>
      </c>
      <c r="N5" s="14">
        <f>IF('Données projet'!$A$36&gt;35,N4+M5-V4,IF(A5&lt;'Données projet'!$A$36,$K$205^A5,IF(A5='Données projet'!$A$36,'Données projet'!$B$36,N4+M5-V4)))</f>
        <v>1.7669992675293267</v>
      </c>
      <c r="O5" s="14">
        <f>N5*VLOOKUP('Données projet'!$B$9,Paramètres!$A$1:$I$89,3,0)*VLOOKUP('Données projet'!$B$9,Paramètres!$A$1:$I$89,5,0)</f>
        <v>1.0566655619825374</v>
      </c>
      <c r="P5" s="14">
        <f t="shared" ref="P5:P68" si="33">EXP(-1.0587+0.8836*LN(O5)+0.284)</f>
        <v>0.48384169076702271</v>
      </c>
      <c r="Q5" s="22">
        <f t="shared" si="2"/>
        <v>2.6830501318721502</v>
      </c>
      <c r="R5" s="62">
        <f t="shared" si="0"/>
        <v>261.79416124298331</v>
      </c>
      <c r="S5" s="62">
        <f ca="1">AVERAGE(OFFSET($R$3,0,0,'Données projet'!$E$9+1,1))-AVERAGE(OFFSET($H$3,0,0,'Données projet'!$E$9+1,1))</f>
        <v>260.01925143568263</v>
      </c>
      <c r="T5" s="62">
        <f t="shared" ref="T5:T68" si="34">$T$3</f>
        <v>269.95358755269427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2.3805128205128203</v>
      </c>
      <c r="AI5" s="14">
        <f>IF('Données projet'!$A$62&gt;35,AI4+AH5-AQ4,IF(A5&lt;'Données projet'!$A$62,$AF$205^A5,IF(A5='Données projet'!$A$62,'Données projet'!$B$62,AI4+AH5-AQ4)))</f>
        <v>1.610775088937616</v>
      </c>
      <c r="AJ5" s="14">
        <f>AI5*VLOOKUP('Données projet'!$B$10,Paramètres!$A$1:$I$89,3,0)*VLOOKUP('Données projet'!$B$10,Paramètres!$A$1:$I$89,5,0)</f>
        <v>0.96324350318469443</v>
      </c>
      <c r="AK5" s="14">
        <f t="shared" ref="AK5:AK68" si="35">EXP(-1.0587+0.8836*LN(AJ5)+0.284)</f>
        <v>0.44584230224208238</v>
      </c>
      <c r="AL5" s="22">
        <f t="shared" si="4"/>
        <v>2.4541577777849692</v>
      </c>
      <c r="AM5" s="62">
        <f t="shared" si="5"/>
        <v>261.56526888889613</v>
      </c>
      <c r="AN5" s="62">
        <f ca="1">AVERAGE(OFFSET($AM$3,0,0,'Données projet'!$E$10+1,1))-AVERAGE(OFFSET($H$3,0,0,'Données projet'!$E$10+1,1))</f>
        <v>289.24721145176682</v>
      </c>
      <c r="AO5" s="62">
        <f t="shared" ref="AO5:AO68" si="36">$AO$3</f>
        <v>229.06617320689003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4.9084615384615384</v>
      </c>
      <c r="BD5" s="13">
        <f>IF('Données projet'!$A$88&gt;35,BD4+BC5-BL4,IF(A5&lt;'Données projet'!$A$88,$BA$205^A5,IF(A5='Données projet'!$A$88,'Données projet'!$B$88,BD4+BC5-BL4)))</f>
        <v>1.3948829842152777</v>
      </c>
      <c r="BE5" s="14">
        <f>BD5*VLOOKUP('Données projet'!$B$11,Paramètres!$A$1:$I$89,3,0)*VLOOKUP('Données projet'!$B$11,Paramètres!$A$1:$I$89,5,0)</f>
        <v>0.65280523661274992</v>
      </c>
      <c r="BF5" s="14">
        <f t="shared" ref="BF5:BF68" si="37">EXP(-1.0587+0.8836*LN(BE5)+0.284)</f>
        <v>0.31615123301372139</v>
      </c>
      <c r="BG5" s="22">
        <f t="shared" si="7"/>
        <v>1.6875991845994376</v>
      </c>
      <c r="BH5" s="62">
        <f t="shared" si="8"/>
        <v>260.79871029571058</v>
      </c>
      <c r="BI5" s="62">
        <f ca="1">AVERAGE(OFFSET($BH$3,0,0,'Données projet'!$E$11+1,1))-AVERAGE(OFFSET($H$3,0,0,'Données projet'!$E$11+1,1))</f>
        <v>284.72381074796073</v>
      </c>
      <c r="BJ5" s="62">
        <f t="shared" ref="BJ5:BJ68" si="38">$BJ$3</f>
        <v>190.4880882944471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2.5115384615384619</v>
      </c>
      <c r="BY5" s="13">
        <f>IF('Données projet'!$A$114&gt;35,BY4+BX5-CG4,IF(A5&lt;'Données projet'!$A$114,$BV$205^A5,IF(A5='Données projet'!$A$114,'Données projet'!$B$114,BY4+BX5-CG4)))</f>
        <v>1.3339434100319287</v>
      </c>
      <c r="BZ5" s="14">
        <f>BY5*VLOOKUP('Données projet'!$B$12,Paramètres!$A$1:$I$89,3,0)*VLOOKUP('Données projet'!$B$12,Paramètres!$A$1:$I$89,5,0)</f>
        <v>1.3526186177723758</v>
      </c>
      <c r="CA5" s="14">
        <f t="shared" ref="CA5:CA68" si="39">EXP(-1.0587+0.8836*LN(BZ5)+0.284)</f>
        <v>0.60180891054154695</v>
      </c>
      <c r="CB5" s="22">
        <f t="shared" si="10"/>
        <v>3.4039612784800823</v>
      </c>
      <c r="CC5" s="62">
        <f t="shared" si="11"/>
        <v>262.51507238959124</v>
      </c>
      <c r="CD5" s="62">
        <f ca="1">AVERAGE(OFFSET($CC$3,0,0,'Données projet'!$E$12+1,1))-AVERAGE(OFFSET($H$3,0,0,'Données projet'!$E$12+1,1))</f>
        <v>496.71400086768705</v>
      </c>
      <c r="CE5" s="62">
        <f t="shared" ref="CE5:CE68" si="40">$CE$3</f>
        <v>206.75063396134982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2.5115384615384619</v>
      </c>
      <c r="CT5" s="13">
        <f>IF('Données projet'!$A$140&gt;35,CT4+CS5-DB4,IF(A5&lt;'Données projet'!$A$140,$CQ$205^A5,IF(A5='Données projet'!$A$140,'Données projet'!$B$140,CT4+CS5-DB4)))</f>
        <v>1.3339434100319287</v>
      </c>
      <c r="CU5" s="18">
        <f>CT5*VLOOKUP('Données projet'!$B$13,Paramètres!$A$1:$I$89,3,0)*VLOOKUP('Données projet'!$B$13,Paramètres!$A$1:$I$89,5,0)</f>
        <v>1.435856686558368</v>
      </c>
      <c r="CV5" s="14">
        <f t="shared" ref="CV5:CV68" si="41">EXP(-1.0587+0.8836*LN(CU5)+0.284)</f>
        <v>0.63441790050271618</v>
      </c>
      <c r="CW5" s="22">
        <f t="shared" si="13"/>
        <v>3.6057282391313876</v>
      </c>
      <c r="CX5" s="62">
        <f t="shared" si="14"/>
        <v>262.71683935024254</v>
      </c>
      <c r="CY5" s="62">
        <f ca="1">AVERAGE(OFFSET($CX$3,0,0,'Données projet'!$E$13+1,1))-AVERAGE(OFFSET($H$3,0,0,'Données projet'!$E$13+1,1))</f>
        <v>524.55238798353344</v>
      </c>
      <c r="CZ5" s="62">
        <f t="shared" ref="CZ5:CZ68" si="42">$CZ$3</f>
        <v>216.94512104983255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7.4312217194570129</v>
      </c>
      <c r="N6" s="14">
        <f>IF('Données projet'!$A$36&gt;35,N5+M6-V5,IF(A6&lt;'Données projet'!$A$36,$K$205^A6,IF(A6='Données projet'!$A$36,'Données projet'!$B$36,N5+M6-V5)))</f>
        <v>2.3488460575455909</v>
      </c>
      <c r="O6" s="14">
        <f>N6*VLOOKUP('Données projet'!$B$9,Paramètres!$A$1:$I$89,3,0)*VLOOKUP('Données projet'!$B$9,Paramètres!$A$1:$I$89,5,0)</f>
        <v>1.4046099424122636</v>
      </c>
      <c r="P6" s="14">
        <f t="shared" si="33"/>
        <v>0.62220330714804695</v>
      </c>
      <c r="Q6" s="22">
        <f t="shared" si="2"/>
        <v>3.5300330763175403</v>
      </c>
      <c r="R6" s="62">
        <f t="shared" si="0"/>
        <v>263.86336640965084</v>
      </c>
      <c r="S6" s="62">
        <f ca="1">AVERAGE(OFFSET($R$3,0,0,'Données projet'!$E$9+1,1))-AVERAGE(OFFSET($H$3,0,0,'Données projet'!$E$9+1,1))</f>
        <v>260.01925143568263</v>
      </c>
      <c r="T6" s="62">
        <f t="shared" si="34"/>
        <v>269.95358755269427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2.3805128205128203</v>
      </c>
      <c r="AI6" s="14">
        <f>IF('Données projet'!$A$62&gt;35,AI5+AH6-AQ5,IF(A6&lt;'Données projet'!$A$62,$AF$205^A6,IF(A6='Données projet'!$A$62,'Données projet'!$B$62,AI5+AH6-AQ5)))</f>
        <v>2.0443363779612804</v>
      </c>
      <c r="AJ6" s="14">
        <f>AI6*VLOOKUP('Données projet'!$B$10,Paramètres!$A$1:$I$89,3,0)*VLOOKUP('Données projet'!$B$10,Paramètres!$A$1:$I$89,5,0)</f>
        <v>1.2225131540208458</v>
      </c>
      <c r="AK6" s="14">
        <f t="shared" si="35"/>
        <v>0.55036308132321654</v>
      </c>
      <c r="AL6" s="22">
        <f t="shared" si="4"/>
        <v>3.0877594432242415</v>
      </c>
      <c r="AM6" s="62">
        <f t="shared" si="5"/>
        <v>263.42109277655754</v>
      </c>
      <c r="AN6" s="62">
        <f ca="1">AVERAGE(OFFSET($AM$3,0,0,'Données projet'!$E$10+1,1))-AVERAGE(OFFSET($H$3,0,0,'Données projet'!$E$10+1,1))</f>
        <v>289.24721145176682</v>
      </c>
      <c r="AO6" s="62">
        <f t="shared" si="36"/>
        <v>229.06617320689003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4.9084615384615384</v>
      </c>
      <c r="BD6" s="13">
        <f>IF('Données projet'!$A$88&gt;35,BD5+BC6-BL5,IF(A6&lt;'Données projet'!$A$88,$BA$205^A6,IF(A6='Données projet'!$A$88,'Données projet'!$B$88,BD5+BC6-BL5)))</f>
        <v>1.6474288407621522</v>
      </c>
      <c r="BE6" s="14">
        <f>BD6*VLOOKUP('Données projet'!$B$11,Paramètres!$A$1:$I$89,3,0)*VLOOKUP('Données projet'!$B$11,Paramètres!$A$1:$I$89,5,0)</f>
        <v>0.7709966974766872</v>
      </c>
      <c r="BF6" s="14">
        <f t="shared" si="37"/>
        <v>0.36622810482944673</v>
      </c>
      <c r="BG6" s="22">
        <f t="shared" si="7"/>
        <v>1.9806665306831832</v>
      </c>
      <c r="BH6" s="62">
        <f t="shared" si="8"/>
        <v>262.31399986401652</v>
      </c>
      <c r="BI6" s="62">
        <f ca="1">AVERAGE(OFFSET($BH$3,0,0,'Données projet'!$E$11+1,1))-AVERAGE(OFFSET($H$3,0,0,'Données projet'!$E$11+1,1))</f>
        <v>284.72381074796073</v>
      </c>
      <c r="BJ6" s="62">
        <f t="shared" si="38"/>
        <v>190.4880882944471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2.5115384615384619</v>
      </c>
      <c r="BY6" s="13">
        <f>IF('Données projet'!$A$114&gt;35,BY5+BX6-CG5,IF(A6&lt;'Données projet'!$A$114,$BV$205^A6,IF(A6='Données projet'!$A$114,'Données projet'!$B$114,BY5+BX6-CG5)))</f>
        <v>1.5406575225416772</v>
      </c>
      <c r="BZ6" s="14">
        <f>BY6*VLOOKUP('Données projet'!$B$12,Paramètres!$A$1:$I$89,3,0)*VLOOKUP('Données projet'!$B$12,Paramètres!$A$1:$I$89,5,0)</f>
        <v>1.5622267278572608</v>
      </c>
      <c r="CA6" s="14">
        <f t="shared" si="39"/>
        <v>0.68350912936231245</v>
      </c>
      <c r="CB6" s="22">
        <f t="shared" si="10"/>
        <v>3.9113232846574237</v>
      </c>
      <c r="CC6" s="62">
        <f t="shared" si="11"/>
        <v>264.24465661799076</v>
      </c>
      <c r="CD6" s="62">
        <f ca="1">AVERAGE(OFFSET($CC$3,0,0,'Données projet'!$E$12+1,1))-AVERAGE(OFFSET($H$3,0,0,'Données projet'!$E$12+1,1))</f>
        <v>496.71400086768705</v>
      </c>
      <c r="CE6" s="62">
        <f t="shared" si="40"/>
        <v>206.75063396134982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2.5115384615384619</v>
      </c>
      <c r="CT6" s="13">
        <f>IF('Données projet'!$A$140&gt;35,CT5+CS6-DB5,IF(A6&lt;'Données projet'!$A$140,$CQ$205^A6,IF(A6='Données projet'!$A$140,'Données projet'!$B$140,CT5+CS6-DB5)))</f>
        <v>1.5406575225416772</v>
      </c>
      <c r="CU6" s="18">
        <f>CT6*VLOOKUP('Données projet'!$B$13,Paramètres!$A$1:$I$89,3,0)*VLOOKUP('Données projet'!$B$13,Paramètres!$A$1:$I$89,5,0)</f>
        <v>1.6583637572638612</v>
      </c>
      <c r="CV6" s="14">
        <f t="shared" si="41"/>
        <v>0.72054504217006143</v>
      </c>
      <c r="CW6" s="22">
        <f t="shared" si="13"/>
        <v>4.1432661590140816</v>
      </c>
      <c r="CX6" s="62">
        <f t="shared" si="14"/>
        <v>264.47659949234742</v>
      </c>
      <c r="CY6" s="62">
        <f ca="1">AVERAGE(OFFSET($CX$3,0,0,'Données projet'!$E$13+1,1))-AVERAGE(OFFSET($H$3,0,0,'Données projet'!$E$13+1,1))</f>
        <v>524.55238798353344</v>
      </c>
      <c r="CZ6" s="62">
        <f t="shared" si="42"/>
        <v>216.94512104983255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7.4312217194570129</v>
      </c>
      <c r="N7" s="14">
        <f>IF('Données projet'!$A$36&gt;35,N6+M7-V6,IF(A7&lt;'Données projet'!$A$36,$K$205^A7,IF(A7='Données projet'!$A$36,'Données projet'!$B$36,N6+M7-V6)))</f>
        <v>3.1222864114491768</v>
      </c>
      <c r="O7" s="14">
        <f>N7*VLOOKUP('Données projet'!$B$9,Paramètres!$A$1:$I$89,3,0)*VLOOKUP('Données projet'!$B$9,Paramètres!$A$1:$I$89,5,0)</f>
        <v>1.8671272740466078</v>
      </c>
      <c r="P7" s="14">
        <f t="shared" si="33"/>
        <v>0.80013145376589556</v>
      </c>
      <c r="Q7" s="22">
        <f t="shared" si="2"/>
        <v>4.6454756176067766</v>
      </c>
      <c r="R7" s="62">
        <f t="shared" si="0"/>
        <v>266.20103117316233</v>
      </c>
      <c r="S7" s="62">
        <f ca="1">AVERAGE(OFFSET($R$3,0,0,'Données projet'!$E$9+1,1))-AVERAGE(OFFSET($H$3,0,0,'Données projet'!$E$9+1,1))</f>
        <v>260.01925143568263</v>
      </c>
      <c r="T7" s="62">
        <f t="shared" si="34"/>
        <v>269.95358755269427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2.3805128205128203</v>
      </c>
      <c r="AI7" s="14">
        <f>IF('Données projet'!$A$62&gt;35,AI6+AH7-AQ6,IF(A7&lt;'Données projet'!$A$62,$AF$205^A7,IF(A7='Données projet'!$A$62,'Données projet'!$B$62,AI6+AH7-AQ6)))</f>
        <v>2.5945963871419848</v>
      </c>
      <c r="AJ7" s="14">
        <f>AI7*VLOOKUP('Données projet'!$B$10,Paramètres!$A$1:$I$89,3,0)*VLOOKUP('Données projet'!$B$10,Paramètres!$A$1:$I$89,5,0)</f>
        <v>1.551568639510907</v>
      </c>
      <c r="AK7" s="14">
        <f t="shared" si="35"/>
        <v>0.67938712805030732</v>
      </c>
      <c r="AL7" s="22">
        <f t="shared" si="4"/>
        <v>3.8855812951691147</v>
      </c>
      <c r="AM7" s="62">
        <f t="shared" si="5"/>
        <v>265.44113685072466</v>
      </c>
      <c r="AN7" s="62">
        <f ca="1">AVERAGE(OFFSET($AM$3,0,0,'Données projet'!$E$10+1,1))-AVERAGE(OFFSET($H$3,0,0,'Données projet'!$E$10+1,1))</f>
        <v>289.24721145176682</v>
      </c>
      <c r="AO7" s="62">
        <f t="shared" si="36"/>
        <v>229.06617320689003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4.9084615384615384</v>
      </c>
      <c r="BD7" s="13">
        <f>IF('Données projet'!$A$88&gt;35,BD6+BC7-BL6,IF(A7&lt;'Données projet'!$A$88,$BA$205^A7,IF(A7='Données projet'!$A$88,'Données projet'!$B$88,BD6+BC7-BL6)))</f>
        <v>1.9456985396533186</v>
      </c>
      <c r="BE7" s="14">
        <f>BD7*VLOOKUP('Données projet'!$B$11,Paramètres!$A$1:$I$89,3,0)*VLOOKUP('Données projet'!$B$11,Paramètres!$A$1:$I$89,5,0)</f>
        <v>0.91058691655775315</v>
      </c>
      <c r="BF7" s="14">
        <f t="shared" si="37"/>
        <v>0.42423691816235021</v>
      </c>
      <c r="BG7" s="22">
        <f t="shared" si="7"/>
        <v>2.32481817880418</v>
      </c>
      <c r="BH7" s="62">
        <f t="shared" si="8"/>
        <v>263.88037373435975</v>
      </c>
      <c r="BI7" s="62">
        <f ca="1">AVERAGE(OFFSET($BH$3,0,0,'Données projet'!$E$11+1,1))-AVERAGE(OFFSET($H$3,0,0,'Données projet'!$E$11+1,1))</f>
        <v>284.72381074796073</v>
      </c>
      <c r="BJ7" s="62">
        <f t="shared" si="38"/>
        <v>190.4880882944471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2.5115384615384619</v>
      </c>
      <c r="BY7" s="13">
        <f>IF('Données projet'!$A$114&gt;35,BY6+BX7-CG6,IF(A7&lt;'Données projet'!$A$114,$BV$205^A7,IF(A7='Données projet'!$A$114,'Données projet'!$B$114,BY6+BX7-CG6)))</f>
        <v>1.7794050211676105</v>
      </c>
      <c r="BZ7" s="14">
        <f>BY7*VLOOKUP('Données projet'!$B$12,Paramètres!$A$1:$I$89,3,0)*VLOOKUP('Données projet'!$B$12,Paramètres!$A$1:$I$89,5,0)</f>
        <v>1.804316691463957</v>
      </c>
      <c r="CA7" s="14">
        <f t="shared" si="39"/>
        <v>0.77630078541247105</v>
      </c>
      <c r="CB7" s="22">
        <f t="shared" si="10"/>
        <v>4.4945754388931123</v>
      </c>
      <c r="CC7" s="62">
        <f t="shared" si="11"/>
        <v>266.05013099444864</v>
      </c>
      <c r="CD7" s="62">
        <f ca="1">AVERAGE(OFFSET($CC$3,0,0,'Données projet'!$E$12+1,1))-AVERAGE(OFFSET($H$3,0,0,'Données projet'!$E$12+1,1))</f>
        <v>496.71400086768705</v>
      </c>
      <c r="CE7" s="62">
        <f t="shared" si="40"/>
        <v>206.75063396134982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2.5115384615384619</v>
      </c>
      <c r="CT7" s="13">
        <f>IF('Données projet'!$A$140&gt;35,CT6+CS7-DB6,IF(A7&lt;'Données projet'!$A$140,$CQ$205^A7,IF(A7='Données projet'!$A$140,'Données projet'!$B$140,CT6+CS7-DB6)))</f>
        <v>1.7794050211676105</v>
      </c>
      <c r="CU7" s="18">
        <f>CT7*VLOOKUP('Données projet'!$B$13,Paramètres!$A$1:$I$89,3,0)*VLOOKUP('Données projet'!$B$13,Paramètres!$A$1:$I$89,5,0)</f>
        <v>1.9153515647848158</v>
      </c>
      <c r="CV7" s="14">
        <f t="shared" si="41"/>
        <v>0.81836461011653461</v>
      </c>
      <c r="CW7" s="22">
        <f t="shared" si="13"/>
        <v>4.7612223379531846</v>
      </c>
      <c r="CX7" s="62">
        <f t="shared" si="14"/>
        <v>266.31677789350874</v>
      </c>
      <c r="CY7" s="62">
        <f ca="1">AVERAGE(OFFSET($CX$3,0,0,'Données projet'!$E$13+1,1))-AVERAGE(OFFSET($H$3,0,0,'Données projet'!$E$13+1,1))</f>
        <v>524.55238798353344</v>
      </c>
      <c r="CZ7" s="62">
        <f t="shared" si="42"/>
        <v>216.94512104983255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7.4312217194570129</v>
      </c>
      <c r="N8" s="14">
        <f>IF('Données projet'!$A$36&gt;35,N7+M8-V7,IF(A8&lt;'Données projet'!$A$36,$K$205^A8,IF(A8='Données projet'!$A$36,'Données projet'!$B$36,N7+M8-V7)))</f>
        <v>4.1504092632222056</v>
      </c>
      <c r="O8" s="14">
        <f>N8*VLOOKUP('Données projet'!$B$9,Paramètres!$A$1:$I$89,3,0)*VLOOKUP('Données projet'!$B$9,Paramètres!$A$1:$I$89,5,0)</f>
        <v>2.4819447394068792</v>
      </c>
      <c r="P8" s="14">
        <f t="shared" si="33"/>
        <v>1.0289407593154982</v>
      </c>
      <c r="Q8" s="22">
        <f t="shared" si="2"/>
        <v>6.1147922436081394</v>
      </c>
      <c r="R8" s="62">
        <f t="shared" si="0"/>
        <v>268.89257002138589</v>
      </c>
      <c r="S8" s="62">
        <f ca="1">AVERAGE(OFFSET($R$3,0,0,'Données projet'!$E$9+1,1))-AVERAGE(OFFSET($H$3,0,0,'Données projet'!$E$9+1,1))</f>
        <v>260.01925143568263</v>
      </c>
      <c r="T8" s="62">
        <f t="shared" si="34"/>
        <v>269.95358755269427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2.3805128205128203</v>
      </c>
      <c r="AI8" s="14">
        <f>IF('Données projet'!$A$62&gt;35,AI7+AH8-AQ7,IF(A8&lt;'Données projet'!$A$62,$AF$205^A8,IF(A8='Données projet'!$A$62,'Données projet'!$B$62,AI7+AH8-AQ7)))</f>
        <v>3.2929661110289854</v>
      </c>
      <c r="AJ8" s="14">
        <f>AI8*VLOOKUP('Données projet'!$B$10,Paramètres!$A$1:$I$89,3,0)*VLOOKUP('Données projet'!$B$10,Paramètres!$A$1:$I$89,5,0)</f>
        <v>1.9691937343953334</v>
      </c>
      <c r="AK8" s="14">
        <f t="shared" si="35"/>
        <v>0.83865885162703413</v>
      </c>
      <c r="AL8" s="22">
        <f t="shared" si="4"/>
        <v>4.8903432539889566</v>
      </c>
      <c r="AM8" s="62">
        <f t="shared" si="5"/>
        <v>267.6681210317667</v>
      </c>
      <c r="AN8" s="62">
        <f ca="1">AVERAGE(OFFSET($AM$3,0,0,'Données projet'!$E$10+1,1))-AVERAGE(OFFSET($H$3,0,0,'Données projet'!$E$10+1,1))</f>
        <v>289.24721145176682</v>
      </c>
      <c r="AO8" s="62">
        <f t="shared" si="36"/>
        <v>229.06617320689003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4.9084615384615384</v>
      </c>
      <c r="BD8" s="13">
        <f>IF('Données projet'!$A$88&gt;35,BD7+BC8-BL7,IF(A8&lt;'Données projet'!$A$88,$BA$205^A8,IF(A8='Données projet'!$A$88,'Données projet'!$B$88,BD7+BC8-BL7)))</f>
        <v>2.2979704576846265</v>
      </c>
      <c r="BE8" s="14">
        <f>BD8*VLOOKUP('Données projet'!$B$11,Paramètres!$A$1:$I$89,3,0)*VLOOKUP('Données projet'!$B$11,Paramètres!$A$1:$I$89,5,0)</f>
        <v>1.0754501741964051</v>
      </c>
      <c r="BF8" s="14">
        <f t="shared" si="37"/>
        <v>0.49143405532927165</v>
      </c>
      <c r="BG8" s="22">
        <f t="shared" si="7"/>
        <v>2.7289900330905534</v>
      </c>
      <c r="BH8" s="62">
        <f t="shared" si="8"/>
        <v>265.50676781086833</v>
      </c>
      <c r="BI8" s="62">
        <f ca="1">AVERAGE(OFFSET($BH$3,0,0,'Données projet'!$E$11+1,1))-AVERAGE(OFFSET($H$3,0,0,'Données projet'!$E$11+1,1))</f>
        <v>284.72381074796073</v>
      </c>
      <c r="BJ8" s="62">
        <f t="shared" si="38"/>
        <v>190.4880882944471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2.5115384615384619</v>
      </c>
      <c r="BY8" s="13">
        <f>IF('Données projet'!$A$114&gt;35,BY7+BX8-CG7,IF(A8&lt;'Données projet'!$A$114,$BV$205^A8,IF(A8='Données projet'!$A$114,'Données projet'!$B$114,BY7+BX8-CG7)))</f>
        <v>2.055149949310588</v>
      </c>
      <c r="BZ8" s="14">
        <f>BY8*VLOOKUP('Données projet'!$B$12,Paramètres!$A$1:$I$89,3,0)*VLOOKUP('Données projet'!$B$12,Paramètres!$A$1:$I$89,5,0)</f>
        <v>2.0839220486009364</v>
      </c>
      <c r="CA8" s="14">
        <f t="shared" si="39"/>
        <v>0.88168962716600707</v>
      </c>
      <c r="CB8" s="22">
        <f t="shared" si="10"/>
        <v>5.1651070019607603</v>
      </c>
      <c r="CC8" s="62">
        <f t="shared" si="11"/>
        <v>267.94288477973851</v>
      </c>
      <c r="CD8" s="62">
        <f ca="1">AVERAGE(OFFSET($CC$3,0,0,'Données projet'!$E$12+1,1))-AVERAGE(OFFSET($H$3,0,0,'Données projet'!$E$12+1,1))</f>
        <v>496.71400086768705</v>
      </c>
      <c r="CE8" s="62">
        <f t="shared" si="40"/>
        <v>206.75063396134982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2.5115384615384619</v>
      </c>
      <c r="CT8" s="13">
        <f>IF('Données projet'!$A$140&gt;35,CT7+CS8-DB7,IF(A8&lt;'Données projet'!$A$140,$CQ$205^A8,IF(A8='Données projet'!$A$140,'Données projet'!$B$140,CT7+CS8-DB7)))</f>
        <v>2.055149949310588</v>
      </c>
      <c r="CU8" s="18">
        <f>CT8*VLOOKUP('Données projet'!$B$13,Paramètres!$A$1:$I$89,3,0)*VLOOKUP('Données projet'!$B$13,Paramètres!$A$1:$I$89,5,0)</f>
        <v>2.2121634054379169</v>
      </c>
      <c r="CV8" s="14">
        <f t="shared" si="41"/>
        <v>0.92946394173248847</v>
      </c>
      <c r="CW8" s="22">
        <f t="shared" si="13"/>
        <v>5.4716676296551228</v>
      </c>
      <c r="CX8" s="62">
        <f t="shared" si="14"/>
        <v>268.24944540743292</v>
      </c>
      <c r="CY8" s="62">
        <f ca="1">AVERAGE(OFFSET($CX$3,0,0,'Données projet'!$E$13+1,1))-AVERAGE(OFFSET($H$3,0,0,'Données projet'!$E$13+1,1))</f>
        <v>524.55238798353344</v>
      </c>
      <c r="CZ8" s="62">
        <f t="shared" si="42"/>
        <v>216.94512104983255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7.4312217194570129</v>
      </c>
      <c r="N9" s="14">
        <f>IF('Données projet'!$A$36&gt;35,N8+M9-V8,IF(A9&lt;'Données projet'!$A$36,$K$205^A9,IF(A9='Données projet'!$A$36,'Données projet'!$B$36,N8+M9-V8)))</f>
        <v>5.5170778020474653</v>
      </c>
      <c r="O9" s="14">
        <f>N9*VLOOKUP('Données projet'!$B$9,Paramètres!$A$1:$I$89,3,0)*VLOOKUP('Données projet'!$B$9,Paramètres!$A$1:$I$89,5,0)</f>
        <v>3.2992125256243843</v>
      </c>
      <c r="P9" s="14">
        <f t="shared" si="33"/>
        <v>1.3231814362474952</v>
      </c>
      <c r="Q9" s="22">
        <f t="shared" si="2"/>
        <v>8.0506694835935235</v>
      </c>
      <c r="R9" s="62">
        <f t="shared" si="0"/>
        <v>272.05066948359354</v>
      </c>
      <c r="S9" s="62">
        <f ca="1">AVERAGE(OFFSET($R$3,0,0,'Données projet'!$E$9+1,1))-AVERAGE(OFFSET($H$3,0,0,'Données projet'!$E$9+1,1))</f>
        <v>260.01925143568263</v>
      </c>
      <c r="T9" s="62">
        <f t="shared" si="34"/>
        <v>269.95358755269427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2.3805128205128203</v>
      </c>
      <c r="AI9" s="14">
        <f>IF('Données projet'!$A$62&gt;35,AI8+AH9-AQ8,IF(A9&lt;'Données projet'!$A$62,$AF$205^A9,IF(A9='Données projet'!$A$62,'Données projet'!$B$62,AI8+AH9-AQ8)))</f>
        <v>4.1793112262558481</v>
      </c>
      <c r="AJ9" s="14">
        <f>AI9*VLOOKUP('Données projet'!$B$10,Paramètres!$A$1:$I$89,3,0)*VLOOKUP('Données projet'!$B$10,Paramètres!$A$1:$I$89,5,0)</f>
        <v>2.4992281133009975</v>
      </c>
      <c r="AK9" s="14">
        <f t="shared" si="35"/>
        <v>1.0352693484653335</v>
      </c>
      <c r="AL9" s="22">
        <f t="shared" si="4"/>
        <v>6.1559164125763592</v>
      </c>
      <c r="AM9" s="62">
        <f t="shared" si="5"/>
        <v>270.15591641257635</v>
      </c>
      <c r="AN9" s="62">
        <f ca="1">AVERAGE(OFFSET($AM$3,0,0,'Données projet'!$E$10+1,1))-AVERAGE(OFFSET($H$3,0,0,'Données projet'!$E$10+1,1))</f>
        <v>289.24721145176682</v>
      </c>
      <c r="AO9" s="62">
        <f t="shared" si="36"/>
        <v>229.06617320689003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4.9084615384615384</v>
      </c>
      <c r="BD9" s="13">
        <f>IF('Données projet'!$A$88&gt;35,BD8+BC9-BL8,IF(A9&lt;'Données projet'!$A$88,$BA$205^A9,IF(A9='Données projet'!$A$88,'Données projet'!$B$88,BD8+BC9-BL8)))</f>
        <v>2.7140217853749289</v>
      </c>
      <c r="BE9" s="14">
        <f>BD9*VLOOKUP('Données projet'!$B$11,Paramètres!$A$1:$I$89,3,0)*VLOOKUP('Données projet'!$B$11,Paramètres!$A$1:$I$89,5,0)</f>
        <v>1.2701621955554667</v>
      </c>
      <c r="BF9" s="14">
        <f t="shared" si="37"/>
        <v>0.56927490371064715</v>
      </c>
      <c r="BG9" s="22">
        <f t="shared" si="7"/>
        <v>3.203686281221815</v>
      </c>
      <c r="BH9" s="62">
        <f t="shared" si="8"/>
        <v>267.20368628122179</v>
      </c>
      <c r="BI9" s="62">
        <f ca="1">AVERAGE(OFFSET($BH$3,0,0,'Données projet'!$E$11+1,1))-AVERAGE(OFFSET($H$3,0,0,'Données projet'!$E$11+1,1))</f>
        <v>284.72381074796073</v>
      </c>
      <c r="BJ9" s="62">
        <f t="shared" si="38"/>
        <v>190.4880882944471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2.5115384615384619</v>
      </c>
      <c r="BY9" s="13">
        <f>IF('Données projet'!$A$114&gt;35,BY8+BX9-CG8,IF(A9&lt;'Données projet'!$A$114,$BV$205^A9,IF(A9='Données projet'!$A$114,'Données projet'!$B$114,BY8+BX9-CG8)))</f>
        <v>2.3736256017642585</v>
      </c>
      <c r="BZ9" s="14">
        <f>BY9*VLOOKUP('Données projet'!$B$12,Paramètres!$A$1:$I$89,3,0)*VLOOKUP('Données projet'!$B$12,Paramètres!$A$1:$I$89,5,0)</f>
        <v>2.4068563601889585</v>
      </c>
      <c r="CA9" s="14">
        <f t="shared" si="39"/>
        <v>1.0013858201097787</v>
      </c>
      <c r="CB9" s="22">
        <f t="shared" si="10"/>
        <v>5.9360217973536349</v>
      </c>
      <c r="CC9" s="62">
        <f t="shared" si="11"/>
        <v>269.93602179735365</v>
      </c>
      <c r="CD9" s="62">
        <f ca="1">AVERAGE(OFFSET($CC$3,0,0,'Données projet'!$E$12+1,1))-AVERAGE(OFFSET($H$3,0,0,'Données projet'!$E$12+1,1))</f>
        <v>496.71400086768705</v>
      </c>
      <c r="CE9" s="62">
        <f t="shared" si="40"/>
        <v>206.75063396134982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2.5115384615384619</v>
      </c>
      <c r="CT9" s="13">
        <f>IF('Données projet'!$A$140&gt;35,CT8+CS9-DB8,IF(A9&lt;'Données projet'!$A$140,$CQ$205^A9,IF(A9='Données projet'!$A$140,'Données projet'!$B$140,CT8+CS9-DB8)))</f>
        <v>2.3736256017642585</v>
      </c>
      <c r="CU9" s="18">
        <f>CT9*VLOOKUP('Données projet'!$B$13,Paramètres!$A$1:$I$89,3,0)*VLOOKUP('Données projet'!$B$13,Paramètres!$A$1:$I$89,5,0)</f>
        <v>2.5549705977390476</v>
      </c>
      <c r="CV9" s="14">
        <f t="shared" si="41"/>
        <v>1.0556458677482101</v>
      </c>
      <c r="CW9" s="22">
        <f t="shared" si="13"/>
        <v>6.2884903440569744</v>
      </c>
      <c r="CX9" s="62">
        <f t="shared" si="14"/>
        <v>270.28849034405698</v>
      </c>
      <c r="CY9" s="62">
        <f ca="1">AVERAGE(OFFSET($CX$3,0,0,'Données projet'!$E$13+1,1))-AVERAGE(OFFSET($H$3,0,0,'Données projet'!$E$13+1,1))</f>
        <v>524.55238798353344</v>
      </c>
      <c r="CZ9" s="62">
        <f t="shared" si="42"/>
        <v>216.94512104983255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7.4312217194570129</v>
      </c>
      <c r="N10" s="14">
        <f>IF('Données projet'!$A$36&gt;35,N9+M10-V9,IF(A10&lt;'Données projet'!$A$36,$K$205^A10,IF(A10='Données projet'!$A$36,'Données projet'!$B$36,N9+M10-V9)))</f>
        <v>7.3337701280605696</v>
      </c>
      <c r="O10" s="14">
        <f>N10*VLOOKUP('Données projet'!$B$9,Paramètres!$A$1:$I$89,3,0)*VLOOKUP('Données projet'!$B$9,Paramètres!$A$1:$I$89,5,0)</f>
        <v>4.3855945365802205</v>
      </c>
      <c r="P10" s="14">
        <f t="shared" si="33"/>
        <v>1.7015645433219191</v>
      </c>
      <c r="Q10" s="22">
        <f t="shared" si="2"/>
        <v>10.601802064162893</v>
      </c>
      <c r="R10" s="62">
        <f t="shared" si="0"/>
        <v>275.82402428638511</v>
      </c>
      <c r="S10" s="62">
        <f ca="1">AVERAGE(OFFSET($R$3,0,0,'Données projet'!$E$9+1,1))-AVERAGE(OFFSET($H$3,0,0,'Données projet'!$E$9+1,1))</f>
        <v>260.01925143568263</v>
      </c>
      <c r="T10" s="62">
        <f t="shared" si="34"/>
        <v>269.95358755269427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2.3805128205128203</v>
      </c>
      <c r="AI10" s="14">
        <f>IF('Données projet'!$A$62&gt;35,AI9+AH10-AQ9,IF(A10&lt;'Données projet'!$A$62,$AF$205^A10,IF(A10='Données projet'!$A$62,'Données projet'!$B$62,AI9+AH10-AQ9)))</f>
        <v>5.304227780361269</v>
      </c>
      <c r="AJ10" s="14">
        <f>AI10*VLOOKUP('Données projet'!$B$10,Paramètres!$A$1:$I$89,3,0)*VLOOKUP('Données projet'!$B$10,Paramètres!$A$1:$I$89,5,0)</f>
        <v>3.1719282126560389</v>
      </c>
      <c r="AK10" s="14">
        <f t="shared" si="35"/>
        <v>1.2779721120125676</v>
      </c>
      <c r="AL10" s="22">
        <f t="shared" si="4"/>
        <v>7.7502430654644883</v>
      </c>
      <c r="AM10" s="62">
        <f t="shared" si="5"/>
        <v>272.9724652876867</v>
      </c>
      <c r="AN10" s="62">
        <f ca="1">AVERAGE(OFFSET($AM$3,0,0,'Données projet'!$E$10+1,1))-AVERAGE(OFFSET($H$3,0,0,'Données projet'!$E$10+1,1))</f>
        <v>289.24721145176682</v>
      </c>
      <c r="AO10" s="62">
        <f t="shared" si="36"/>
        <v>229.06617320689003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4.9084615384615384</v>
      </c>
      <c r="BD10" s="13">
        <f>IF('Données projet'!$A$88&gt;35,BD9+BC10-BL9,IF(A10&lt;'Données projet'!$A$88,$BA$205^A10,IF(A10='Données projet'!$A$88,'Données projet'!$B$88,BD9+BC10-BL9)))</f>
        <v>3.2053998896536791</v>
      </c>
      <c r="BE10" s="14">
        <f>BD10*VLOOKUP('Données projet'!$B$11,Paramètres!$A$1:$I$89,3,0)*VLOOKUP('Données projet'!$B$11,Paramètres!$A$1:$I$89,5,0)</f>
        <v>1.5001271483579217</v>
      </c>
      <c r="BF10" s="14">
        <f t="shared" si="37"/>
        <v>0.65944537721878049</v>
      </c>
      <c r="BG10" s="22">
        <f t="shared" si="7"/>
        <v>3.7612554820460891</v>
      </c>
      <c r="BH10" s="62">
        <f t="shared" si="8"/>
        <v>268.9834777042683</v>
      </c>
      <c r="BI10" s="62">
        <f ca="1">AVERAGE(OFFSET($BH$3,0,0,'Données projet'!$E$11+1,1))-AVERAGE(OFFSET($H$3,0,0,'Données projet'!$E$11+1,1))</f>
        <v>284.72381074796073</v>
      </c>
      <c r="BJ10" s="62">
        <f t="shared" si="38"/>
        <v>190.4880882944471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2.5115384615384619</v>
      </c>
      <c r="BY10" s="13">
        <f>IF('Données projet'!$A$114&gt;35,BY9+BX10-CG9,IF(A10&lt;'Données projet'!$A$114,$BV$205^A10,IF(A10='Données projet'!$A$114,'Données projet'!$B$114,BY9+BX10-CG9)))</f>
        <v>2.7414537315103114</v>
      </c>
      <c r="BZ10" s="14">
        <f>BY10*VLOOKUP('Données projet'!$B$12,Paramètres!$A$1:$I$89,3,0)*VLOOKUP('Données projet'!$B$12,Paramètres!$A$1:$I$89,5,0)</f>
        <v>2.7798340837514557</v>
      </c>
      <c r="CA10" s="14">
        <f t="shared" si="39"/>
        <v>1.1373316979356147</v>
      </c>
      <c r="CB10" s="22">
        <f t="shared" si="10"/>
        <v>6.8223970697716476</v>
      </c>
      <c r="CC10" s="62">
        <f t="shared" si="11"/>
        <v>272.04461929199385</v>
      </c>
      <c r="CD10" s="62">
        <f ca="1">AVERAGE(OFFSET($CC$3,0,0,'Données projet'!$E$12+1,1))-AVERAGE(OFFSET($H$3,0,0,'Données projet'!$E$12+1,1))</f>
        <v>496.71400086768705</v>
      </c>
      <c r="CE10" s="62">
        <f t="shared" si="40"/>
        <v>206.75063396134982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2.5115384615384619</v>
      </c>
      <c r="CT10" s="13">
        <f>IF('Données projet'!$A$140&gt;35,CT9+CS10-DB9,IF(A10&lt;'Données projet'!$A$140,$CQ$205^A10,IF(A10='Données projet'!$A$140,'Données projet'!$B$140,CT9+CS10-DB9)))</f>
        <v>2.7414537315103114</v>
      </c>
      <c r="CU10" s="18">
        <f>CT10*VLOOKUP('Données projet'!$B$13,Paramètres!$A$1:$I$89,3,0)*VLOOKUP('Données projet'!$B$13,Paramètres!$A$1:$I$89,5,0)</f>
        <v>2.9509007965976988</v>
      </c>
      <c r="CV10" s="14">
        <f t="shared" si="41"/>
        <v>1.1989579671231687</v>
      </c>
      <c r="CW10" s="22">
        <f t="shared" si="13"/>
        <v>7.2276706801471775</v>
      </c>
      <c r="CX10" s="62">
        <f t="shared" si="14"/>
        <v>272.44989290236941</v>
      </c>
      <c r="CY10" s="62">
        <f ca="1">AVERAGE(OFFSET($CX$3,0,0,'Données projet'!$E$13+1,1))-AVERAGE(OFFSET($H$3,0,0,'Données projet'!$E$13+1,1))</f>
        <v>524.55238798353344</v>
      </c>
      <c r="CZ10" s="62">
        <f t="shared" si="42"/>
        <v>216.94512104983255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7.4312217194570129</v>
      </c>
      <c r="N11" s="14">
        <f>IF('Données projet'!$A$36&gt;35,N10+M11-V10,IF(A11&lt;'Données projet'!$A$36,$K$205^A11,IF(A11='Données projet'!$A$36,'Données projet'!$B$36,N10+M11-V10)))</f>
        <v>9.748672435120179</v>
      </c>
      <c r="O11" s="14">
        <f>N11*VLOOKUP('Données projet'!$B$9,Paramètres!$A$1:$I$89,3,0)*VLOOKUP('Données projet'!$B$9,Paramètres!$A$1:$I$89,5,0)</f>
        <v>5.8297061162018684</v>
      </c>
      <c r="P11" s="14">
        <f t="shared" si="33"/>
        <v>2.1881518405377438</v>
      </c>
      <c r="Q11" s="22">
        <f t="shared" si="2"/>
        <v>13.96443594132149</v>
      </c>
      <c r="R11" s="62">
        <f t="shared" si="0"/>
        <v>280.40888038576594</v>
      </c>
      <c r="S11" s="62">
        <f ca="1">AVERAGE(OFFSET($R$3,0,0,'Données projet'!$E$9+1,1))-AVERAGE(OFFSET($H$3,0,0,'Données projet'!$E$9+1,1))</f>
        <v>260.01925143568263</v>
      </c>
      <c r="T11" s="62">
        <f t="shared" si="34"/>
        <v>269.95358755269427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2.3805128205128203</v>
      </c>
      <c r="AI11" s="14">
        <f>IF('Données projet'!$A$62&gt;35,AI10+AH11-AQ10,IF(A11&lt;'Données projet'!$A$62,$AF$205^A11,IF(A11='Données projet'!$A$62,'Données projet'!$B$62,AI10+AH11-AQ10)))</f>
        <v>6.7319304121702404</v>
      </c>
      <c r="AJ11" s="14">
        <f>AI11*VLOOKUP('Données projet'!$B$10,Paramètres!$A$1:$I$89,3,0)*VLOOKUP('Données projet'!$B$10,Paramètres!$A$1:$I$89,5,0)</f>
        <v>4.0256943864778041</v>
      </c>
      <c r="AK11" s="14">
        <f t="shared" si="35"/>
        <v>1.5775727558271786</v>
      </c>
      <c r="AL11" s="22">
        <f t="shared" si="4"/>
        <v>9.759023606181179</v>
      </c>
      <c r="AM11" s="62">
        <f t="shared" si="5"/>
        <v>276.20346805062564</v>
      </c>
      <c r="AN11" s="62">
        <f ca="1">AVERAGE(OFFSET($AM$3,0,0,'Données projet'!$E$10+1,1))-AVERAGE(OFFSET($H$3,0,0,'Données projet'!$E$10+1,1))</f>
        <v>289.24721145176682</v>
      </c>
      <c r="AO11" s="62">
        <f t="shared" si="36"/>
        <v>229.06617320689003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4.9084615384615384</v>
      </c>
      <c r="BD11" s="13">
        <f>IF('Données projet'!$A$88&gt;35,BD10+BC11-BL10,IF(A11&lt;'Données projet'!$A$88,$BA$205^A11,IF(A11='Données projet'!$A$88,'Données projet'!$B$88,BD10+BC11-BL10)))</f>
        <v>3.7857428072090569</v>
      </c>
      <c r="BE11" s="14">
        <f>BD11*VLOOKUP('Données projet'!$B$11,Paramètres!$A$1:$I$89,3,0)*VLOOKUP('Données projet'!$B$11,Paramètres!$A$1:$I$89,5,0)</f>
        <v>1.7717276337738388</v>
      </c>
      <c r="BF11" s="14">
        <f t="shared" si="37"/>
        <v>0.76389843061877893</v>
      </c>
      <c r="BG11" s="22">
        <f t="shared" si="7"/>
        <v>4.4162153954838086</v>
      </c>
      <c r="BH11" s="62">
        <f t="shared" si="8"/>
        <v>270.86065983992825</v>
      </c>
      <c r="BI11" s="62">
        <f ca="1">AVERAGE(OFFSET($BH$3,0,0,'Données projet'!$E$11+1,1))-AVERAGE(OFFSET($H$3,0,0,'Données projet'!$E$11+1,1))</f>
        <v>284.72381074796073</v>
      </c>
      <c r="BJ11" s="62">
        <f t="shared" si="38"/>
        <v>190.4880882944471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2.5115384615384619</v>
      </c>
      <c r="BY11" s="13">
        <f>IF('Données projet'!$A$114&gt;35,BY10+BX11-CG10,IF(A11&lt;'Données projet'!$A$114,$BV$205^A11,IF(A11='Données projet'!$A$114,'Données projet'!$B$114,BY10+BX11-CG10)))</f>
        <v>3.1662822293565043</v>
      </c>
      <c r="BZ11" s="14">
        <f>BY11*VLOOKUP('Données projet'!$B$12,Paramètres!$A$1:$I$89,3,0)*VLOOKUP('Données projet'!$B$12,Paramètres!$A$1:$I$89,5,0)</f>
        <v>3.2106101805674951</v>
      </c>
      <c r="CA11" s="14">
        <f t="shared" si="39"/>
        <v>1.2917332811715903</v>
      </c>
      <c r="CB11" s="22">
        <f t="shared" si="10"/>
        <v>7.8415815291955733</v>
      </c>
      <c r="CC11" s="62">
        <f t="shared" si="11"/>
        <v>274.28602597364005</v>
      </c>
      <c r="CD11" s="62">
        <f ca="1">AVERAGE(OFFSET($CC$3,0,0,'Données projet'!$E$12+1,1))-AVERAGE(OFFSET($H$3,0,0,'Données projet'!$E$12+1,1))</f>
        <v>496.71400086768705</v>
      </c>
      <c r="CE11" s="62">
        <f t="shared" si="40"/>
        <v>206.75063396134982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2.5115384615384619</v>
      </c>
      <c r="CT11" s="13">
        <f>IF('Données projet'!$A$140&gt;35,CT10+CS11-DB10,IF(A11&lt;'Données projet'!$A$140,$CQ$205^A11,IF(A11='Données projet'!$A$140,'Données projet'!$B$140,CT10+CS11-DB10)))</f>
        <v>3.1662822293565043</v>
      </c>
      <c r="CU11" s="18">
        <f>CT11*VLOOKUP('Données projet'!$B$13,Paramètres!$A$1:$I$89,3,0)*VLOOKUP('Données projet'!$B$13,Paramètres!$A$1:$I$89,5,0)</f>
        <v>3.408186191679341</v>
      </c>
      <c r="CV11" s="14">
        <f t="shared" si="41"/>
        <v>1.3617257935129718</v>
      </c>
      <c r="CW11" s="22">
        <f t="shared" si="13"/>
        <v>8.3075967075432775</v>
      </c>
      <c r="CX11" s="62">
        <f t="shared" si="14"/>
        <v>274.75204115198773</v>
      </c>
      <c r="CY11" s="62">
        <f ca="1">AVERAGE(OFFSET($CX$3,0,0,'Données projet'!$E$13+1,1))-AVERAGE(OFFSET($H$3,0,0,'Données projet'!$E$13+1,1))</f>
        <v>524.55238798353344</v>
      </c>
      <c r="CZ11" s="62">
        <f t="shared" si="42"/>
        <v>216.94512104983255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7.4312217194570129</v>
      </c>
      <c r="N12" s="14">
        <f>IF('Données projet'!$A$36&gt;35,N11+M12-V11,IF(A12&lt;'Données projet'!$A$36,$K$205^A12,IF(A12='Données projet'!$A$36,'Données projet'!$B$36,N11+M12-V11)))</f>
        <v>12.958766444511483</v>
      </c>
      <c r="O12" s="14">
        <f>N12*VLOOKUP('Données projet'!$B$9,Paramètres!$A$1:$I$89,3,0)*VLOOKUP('Données projet'!$B$9,Paramètres!$A$1:$I$89,5,0)</f>
        <v>7.7493423338178671</v>
      </c>
      <c r="P12" s="14">
        <f t="shared" si="33"/>
        <v>2.8138859005026107</v>
      </c>
      <c r="Q12" s="22">
        <f t="shared" si="2"/>
        <v>18.397622508108167</v>
      </c>
      <c r="R12" s="62">
        <f t="shared" si="0"/>
        <v>286.06428917477484</v>
      </c>
      <c r="S12" s="62">
        <f ca="1">AVERAGE(OFFSET($R$3,0,0,'Données projet'!$E$9+1,1))-AVERAGE(OFFSET($H$3,0,0,'Données projet'!$E$9+1,1))</f>
        <v>260.01925143568263</v>
      </c>
      <c r="T12" s="62">
        <f t="shared" si="34"/>
        <v>269.95358755269427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2.3805128205128203</v>
      </c>
      <c r="AI12" s="14">
        <f>IF('Données projet'!$A$62&gt;35,AI11+AH12-AQ11,IF(A12&lt;'Données projet'!$A$62,$AF$205^A12,IF(A12='Données projet'!$A$62,'Données projet'!$B$62,AI11+AH12-AQ11)))</f>
        <v>8.5439179746567984</v>
      </c>
      <c r="AJ12" s="14">
        <f>AI12*VLOOKUP('Données projet'!$B$10,Paramètres!$A$1:$I$89,3,0)*VLOOKUP('Données projet'!$B$10,Paramètres!$A$1:$I$89,5,0)</f>
        <v>5.1092629488447656</v>
      </c>
      <c r="AK12" s="14">
        <f t="shared" si="35"/>
        <v>1.9474101011553873</v>
      </c>
      <c r="AL12" s="22">
        <f t="shared" si="4"/>
        <v>12.290372228750266</v>
      </c>
      <c r="AM12" s="62">
        <f t="shared" si="5"/>
        <v>279.95703889541693</v>
      </c>
      <c r="AN12" s="62">
        <f ca="1">AVERAGE(OFFSET($AM$3,0,0,'Données projet'!$E$10+1,1))-AVERAGE(OFFSET($H$3,0,0,'Données projet'!$E$10+1,1))</f>
        <v>289.24721145176682</v>
      </c>
      <c r="AO12" s="62">
        <f t="shared" si="36"/>
        <v>229.06617320689003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4.9084615384615384</v>
      </c>
      <c r="BD12" s="13">
        <f>IF('Données projet'!$A$88&gt;35,BD11+BC12-BL11,IF(A12&lt;'Données projet'!$A$88,$BA$205^A12,IF(A12='Données projet'!$A$88,'Données projet'!$B$88,BD11+BC12-BL11)))</f>
        <v>4.4711577636834461</v>
      </c>
      <c r="BE12" s="14">
        <f>BD12*VLOOKUP('Données projet'!$B$11,Paramètres!$A$1:$I$89,3,0)*VLOOKUP('Données projet'!$B$11,Paramètres!$A$1:$I$89,5,0)</f>
        <v>2.0925018334038525</v>
      </c>
      <c r="BF12" s="14">
        <f t="shared" si="37"/>
        <v>0.8848963575465858</v>
      </c>
      <c r="BG12" s="22">
        <f t="shared" si="7"/>
        <v>5.1856351825720131</v>
      </c>
      <c r="BH12" s="62">
        <f t="shared" si="8"/>
        <v>272.8523018492387</v>
      </c>
      <c r="BI12" s="62">
        <f ca="1">AVERAGE(OFFSET($BH$3,0,0,'Données projet'!$E$11+1,1))-AVERAGE(OFFSET($H$3,0,0,'Données projet'!$E$11+1,1))</f>
        <v>284.72381074796073</v>
      </c>
      <c r="BJ12" s="62">
        <f t="shared" si="38"/>
        <v>190.4880882944471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2.5115384615384619</v>
      </c>
      <c r="BY12" s="13">
        <f>IF('Données projet'!$A$114&gt;35,BY11+BX12-CG11,IF(A12&lt;'Données projet'!$A$114,$BV$205^A12,IF(A12='Données projet'!$A$114,'Données projet'!$B$114,BY11+BX12-CG11)))</f>
        <v>3.6569441390556205</v>
      </c>
      <c r="BZ12" s="14">
        <f>BY12*VLOOKUP('Données projet'!$B$12,Paramètres!$A$1:$I$89,3,0)*VLOOKUP('Données projet'!$B$12,Paramètres!$A$1:$I$89,5,0)</f>
        <v>3.7081413570023996</v>
      </c>
      <c r="CA12" s="14">
        <f t="shared" si="39"/>
        <v>1.4670960747115152</v>
      </c>
      <c r="CB12" s="22">
        <f t="shared" si="10"/>
        <v>9.0135385269017352</v>
      </c>
      <c r="CC12" s="62">
        <f t="shared" si="11"/>
        <v>276.68020519356844</v>
      </c>
      <c r="CD12" s="62">
        <f ca="1">AVERAGE(OFFSET($CC$3,0,0,'Données projet'!$E$12+1,1))-AVERAGE(OFFSET($H$3,0,0,'Données projet'!$E$12+1,1))</f>
        <v>496.71400086768705</v>
      </c>
      <c r="CE12" s="62">
        <f t="shared" si="40"/>
        <v>206.75063396134982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2.5115384615384619</v>
      </c>
      <c r="CT12" s="13">
        <f>IF('Données projet'!$A$140&gt;35,CT11+CS12-DB11,IF(A12&lt;'Données projet'!$A$140,$CQ$205^A12,IF(A12='Données projet'!$A$140,'Données projet'!$B$140,CT11+CS12-DB11)))</f>
        <v>3.6569441390556205</v>
      </c>
      <c r="CU12" s="18">
        <f>CT12*VLOOKUP('Données projet'!$B$13,Paramètres!$A$1:$I$89,3,0)*VLOOKUP('Données projet'!$B$13,Paramètres!$A$1:$I$89,5,0)</f>
        <v>3.9363346712794698</v>
      </c>
      <c r="CV12" s="14">
        <f t="shared" si="41"/>
        <v>1.5465906124864521</v>
      </c>
      <c r="CW12" s="22">
        <f t="shared" si="13"/>
        <v>9.5494282025589801</v>
      </c>
      <c r="CX12" s="62">
        <f t="shared" si="14"/>
        <v>277.21609486922569</v>
      </c>
      <c r="CY12" s="62">
        <f ca="1">AVERAGE(OFFSET($CX$3,0,0,'Données projet'!$E$13+1,1))-AVERAGE(OFFSET($H$3,0,0,'Données projet'!$E$13+1,1))</f>
        <v>524.55238798353344</v>
      </c>
      <c r="CZ12" s="62">
        <f t="shared" si="42"/>
        <v>216.94512104983255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7.4312217194570129</v>
      </c>
      <c r="N13" s="14">
        <f>IF('Données projet'!$A$36&gt;35,N12+M13-V12,IF(A13&lt;'Données projet'!$A$36,$K$205^A13,IF(A13='Données projet'!$A$36,'Données projet'!$B$36,N12+M13-V12)))</f>
        <v>17.225897052240693</v>
      </c>
      <c r="O13" s="14">
        <f>N13*VLOOKUP('Données projet'!$B$9,Paramètres!$A$1:$I$89,3,0)*VLOOKUP('Données projet'!$B$9,Paramètres!$A$1:$I$89,5,0)</f>
        <v>10.301086437239935</v>
      </c>
      <c r="P13" s="14">
        <f t="shared" si="33"/>
        <v>3.6185577775542006</v>
      </c>
      <c r="Q13" s="22">
        <f t="shared" si="2"/>
        <v>24.243380340766453</v>
      </c>
      <c r="R13" s="62">
        <f t="shared" si="0"/>
        <v>293.13226922965532</v>
      </c>
      <c r="S13" s="62">
        <f ca="1">AVERAGE(OFFSET($R$3,0,0,'Données projet'!$E$9+1,1))-AVERAGE(OFFSET($H$3,0,0,'Données projet'!$E$9+1,1))</f>
        <v>260.01925143568263</v>
      </c>
      <c r="T13" s="62">
        <f t="shared" si="34"/>
        <v>269.95358755269427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2.3805128205128203</v>
      </c>
      <c r="AI13" s="14">
        <f>IF('Données projet'!$A$62&gt;35,AI12+AH13-AQ12,IF(A13&lt;'Données projet'!$A$62,$AF$205^A13,IF(A13='Données projet'!$A$62,'Données projet'!$B$62,AI12+AH13-AQ12)))</f>
        <v>10.843625808385362</v>
      </c>
      <c r="AJ13" s="14">
        <f>AI13*VLOOKUP('Données projet'!$B$10,Paramètres!$A$1:$I$89,3,0)*VLOOKUP('Données projet'!$B$10,Paramètres!$A$1:$I$89,5,0)</f>
        <v>6.4844882334144467</v>
      </c>
      <c r="AK13" s="14">
        <f t="shared" si="35"/>
        <v>2.4039500479922649</v>
      </c>
      <c r="AL13" s="22">
        <f t="shared" si="4"/>
        <v>15.480696673450021</v>
      </c>
      <c r="AM13" s="62">
        <f t="shared" si="5"/>
        <v>284.3695855623389</v>
      </c>
      <c r="AN13" s="62">
        <f ca="1">AVERAGE(OFFSET($AM$3,0,0,'Données projet'!$E$10+1,1))-AVERAGE(OFFSET($H$3,0,0,'Données projet'!$E$10+1,1))</f>
        <v>289.24721145176682</v>
      </c>
      <c r="AO13" s="62">
        <f t="shared" si="36"/>
        <v>229.06617320689003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4.9084615384615384</v>
      </c>
      <c r="BD13" s="13">
        <f>IF('Données projet'!$A$88&gt;35,BD12+BC13-BL12,IF(A13&lt;'Données projet'!$A$88,$BA$205^A13,IF(A13='Données projet'!$A$88,'Données projet'!$B$88,BD12+BC13-BL12)))</f>
        <v>5.2806682243912917</v>
      </c>
      <c r="BE13" s="14">
        <f>BD13*VLOOKUP('Données projet'!$B$11,Paramètres!$A$1:$I$89,3,0)*VLOOKUP('Données projet'!$B$11,Paramètres!$A$1:$I$89,5,0)</f>
        <v>2.4713527290151243</v>
      </c>
      <c r="BF13" s="14">
        <f t="shared" si="37"/>
        <v>1.0250597883345953</v>
      </c>
      <c r="BG13" s="22">
        <f t="shared" si="7"/>
        <v>6.0895851343840945</v>
      </c>
      <c r="BH13" s="62">
        <f t="shared" si="8"/>
        <v>274.97847402327295</v>
      </c>
      <c r="BI13" s="62">
        <f ca="1">AVERAGE(OFFSET($BH$3,0,0,'Données projet'!$E$11+1,1))-AVERAGE(OFFSET($H$3,0,0,'Données projet'!$E$11+1,1))</f>
        <v>284.72381074796073</v>
      </c>
      <c r="BJ13" s="62">
        <f t="shared" si="38"/>
        <v>190.4880882944471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2.5115384615384619</v>
      </c>
      <c r="BY13" s="13">
        <f>IF('Données projet'!$A$114&gt;35,BY12+BX13-CG12,IF(A13&lt;'Données projet'!$A$114,$BV$205^A13,IF(A13='Données projet'!$A$114,'Données projet'!$B$114,BY12+BX13-CG12)))</f>
        <v>4.2236413141513127</v>
      </c>
      <c r="BZ13" s="14">
        <f>BY13*VLOOKUP('Données projet'!$B$12,Paramètres!$A$1:$I$89,3,0)*VLOOKUP('Données projet'!$B$12,Paramètres!$A$1:$I$89,5,0)</f>
        <v>4.2827722925494314</v>
      </c>
      <c r="CA13" s="14">
        <f t="shared" si="39"/>
        <v>1.6662657251361945</v>
      </c>
      <c r="CB13" s="22">
        <f t="shared" si="10"/>
        <v>10.361241214135799</v>
      </c>
      <c r="CC13" s="62">
        <f t="shared" si="11"/>
        <v>279.25013010302467</v>
      </c>
      <c r="CD13" s="62">
        <f ca="1">AVERAGE(OFFSET($CC$3,0,0,'Données projet'!$E$12+1,1))-AVERAGE(OFFSET($H$3,0,0,'Données projet'!$E$12+1,1))</f>
        <v>496.71400086768705</v>
      </c>
      <c r="CE13" s="62">
        <f t="shared" si="40"/>
        <v>206.75063396134982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2.5115384615384619</v>
      </c>
      <c r="CT13" s="13">
        <f>IF('Données projet'!$A$140&gt;35,CT12+CS13-DB12,IF(A13&lt;'Données projet'!$A$140,$CQ$205^A13,IF(A13='Données projet'!$A$140,'Données projet'!$B$140,CT12+CS13-DB12)))</f>
        <v>4.2236413141513127</v>
      </c>
      <c r="CU13" s="18">
        <f>CT13*VLOOKUP('Données projet'!$B$13,Paramètres!$A$1:$I$89,3,0)*VLOOKUP('Données projet'!$B$13,Paramètres!$A$1:$I$89,5,0)</f>
        <v>4.5463275105524721</v>
      </c>
      <c r="CV13" s="14">
        <f t="shared" si="41"/>
        <v>1.756552261862133</v>
      </c>
      <c r="CW13" s="22">
        <f t="shared" si="13"/>
        <v>10.977515603622104</v>
      </c>
      <c r="CX13" s="62">
        <f t="shared" si="14"/>
        <v>279.86640449251098</v>
      </c>
      <c r="CY13" s="62">
        <f ca="1">AVERAGE(OFFSET($CX$3,0,0,'Données projet'!$E$13+1,1))-AVERAGE(OFFSET($H$3,0,0,'Données projet'!$E$13+1,1))</f>
        <v>524.55238798353344</v>
      </c>
      <c r="CZ13" s="62">
        <f t="shared" si="42"/>
        <v>216.94512104983255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7.4312217194570129</v>
      </c>
      <c r="N14" s="14">
        <f>IF('Données projet'!$A$36&gt;35,N13+M14-V13,IF(A14&lt;'Données projet'!$A$36,$K$205^A14,IF(A14='Données projet'!$A$36,'Données projet'!$B$36,N13+M14-V13)))</f>
        <v>22.89813081553541</v>
      </c>
      <c r="O14" s="14">
        <f>N14*VLOOKUP('Données projet'!$B$9,Paramètres!$A$1:$I$89,3,0)*VLOOKUP('Données projet'!$B$9,Paramètres!$A$1:$I$89,5,0)</f>
        <v>13.693082227690176</v>
      </c>
      <c r="P14" s="14">
        <f t="shared" si="33"/>
        <v>4.6533373606794726</v>
      </c>
      <c r="Q14" s="22">
        <f t="shared" si="2"/>
        <v>31.953347449743802</v>
      </c>
      <c r="R14" s="62">
        <f t="shared" si="0"/>
        <v>302.06445856085497</v>
      </c>
      <c r="S14" s="62">
        <f ca="1">AVERAGE(OFFSET($R$3,0,0,'Données projet'!$E$9+1,1))-AVERAGE(OFFSET($H$3,0,0,'Données projet'!$E$9+1,1))</f>
        <v>260.01925143568263</v>
      </c>
      <c r="T14" s="62">
        <f t="shared" si="34"/>
        <v>269.95358755269427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2.3805128205128203</v>
      </c>
      <c r="AI14" s="14">
        <f>IF('Données projet'!$A$62&gt;35,AI13+AH14-AQ13,IF(A14&lt;'Données projet'!$A$62,$AF$205^A14,IF(A14='Données projet'!$A$62,'Données projet'!$B$62,AI13+AH14-AQ13)))</f>
        <v>13.762330235503498</v>
      </c>
      <c r="AJ14" s="14">
        <f>AI14*VLOOKUP('Données projet'!$B$10,Paramètres!$A$1:$I$89,3,0)*VLOOKUP('Données projet'!$B$10,Paramètres!$A$1:$I$89,5,0)</f>
        <v>8.2298734808310936</v>
      </c>
      <c r="AK14" s="14">
        <f t="shared" si="35"/>
        <v>2.9675186699572826</v>
      </c>
      <c r="AL14" s="22">
        <f t="shared" si="4"/>
        <v>19.502124662623089</v>
      </c>
      <c r="AM14" s="62">
        <f t="shared" si="5"/>
        <v>289.61323577373423</v>
      </c>
      <c r="AN14" s="62">
        <f ca="1">AVERAGE(OFFSET($AM$3,0,0,'Données projet'!$E$10+1,1))-AVERAGE(OFFSET($H$3,0,0,'Données projet'!$E$10+1,1))</f>
        <v>289.24721145176682</v>
      </c>
      <c r="AO14" s="62">
        <f t="shared" si="36"/>
        <v>229.06617320689003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4.9084615384615384</v>
      </c>
      <c r="BD14" s="13">
        <f>IF('Données projet'!$A$88&gt;35,BD13+BC14-BL13,IF(A14&lt;'Données projet'!$A$88,$BA$205^A14,IF(A14='Données projet'!$A$88,'Données projet'!$B$88,BD13+BC14-BL13)))</f>
        <v>6.2367418843040729</v>
      </c>
      <c r="BE14" s="14">
        <f>BD14*VLOOKUP('Données projet'!$B$11,Paramètres!$A$1:$I$89,3,0)*VLOOKUP('Données projet'!$B$11,Paramètres!$A$1:$I$89,5,0)</f>
        <v>2.9187952018543064</v>
      </c>
      <c r="BF14" s="14">
        <f t="shared" si="37"/>
        <v>1.1874244488629264</v>
      </c>
      <c r="BG14" s="22">
        <f t="shared" si="7"/>
        <v>7.1516658916658464</v>
      </c>
      <c r="BH14" s="62">
        <f t="shared" si="8"/>
        <v>277.262777002777</v>
      </c>
      <c r="BI14" s="62">
        <f ca="1">AVERAGE(OFFSET($BH$3,0,0,'Données projet'!$E$11+1,1))-AVERAGE(OFFSET($H$3,0,0,'Données projet'!$E$11+1,1))</f>
        <v>284.72381074796073</v>
      </c>
      <c r="BJ14" s="62">
        <f t="shared" si="38"/>
        <v>190.4880882944471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2.5115384615384619</v>
      </c>
      <c r="BY14" s="13">
        <f>IF('Données projet'!$A$114&gt;35,BY13+BX14-CG13,IF(A14&lt;'Données projet'!$A$114,$BV$205^A14,IF(A14='Données projet'!$A$114,'Données projet'!$B$114,BY13+BX14-CG13)))</f>
        <v>4.8781565351481309</v>
      </c>
      <c r="BZ14" s="14">
        <f>BY14*VLOOKUP('Données projet'!$B$12,Paramètres!$A$1:$I$89,3,0)*VLOOKUP('Données projet'!$B$12,Paramètres!$A$1:$I$89,5,0)</f>
        <v>4.9464507266402054</v>
      </c>
      <c r="CA14" s="14">
        <f t="shared" si="39"/>
        <v>1.8924741975808219</v>
      </c>
      <c r="CB14" s="22">
        <f t="shared" si="10"/>
        <v>11.911127576351623</v>
      </c>
      <c r="CC14" s="62">
        <f t="shared" si="11"/>
        <v>282.02223868746279</v>
      </c>
      <c r="CD14" s="62">
        <f ca="1">AVERAGE(OFFSET($CC$3,0,0,'Données projet'!$E$12+1,1))-AVERAGE(OFFSET($H$3,0,0,'Données projet'!$E$12+1,1))</f>
        <v>496.71400086768705</v>
      </c>
      <c r="CE14" s="62">
        <f t="shared" si="40"/>
        <v>206.75063396134982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2.5115384615384619</v>
      </c>
      <c r="CT14" s="13">
        <f>IF('Données projet'!$A$140&gt;35,CT13+CS14-DB13,IF(A14&lt;'Données projet'!$A$140,$CQ$205^A14,IF(A14='Données projet'!$A$140,'Données projet'!$B$140,CT13+CS14-DB13)))</f>
        <v>4.8781565351481309</v>
      </c>
      <c r="CU14" s="18">
        <f>CT14*VLOOKUP('Données projet'!$B$13,Paramètres!$A$1:$I$89,3,0)*VLOOKUP('Données projet'!$B$13,Paramètres!$A$1:$I$89,5,0)</f>
        <v>5.2508476944334479</v>
      </c>
      <c r="CV14" s="14">
        <f t="shared" si="41"/>
        <v>1.9950178306671988</v>
      </c>
      <c r="CW14" s="22">
        <f t="shared" si="13"/>
        <v>12.619882456216958</v>
      </c>
      <c r="CX14" s="62">
        <f t="shared" si="14"/>
        <v>282.73099356732808</v>
      </c>
      <c r="CY14" s="62">
        <f ca="1">AVERAGE(OFFSET($CX$3,0,0,'Données projet'!$E$13+1,1))-AVERAGE(OFFSET($H$3,0,0,'Données projet'!$E$13+1,1))</f>
        <v>524.55238798353344</v>
      </c>
      <c r="CZ14" s="62">
        <f t="shared" si="42"/>
        <v>216.94512104983255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7.4312217194570129</v>
      </c>
      <c r="N15" s="14">
        <f>IF('Données projet'!$A$36&gt;35,N14+M15-V14,IF(A15&lt;'Données projet'!$A$36,$K$205^A15,IF(A15='Données projet'!$A$36,'Données projet'!$B$36,N14+M15-V14)))</f>
        <v>30.438147473844893</v>
      </c>
      <c r="O15" s="14">
        <f>N15*VLOOKUP('Données projet'!$B$9,Paramètres!$A$1:$I$89,3,0)*VLOOKUP('Données projet'!$B$9,Paramètres!$A$1:$I$89,5,0)</f>
        <v>18.202012189359248</v>
      </c>
      <c r="P15" s="14">
        <f t="shared" si="33"/>
        <v>5.984027317903192</v>
      </c>
      <c r="Q15" s="22">
        <f t="shared" si="2"/>
        <v>42.124018808482084</v>
      </c>
      <c r="R15" s="62">
        <f t="shared" si="0"/>
        <v>313.45735214181542</v>
      </c>
      <c r="S15" s="62">
        <f ca="1">AVERAGE(OFFSET($R$3,0,0,'Données projet'!$E$9+1,1))-AVERAGE(OFFSET($H$3,0,0,'Données projet'!$E$9+1,1))</f>
        <v>260.01925143568263</v>
      </c>
      <c r="T15" s="62">
        <f t="shared" si="34"/>
        <v>269.95358755269427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2.3805128205128203</v>
      </c>
      <c r="AI15" s="14">
        <f>IF('Données projet'!$A$62&gt;35,AI14+AH15-AQ14,IF(A15&lt;'Données projet'!$A$62,$AF$205^A15,IF(A15='Données projet'!$A$62,'Données projet'!$B$62,AI14+AH15-AQ14)))</f>
        <v>17.466642325908158</v>
      </c>
      <c r="AJ15" s="14">
        <f>AI15*VLOOKUP('Données projet'!$B$10,Paramètres!$A$1:$I$89,3,0)*VLOOKUP('Données projet'!$B$10,Paramètres!$A$1:$I$89,5,0)</f>
        <v>10.44505211089308</v>
      </c>
      <c r="AK15" s="14">
        <f t="shared" si="35"/>
        <v>3.6632071718377808</v>
      </c>
      <c r="AL15" s="22">
        <f t="shared" si="4"/>
        <v>24.571884917422917</v>
      </c>
      <c r="AM15" s="62">
        <f t="shared" si="5"/>
        <v>295.90521825075621</v>
      </c>
      <c r="AN15" s="62">
        <f ca="1">AVERAGE(OFFSET($AM$3,0,0,'Données projet'!$E$10+1,1))-AVERAGE(OFFSET($H$3,0,0,'Données projet'!$E$10+1,1))</f>
        <v>289.24721145176682</v>
      </c>
      <c r="AO15" s="62">
        <f t="shared" si="36"/>
        <v>229.06617320689003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4.9084615384615384</v>
      </c>
      <c r="BD15" s="13">
        <f>IF('Données projet'!$A$88&gt;35,BD14+BC15-BL14,IF(A15&lt;'Données projet'!$A$88,$BA$205^A15,IF(A15='Données projet'!$A$88,'Données projet'!$B$88,BD14+BC15-BL14)))</f>
        <v>7.3659142514897171</v>
      </c>
      <c r="BE15" s="14">
        <f>BD15*VLOOKUP('Données projet'!$B$11,Paramètres!$A$1:$I$89,3,0)*VLOOKUP('Données projet'!$B$11,Paramètres!$A$1:$I$89,5,0)</f>
        <v>3.447247869697188</v>
      </c>
      <c r="BF15" s="14">
        <f t="shared" si="37"/>
        <v>1.3755069097464061</v>
      </c>
      <c r="BG15" s="22">
        <f t="shared" si="7"/>
        <v>8.3996312408642595</v>
      </c>
      <c r="BH15" s="62">
        <f t="shared" si="8"/>
        <v>279.73296457419758</v>
      </c>
      <c r="BI15" s="62">
        <f ca="1">AVERAGE(OFFSET($BH$3,0,0,'Données projet'!$E$11+1,1))-AVERAGE(OFFSET($H$3,0,0,'Données projet'!$E$11+1,1))</f>
        <v>284.72381074796073</v>
      </c>
      <c r="BJ15" s="62">
        <f t="shared" si="38"/>
        <v>190.4880882944471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2.5115384615384619</v>
      </c>
      <c r="BY15" s="13">
        <f>IF('Données projet'!$A$114&gt;35,BY14+BX15-CG14,IF(A15&lt;'Données projet'!$A$114,$BV$205^A15,IF(A15='Données projet'!$A$114,'Données projet'!$B$114,BY14+BX15-CG14)))</f>
        <v>5.6340984973507391</v>
      </c>
      <c r="BZ15" s="14">
        <f>BY15*VLOOKUP('Données projet'!$B$12,Paramètres!$A$1:$I$89,3,0)*VLOOKUP('Données projet'!$B$12,Paramètres!$A$1:$I$89,5,0)</f>
        <v>5.7129758763136502</v>
      </c>
      <c r="CA15" s="14">
        <f t="shared" si="39"/>
        <v>2.1493922214696219</v>
      </c>
      <c r="CB15" s="22">
        <f t="shared" si="10"/>
        <v>13.693624436972533</v>
      </c>
      <c r="CC15" s="62">
        <f t="shared" si="11"/>
        <v>285.02695777030584</v>
      </c>
      <c r="CD15" s="62">
        <f ca="1">AVERAGE(OFFSET($CC$3,0,0,'Données projet'!$E$12+1,1))-AVERAGE(OFFSET($H$3,0,0,'Données projet'!$E$12+1,1))</f>
        <v>496.71400086768705</v>
      </c>
      <c r="CE15" s="62">
        <f t="shared" si="40"/>
        <v>206.75063396134982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2.5115384615384619</v>
      </c>
      <c r="CT15" s="13">
        <f>IF('Données projet'!$A$140&gt;35,CT14+CS15-DB14,IF(A15&lt;'Données projet'!$A$140,$CQ$205^A15,IF(A15='Données projet'!$A$140,'Données projet'!$B$140,CT14+CS15-DB14)))</f>
        <v>5.6340984973507391</v>
      </c>
      <c r="CU15" s="18">
        <f>CT15*VLOOKUP('Données projet'!$B$13,Paramètres!$A$1:$I$89,3,0)*VLOOKUP('Données projet'!$B$13,Paramètres!$A$1:$I$89,5,0)</f>
        <v>6.0645436225483351</v>
      </c>
      <c r="CV15" s="14">
        <f t="shared" si="41"/>
        <v>2.2658569466420135</v>
      </c>
      <c r="CW15" s="22">
        <f t="shared" si="13"/>
        <v>14.508780991339856</v>
      </c>
      <c r="CX15" s="62">
        <f t="shared" si="14"/>
        <v>285.84211432467316</v>
      </c>
      <c r="CY15" s="62">
        <f ca="1">AVERAGE(OFFSET($CX$3,0,0,'Données projet'!$E$13+1,1))-AVERAGE(OFFSET($H$3,0,0,'Données projet'!$E$13+1,1))</f>
        <v>524.55238798353344</v>
      </c>
      <c r="CZ15" s="62">
        <f t="shared" si="42"/>
        <v>216.94512104983255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7.4312217194570129</v>
      </c>
      <c r="N16" s="14">
        <f>IF('Données projet'!$A$36&gt;35,N15+M16-V15,IF(A16&lt;'Données projet'!$A$36,$K$205^A16,IF(A16='Données projet'!$A$36,'Données projet'!$B$36,N15+M16-V15)))</f>
        <v>40.460980378841768</v>
      </c>
      <c r="O16" s="14">
        <f>N16*VLOOKUP('Données projet'!$B$9,Paramètres!$A$1:$I$89,3,0)*VLOOKUP('Données projet'!$B$9,Paramètres!$A$1:$I$89,5,0)</f>
        <v>24.195666266547377</v>
      </c>
      <c r="P16" s="14">
        <f t="shared" si="33"/>
        <v>7.6952475537219458</v>
      </c>
      <c r="Q16" s="22">
        <f t="shared" si="2"/>
        <v>55.543341570302402</v>
      </c>
      <c r="R16" s="62">
        <f t="shared" si="0"/>
        <v>328.09889712585795</v>
      </c>
      <c r="S16" s="62">
        <f ca="1">AVERAGE(OFFSET($R$3,0,0,'Données projet'!$E$9+1,1))-AVERAGE(OFFSET($H$3,0,0,'Données projet'!$E$9+1,1))</f>
        <v>260.01925143568263</v>
      </c>
      <c r="T16" s="62">
        <f t="shared" si="34"/>
        <v>269.95358755269427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2.3805128205128203</v>
      </c>
      <c r="AI16" s="14">
        <f>IF('Données projet'!$A$62&gt;35,AI15+AH16-AQ15,IF(A16&lt;'Données projet'!$A$62,$AF$205^A16,IF(A16='Données projet'!$A$62,'Données projet'!$B$62,AI15+AH16-AQ15)))</f>
        <v>22.168018709081991</v>
      </c>
      <c r="AJ16" s="14">
        <f>AI16*VLOOKUP('Données projet'!$B$10,Paramètres!$A$1:$I$89,3,0)*VLOOKUP('Données projet'!$B$10,Paramètres!$A$1:$I$89,5,0)</f>
        <v>13.256475188031033</v>
      </c>
      <c r="AK16" s="14">
        <f t="shared" si="35"/>
        <v>4.5219890003242735</v>
      </c>
      <c r="AL16" s="22">
        <f t="shared" si="4"/>
        <v>30.964158461385495</v>
      </c>
      <c r="AM16" s="62">
        <f t="shared" si="5"/>
        <v>303.51971401694107</v>
      </c>
      <c r="AN16" s="62">
        <f ca="1">AVERAGE(OFFSET($AM$3,0,0,'Données projet'!$E$10+1,1))-AVERAGE(OFFSET($H$3,0,0,'Données projet'!$E$10+1,1))</f>
        <v>289.24721145176682</v>
      </c>
      <c r="AO16" s="62">
        <f t="shared" si="36"/>
        <v>229.06617320689003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4.9084615384615384</v>
      </c>
      <c r="BD16" s="13">
        <f>IF('Données projet'!$A$88&gt;35,BD15+BC16-BL15,IF(A16&lt;'Données projet'!$A$88,$BA$205^A16,IF(A16='Données projet'!$A$88,'Données projet'!$B$88,BD15+BC16-BL15)))</f>
        <v>8.6995251313584792</v>
      </c>
      <c r="BE16" s="14">
        <f>BD16*VLOOKUP('Données projet'!$B$11,Paramètres!$A$1:$I$89,3,0)*VLOOKUP('Données projet'!$B$11,Paramètres!$A$1:$I$89,5,0)</f>
        <v>4.0713777614757687</v>
      </c>
      <c r="BF16" s="14">
        <f t="shared" si="37"/>
        <v>1.5933807498842545</v>
      </c>
      <c r="BG16" s="22">
        <f t="shared" si="7"/>
        <v>9.8661210739520406</v>
      </c>
      <c r="BH16" s="62">
        <f t="shared" si="8"/>
        <v>282.4216766295076</v>
      </c>
      <c r="BI16" s="62">
        <f ca="1">AVERAGE(OFFSET($BH$3,0,0,'Données projet'!$E$11+1,1))-AVERAGE(OFFSET($H$3,0,0,'Données projet'!$E$11+1,1))</f>
        <v>284.72381074796073</v>
      </c>
      <c r="BJ16" s="62">
        <f t="shared" si="38"/>
        <v>190.4880882944471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2.5115384615384619</v>
      </c>
      <c r="BY16" s="13">
        <f>IF('Données projet'!$A$114&gt;35,BY15+BX16-CG15,IF(A16&lt;'Données projet'!$A$114,$BV$205^A16,IF(A16='Données projet'!$A$114,'Données projet'!$B$114,BY15+BX16-CG15)))</f>
        <v>6.5071847631650357</v>
      </c>
      <c r="BZ16" s="14">
        <f>BY16*VLOOKUP('Données projet'!$B$12,Paramètres!$A$1:$I$89,3,0)*VLOOKUP('Données projet'!$B$12,Paramètres!$A$1:$I$89,5,0)</f>
        <v>6.5982853498493474</v>
      </c>
      <c r="CA16" s="14">
        <f t="shared" si="39"/>
        <v>2.4411888561650072</v>
      </c>
      <c r="CB16" s="22">
        <f t="shared" si="10"/>
        <v>15.743750908808332</v>
      </c>
      <c r="CC16" s="62">
        <f t="shared" si="11"/>
        <v>288.29930646436389</v>
      </c>
      <c r="CD16" s="62">
        <f ca="1">AVERAGE(OFFSET($CC$3,0,0,'Données projet'!$E$12+1,1))-AVERAGE(OFFSET($H$3,0,0,'Données projet'!$E$12+1,1))</f>
        <v>496.71400086768705</v>
      </c>
      <c r="CE16" s="62">
        <f t="shared" si="40"/>
        <v>206.75063396134982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2.5115384615384619</v>
      </c>
      <c r="CT16" s="13">
        <f>IF('Données projet'!$A$140&gt;35,CT15+CS16-DB15,IF(A16&lt;'Données projet'!$A$140,$CQ$205^A16,IF(A16='Données projet'!$A$140,'Données projet'!$B$140,CT15+CS16-DB15)))</f>
        <v>6.5071847631650357</v>
      </c>
      <c r="CU16" s="18">
        <f>CT16*VLOOKUP('Données projet'!$B$13,Paramètres!$A$1:$I$89,3,0)*VLOOKUP('Données projet'!$B$13,Paramètres!$A$1:$I$89,5,0)</f>
        <v>7.0043336790708439</v>
      </c>
      <c r="CV16" s="14">
        <f t="shared" si="41"/>
        <v>2.5734645694514202</v>
      </c>
      <c r="CW16" s="22">
        <f t="shared" si="13"/>
        <v>16.681331949509609</v>
      </c>
      <c r="CX16" s="62">
        <f t="shared" si="14"/>
        <v>289.23688750506517</v>
      </c>
      <c r="CY16" s="62">
        <f ca="1">AVERAGE(OFFSET($CX$3,0,0,'Données projet'!$E$13+1,1))-AVERAGE(OFFSET($H$3,0,0,'Données projet'!$E$13+1,1))</f>
        <v>524.55238798353344</v>
      </c>
      <c r="CZ16" s="62">
        <f t="shared" si="42"/>
        <v>216.94512104983255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7.4312217194570129</v>
      </c>
      <c r="N17" s="14">
        <f>IF('Données projet'!$A$36&gt;35,N16+M17-V16,IF(A17&lt;'Données projet'!$A$36,$K$205^A17,IF(A17='Données projet'!$A$36,'Données projet'!$B$36,N16+M17-V16)))</f>
        <v>53.784184291233551</v>
      </c>
      <c r="O17" s="14">
        <f>N17*VLOOKUP('Données projet'!$B$9,Paramètres!$A$1:$I$89,3,0)*VLOOKUP('Données projet'!$B$9,Paramètres!$A$1:$I$89,5,0)</f>
        <v>32.162942206157666</v>
      </c>
      <c r="P17" s="14">
        <f t="shared" si="33"/>
        <v>9.8958162734145461</v>
      </c>
      <c r="Q17" s="22">
        <f t="shared" si="2"/>
        <v>73.252337685254929</v>
      </c>
      <c r="R17" s="62">
        <f t="shared" si="0"/>
        <v>347.0301154630327</v>
      </c>
      <c r="S17" s="62">
        <f ca="1">AVERAGE(OFFSET($R$3,0,0,'Données projet'!$E$9+1,1))-AVERAGE(OFFSET($H$3,0,0,'Données projet'!$E$9+1,1))</f>
        <v>260.01925143568263</v>
      </c>
      <c r="T17" s="62">
        <f t="shared" si="34"/>
        <v>269.95358755269427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2.3805128205128203</v>
      </c>
      <c r="AI17" s="14">
        <f>IF('Données projet'!$A$62&gt;35,AI16+AH17-AQ16,IF(A17&lt;'Données projet'!$A$62,$AF$205^A17,IF(A17='Données projet'!$A$62,'Données projet'!$B$62,AI16+AH17-AQ16)))</f>
        <v>28.134832345956244</v>
      </c>
      <c r="AJ17" s="14">
        <f>AI17*VLOOKUP('Données projet'!$B$10,Paramètres!$A$1:$I$89,3,0)*VLOOKUP('Données projet'!$B$10,Paramètres!$A$1:$I$89,5,0)</f>
        <v>16.824629742881836</v>
      </c>
      <c r="AK17" s="14">
        <f t="shared" si="35"/>
        <v>5.5820988439469144</v>
      </c>
      <c r="AL17" s="22">
        <f t="shared" si="4"/>
        <v>39.025052288726734</v>
      </c>
      <c r="AM17" s="62">
        <f t="shared" si="5"/>
        <v>312.8028300665045</v>
      </c>
      <c r="AN17" s="62">
        <f ca="1">AVERAGE(OFFSET($AM$3,0,0,'Données projet'!$E$10+1,1))-AVERAGE(OFFSET($H$3,0,0,'Données projet'!$E$10+1,1))</f>
        <v>289.24721145176682</v>
      </c>
      <c r="AO17" s="62">
        <f t="shared" si="36"/>
        <v>229.06617320689003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4.9084615384615384</v>
      </c>
      <c r="BD17" s="13">
        <f>IF('Données projet'!$A$88&gt;35,BD16+BC17-BL16,IF(A17&lt;'Données projet'!$A$88,$BA$205^A17,IF(A17='Données projet'!$A$88,'Données projet'!$B$88,BD16+BC17-BL16)))</f>
        <v>10.27458845259182</v>
      </c>
      <c r="BE17" s="14">
        <f>BD17*VLOOKUP('Données projet'!$B$11,Paramètres!$A$1:$I$89,3,0)*VLOOKUP('Données projet'!$B$11,Paramètres!$A$1:$I$89,5,0)</f>
        <v>4.8085073958129714</v>
      </c>
      <c r="BF17" s="14">
        <f t="shared" si="37"/>
        <v>1.8457647839586531</v>
      </c>
      <c r="BG17" s="22">
        <f t="shared" si="7"/>
        <v>11.589524046435578</v>
      </c>
      <c r="BH17" s="62">
        <f t="shared" si="8"/>
        <v>285.36730182421337</v>
      </c>
      <c r="BI17" s="62">
        <f ca="1">AVERAGE(OFFSET($BH$3,0,0,'Données projet'!$E$11+1,1))-AVERAGE(OFFSET($H$3,0,0,'Données projet'!$E$11+1,1))</f>
        <v>284.72381074796073</v>
      </c>
      <c r="BJ17" s="62">
        <f t="shared" si="38"/>
        <v>190.4880882944471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2.5115384615384619</v>
      </c>
      <c r="BY17" s="13">
        <f>IF('Données projet'!$A$114&gt;35,BY16+BX17-CG16,IF(A17&lt;'Données projet'!$A$114,$BV$205^A17,IF(A17='Données projet'!$A$114,'Données projet'!$B$114,BY16+BX17-CG16)))</f>
        <v>7.5155685620118104</v>
      </c>
      <c r="BZ17" s="14">
        <f>BY17*VLOOKUP('Données projet'!$B$12,Paramètres!$A$1:$I$89,3,0)*VLOOKUP('Données projet'!$B$12,Paramètres!$A$1:$I$89,5,0)</f>
        <v>7.6207865218799755</v>
      </c>
      <c r="CA17" s="14">
        <f t="shared" si="39"/>
        <v>2.7725991431147636</v>
      </c>
      <c r="CB17" s="22">
        <f t="shared" si="10"/>
        <v>18.101813366532504</v>
      </c>
      <c r="CC17" s="62">
        <f t="shared" si="11"/>
        <v>291.87959114431027</v>
      </c>
      <c r="CD17" s="62">
        <f ca="1">AVERAGE(OFFSET($CC$3,0,0,'Données projet'!$E$12+1,1))-AVERAGE(OFFSET($H$3,0,0,'Données projet'!$E$12+1,1))</f>
        <v>496.71400086768705</v>
      </c>
      <c r="CE17" s="62">
        <f t="shared" si="40"/>
        <v>206.75063396134982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2.5115384615384619</v>
      </c>
      <c r="CT17" s="13">
        <f>IF('Données projet'!$A$140&gt;35,CT16+CS17-DB16,IF(A17&lt;'Données projet'!$A$140,$CQ$205^A17,IF(A17='Données projet'!$A$140,'Données projet'!$B$140,CT16+CS17-DB16)))</f>
        <v>7.5155685620118104</v>
      </c>
      <c r="CU17" s="18">
        <f>CT17*VLOOKUP('Données projet'!$B$13,Paramètres!$A$1:$I$89,3,0)*VLOOKUP('Données projet'!$B$13,Paramètres!$A$1:$I$89,5,0)</f>
        <v>8.0897580001495122</v>
      </c>
      <c r="CV17" s="14">
        <f t="shared" si="41"/>
        <v>2.9228323085606158</v>
      </c>
      <c r="CW17" s="22">
        <f t="shared" si="13"/>
        <v>19.180261454336804</v>
      </c>
      <c r="CX17" s="62">
        <f t="shared" si="14"/>
        <v>292.95803923211457</v>
      </c>
      <c r="CY17" s="62">
        <f ca="1">AVERAGE(OFFSET($CX$3,0,0,'Données projet'!$E$13+1,1))-AVERAGE(OFFSET($H$3,0,0,'Données projet'!$E$13+1,1))</f>
        <v>524.55238798353344</v>
      </c>
      <c r="CZ17" s="62">
        <f t="shared" si="42"/>
        <v>216.94512104983255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7.4312217194570129</v>
      </c>
      <c r="N18" s="14">
        <f>IF('Données projet'!$A$36&gt;35,N17+M18-V17,IF(A18&lt;'Données projet'!$A$36,$K$205^A18,IF(A18='Données projet'!$A$36,'Données projet'!$B$36,N17+M18-V17)))</f>
        <v>71.494522692931866</v>
      </c>
      <c r="O18" s="14">
        <f>N18*VLOOKUP('Données projet'!$B$9,Paramètres!$A$1:$I$89,3,0)*VLOOKUP('Données projet'!$B$9,Paramètres!$A$1:$I$89,5,0)</f>
        <v>42.753724570373258</v>
      </c>
      <c r="P18" s="14">
        <f t="shared" si="33"/>
        <v>12.725669841487028</v>
      </c>
      <c r="Q18" s="22">
        <f t="shared" si="2"/>
        <v>96.626611933989992</v>
      </c>
      <c r="R18" s="62">
        <f t="shared" si="0"/>
        <v>371.62661193398998</v>
      </c>
      <c r="S18" s="62">
        <f ca="1">AVERAGE(OFFSET($R$3,0,0,'Données projet'!$E$9+1,1))-AVERAGE(OFFSET($H$3,0,0,'Données projet'!$E$9+1,1))</f>
        <v>260.01925143568263</v>
      </c>
      <c r="T18" s="62">
        <f t="shared" si="34"/>
        <v>269.95358755269427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35.707692307692305</v>
      </c>
      <c r="AG18" s="13">
        <f>VLOOKUP(A18,'Données projet'!$A$61:$I$81,9,0)</f>
        <v>2.3805128205128203</v>
      </c>
      <c r="AH18" s="13">
        <f t="array" ref="AH18">INDEX(AG:AG,MIN(IF(ISNUMBER(AG18:AG214),ROW(AG18:AG214),"")))</f>
        <v>2.3805128205128203</v>
      </c>
      <c r="AI18" s="14">
        <f>IF('Données projet'!$A$62&gt;35,AI17+AH18-AQ17,IF(A18&lt;'Données projet'!$A$62,$AF$205^A18,IF(A18='Données projet'!$A$62,'Données projet'!$B$62,AI17+AH18-AQ17)))</f>
        <v>35.707692307692305</v>
      </c>
      <c r="AJ18" s="14">
        <f>AI18*VLOOKUP('Données projet'!$B$10,Paramètres!$A$1:$I$89,3,0)*VLOOKUP('Données projet'!$B$10,Paramètres!$A$1:$I$89,5,0)</f>
        <v>21.353200000000001</v>
      </c>
      <c r="AK18" s="14">
        <f t="shared" si="35"/>
        <v>6.8907349180546449</v>
      </c>
      <c r="AL18" s="22">
        <f t="shared" si="4"/>
        <v>49.1915199822785</v>
      </c>
      <c r="AM18" s="62">
        <f t="shared" si="5"/>
        <v>324.19151998227852</v>
      </c>
      <c r="AN18" s="62">
        <f ca="1">AVERAGE(OFFSET($AM$3,0,0,'Données projet'!$E$10+1,1))-AVERAGE(OFFSET($H$3,0,0,'Données projet'!$E$10+1,1))</f>
        <v>289.24721145176682</v>
      </c>
      <c r="AO18" s="62">
        <f t="shared" si="36"/>
        <v>229.06617320689003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4.9084615384615384</v>
      </c>
      <c r="BD18" s="13">
        <f>IF('Données projet'!$A$88&gt;35,BD17+BC18-BL17,IF(A18&lt;'Données projet'!$A$88,$BA$205^A18,IF(A18='Données projet'!$A$88,'Données projet'!$B$88,BD17+BC18-BL17)))</f>
        <v>12.134819576485119</v>
      </c>
      <c r="BE18" s="14">
        <f>BD18*VLOOKUP('Données projet'!$B$11,Paramètres!$A$1:$I$89,3,0)*VLOOKUP('Données projet'!$B$11,Paramètres!$A$1:$I$89,5,0)</f>
        <v>5.6790955617950356</v>
      </c>
      <c r="BF18" s="14">
        <f t="shared" si="37"/>
        <v>2.1381252647550886</v>
      </c>
      <c r="BG18" s="22">
        <f t="shared" si="7"/>
        <v>13.614992939574798</v>
      </c>
      <c r="BH18" s="62">
        <f t="shared" si="8"/>
        <v>288.61499293957479</v>
      </c>
      <c r="BI18" s="62">
        <f ca="1">AVERAGE(OFFSET($BH$3,0,0,'Données projet'!$E$11+1,1))-AVERAGE(OFFSET($H$3,0,0,'Données projet'!$E$11+1,1))</f>
        <v>284.72381074796073</v>
      </c>
      <c r="BJ18" s="62">
        <f t="shared" si="38"/>
        <v>190.4880882944471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2.5115384615384619</v>
      </c>
      <c r="BY18" s="13">
        <f>IF('Données projet'!$A$114&gt;35,BY17+BX18-CG17,IF(A18&lt;'Données projet'!$A$114,$BV$205^A18,IF(A18='Données projet'!$A$114,'Données projet'!$B$114,BY17+BX18-CG17)))</f>
        <v>8.6802162326841756</v>
      </c>
      <c r="BZ18" s="14">
        <f>BY18*VLOOKUP('Données projet'!$B$12,Paramètres!$A$1:$I$89,3,0)*VLOOKUP('Données projet'!$B$12,Paramètres!$A$1:$I$89,5,0)</f>
        <v>8.8017392599417548</v>
      </c>
      <c r="CA18" s="14">
        <f t="shared" si="39"/>
        <v>3.1490009423019911</v>
      </c>
      <c r="CB18" s="22">
        <f t="shared" si="10"/>
        <v>20.814205852241191</v>
      </c>
      <c r="CC18" s="62">
        <f t="shared" si="11"/>
        <v>295.81420585224117</v>
      </c>
      <c r="CD18" s="62">
        <f ca="1">AVERAGE(OFFSET($CC$3,0,0,'Données projet'!$E$12+1,1))-AVERAGE(OFFSET($H$3,0,0,'Données projet'!$E$12+1,1))</f>
        <v>496.71400086768705</v>
      </c>
      <c r="CE18" s="62">
        <f t="shared" si="40"/>
        <v>206.75063396134982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2.5115384615384619</v>
      </c>
      <c r="CT18" s="13">
        <f>IF('Données projet'!$A$140&gt;35,CT17+CS18-DB17,IF(A18&lt;'Données projet'!$A$140,$CQ$205^A18,IF(A18='Données projet'!$A$140,'Données projet'!$B$140,CT17+CS18-DB17)))</f>
        <v>8.6802162326841756</v>
      </c>
      <c r="CU18" s="18">
        <f>CT18*VLOOKUP('Données projet'!$B$13,Paramètres!$A$1:$I$89,3,0)*VLOOKUP('Données projet'!$B$13,Paramètres!$A$1:$I$89,5,0)</f>
        <v>9.3433847528612457</v>
      </c>
      <c r="CV18" s="14">
        <f t="shared" si="41"/>
        <v>3.3196294230648205</v>
      </c>
      <c r="CW18" s="22">
        <f t="shared" si="13"/>
        <v>22.054749689737893</v>
      </c>
      <c r="CX18" s="62">
        <f t="shared" si="14"/>
        <v>297.05474968973789</v>
      </c>
      <c r="CY18" s="62">
        <f ca="1">AVERAGE(OFFSET($CX$3,0,0,'Données projet'!$E$13+1,1))-AVERAGE(OFFSET($H$3,0,0,'Données projet'!$E$13+1,1))</f>
        <v>524.55238798353344</v>
      </c>
      <c r="CZ18" s="62">
        <f t="shared" si="42"/>
        <v>216.94512104983255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7.4312217194570129</v>
      </c>
      <c r="N19" s="14">
        <f>IF('Données projet'!$A$36&gt;35,N18+M19-V18,IF(A19&lt;'Données projet'!$A$36,$K$205^A19,IF(A19='Données projet'!$A$36,'Données projet'!$B$36,N18+M19-V18)))</f>
        <v>95.036614247271999</v>
      </c>
      <c r="O19" s="14">
        <f>N19*VLOOKUP('Données projet'!$B$9,Paramètres!$A$1:$I$89,3,0)*VLOOKUP('Données projet'!$B$9,Paramètres!$A$1:$I$89,5,0)</f>
        <v>56.831895319868664</v>
      </c>
      <c r="P19" s="14">
        <f t="shared" si="33"/>
        <v>16.364761474967661</v>
      </c>
      <c r="Q19" s="22">
        <f t="shared" si="2"/>
        <v>127.4841772510066</v>
      </c>
      <c r="R19" s="62">
        <f t="shared" si="0"/>
        <v>403.70639947322883</v>
      </c>
      <c r="S19" s="62">
        <f ca="1">AVERAGE(OFFSET($R$3,0,0,'Données projet'!$E$9+1,1))-AVERAGE(OFFSET($H$3,0,0,'Données projet'!$E$9+1,1))</f>
        <v>260.01925143568263</v>
      </c>
      <c r="T19" s="62">
        <f t="shared" si="34"/>
        <v>269.95358755269427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13.468131868131868</v>
      </c>
      <c r="AI19" s="14">
        <f>IF('Données projet'!$A$62&gt;35,AI18+AH19-AQ18,IF(A19&lt;'Données projet'!$A$62,$AF$205^A19,IF(A19='Données projet'!$A$62,'Données projet'!$B$62,AI18+AH19-AQ18)))</f>
        <v>49.175824175824175</v>
      </c>
      <c r="AJ19" s="14">
        <f>AI19*VLOOKUP('Données projet'!$B$10,Paramètres!$A$1:$I$89,3,0)*VLOOKUP('Données projet'!$B$10,Paramètres!$A$1:$I$89,5,0)</f>
        <v>29.407142857142858</v>
      </c>
      <c r="AK19" s="14">
        <f t="shared" si="35"/>
        <v>9.1427529908921841</v>
      </c>
      <c r="AL19" s="22">
        <f t="shared" si="4"/>
        <v>67.141068601994363</v>
      </c>
      <c r="AM19" s="62">
        <f t="shared" si="5"/>
        <v>343.36329082421662</v>
      </c>
      <c r="AN19" s="62">
        <f ca="1">AVERAGE(OFFSET($AM$3,0,0,'Données projet'!$E$10+1,1))-AVERAGE(OFFSET($H$3,0,0,'Données projet'!$E$10+1,1))</f>
        <v>289.24721145176682</v>
      </c>
      <c r="AO19" s="62">
        <f t="shared" si="36"/>
        <v>229.06617320689003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4.9084615384615384</v>
      </c>
      <c r="BD19" s="13">
        <f>IF('Données projet'!$A$88&gt;35,BD18+BC19-BL18,IF(A19&lt;'Données projet'!$A$88,$BA$205^A19,IF(A19='Données projet'!$A$88,'Données projet'!$B$88,BD18+BC19-BL18)))</f>
        <v>14.331848602335111</v>
      </c>
      <c r="BE19" s="14">
        <f>BD19*VLOOKUP('Données projet'!$B$11,Paramètres!$A$1:$I$89,3,0)*VLOOKUP('Données projet'!$B$11,Paramètres!$A$1:$I$89,5,0)</f>
        <v>6.7073051458928319</v>
      </c>
      <c r="BF19" s="14">
        <f t="shared" si="37"/>
        <v>2.4767942738506736</v>
      </c>
      <c r="BG19" s="22">
        <f t="shared" si="7"/>
        <v>15.995639822719939</v>
      </c>
      <c r="BH19" s="62">
        <f t="shared" si="8"/>
        <v>292.21786204494219</v>
      </c>
      <c r="BI19" s="62">
        <f ca="1">AVERAGE(OFFSET($BH$3,0,0,'Données projet'!$E$11+1,1))-AVERAGE(OFFSET($H$3,0,0,'Données projet'!$E$11+1,1))</f>
        <v>284.72381074796073</v>
      </c>
      <c r="BJ19" s="62">
        <f t="shared" si="38"/>
        <v>190.4880882944471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2.5115384615384619</v>
      </c>
      <c r="BY19" s="13">
        <f>IF('Données projet'!$A$114&gt;35,BY18+BX19-CG18,IF(A19&lt;'Données projet'!$A$114,$BV$205^A19,IF(A19='Données projet'!$A$114,'Données projet'!$B$114,BY18+BX19-CG18)))</f>
        <v>10.025343155938796</v>
      </c>
      <c r="BZ19" s="14">
        <f>BY19*VLOOKUP('Données projet'!$B$12,Paramètres!$A$1:$I$89,3,0)*VLOOKUP('Données projet'!$B$12,Paramètres!$A$1:$I$89,5,0)</f>
        <v>10.165697960121939</v>
      </c>
      <c r="CA19" s="14">
        <f t="shared" si="39"/>
        <v>3.5765021998379716</v>
      </c>
      <c r="CB19" s="22">
        <f t="shared" si="10"/>
        <v>23.934331945263509</v>
      </c>
      <c r="CC19" s="62">
        <f t="shared" si="11"/>
        <v>300.15655416748575</v>
      </c>
      <c r="CD19" s="62">
        <f ca="1">AVERAGE(OFFSET($CC$3,0,0,'Données projet'!$E$12+1,1))-AVERAGE(OFFSET($H$3,0,0,'Données projet'!$E$12+1,1))</f>
        <v>496.71400086768705</v>
      </c>
      <c r="CE19" s="62">
        <f t="shared" si="40"/>
        <v>206.75063396134982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2.5115384615384619</v>
      </c>
      <c r="CT19" s="13">
        <f>IF('Données projet'!$A$140&gt;35,CT18+CS19-DB18,IF(A19&lt;'Données projet'!$A$140,$CQ$205^A19,IF(A19='Données projet'!$A$140,'Données projet'!$B$140,CT18+CS19-DB18)))</f>
        <v>10.025343155938796</v>
      </c>
      <c r="CU19" s="18">
        <f>CT19*VLOOKUP('Données projet'!$B$13,Paramètres!$A$1:$I$89,3,0)*VLOOKUP('Données projet'!$B$13,Paramètres!$A$1:$I$89,5,0)</f>
        <v>10.79127937305252</v>
      </c>
      <c r="CV19" s="14">
        <f t="shared" si="41"/>
        <v>3.7702948178729372</v>
      </c>
      <c r="CW19" s="22">
        <f t="shared" si="13"/>
        <v>25.361408382528499</v>
      </c>
      <c r="CX19" s="62">
        <f t="shared" si="14"/>
        <v>301.58363060475074</v>
      </c>
      <c r="CY19" s="62">
        <f ca="1">AVERAGE(OFFSET($CX$3,0,0,'Données projet'!$E$13+1,1))-AVERAGE(OFFSET($H$3,0,0,'Données projet'!$E$13+1,1))</f>
        <v>524.55238798353344</v>
      </c>
      <c r="CZ19" s="62">
        <f t="shared" si="42"/>
        <v>216.94512104983255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126.33076923076922</v>
      </c>
      <c r="L20" s="13">
        <f>VLOOKUP(A20,'Données projet'!$A$35:$I$55,9,0)</f>
        <v>7.4312217194570129</v>
      </c>
      <c r="M20" s="13">
        <f t="array" ref="M20">INDEX(L:L,MIN(IF(ISNUMBER(L20:L216),ROW(L20:L216),"")))</f>
        <v>7.4312217194570129</v>
      </c>
      <c r="N20" s="14">
        <f>IF('Données projet'!$A$36&gt;35,N19+M20-V19,IF(A20&lt;'Données projet'!$A$36,$K$205^A20,IF(A20='Données projet'!$A$36,'Données projet'!$B$36,N19+M20-V19)))</f>
        <v>126.33076923076922</v>
      </c>
      <c r="O20" s="14">
        <f>N20*VLOOKUP('Données projet'!$B$9,Paramètres!$A$1:$I$89,3,0)*VLOOKUP('Données projet'!$B$9,Paramètres!$A$1:$I$89,5,0)</f>
        <v>75.5458</v>
      </c>
      <c r="P20" s="14">
        <f t="shared" si="33"/>
        <v>21.044504648353485</v>
      </c>
      <c r="Q20" s="22">
        <f t="shared" si="2"/>
        <v>168.22811392921565</v>
      </c>
      <c r="R20" s="62">
        <f t="shared" si="0"/>
        <v>445.67255837366008</v>
      </c>
      <c r="S20" s="62">
        <f ca="1">AVERAGE(OFFSET($R$3,0,0,'Données projet'!$E$9+1,1))-AVERAGE(OFFSET($H$3,0,0,'Données projet'!$E$9+1,1))</f>
        <v>260.01925143568263</v>
      </c>
      <c r="T20" s="62">
        <f t="shared" si="34"/>
        <v>269.95358755269427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42.084615384615383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13.468131868131868</v>
      </c>
      <c r="AI20" s="14">
        <f>IF('Données projet'!$A$62&gt;35,AI19+AH20-AQ19,IF(A20&lt;'Données projet'!$A$62,$AF$205^A20,IF(A20='Données projet'!$A$62,'Données projet'!$B$62,AI19+AH20-AQ19)))</f>
        <v>62.643956043956045</v>
      </c>
      <c r="AJ20" s="14">
        <f>AI20*VLOOKUP('Données projet'!$B$10,Paramètres!$A$1:$I$89,3,0)*VLOOKUP('Données projet'!$B$10,Paramètres!$A$1:$I$89,5,0)</f>
        <v>37.461085714285716</v>
      </c>
      <c r="AK20" s="14">
        <f t="shared" si="35"/>
        <v>11.323160704188275</v>
      </c>
      <c r="AL20" s="22">
        <f t="shared" si="4"/>
        <v>84.965895845508868</v>
      </c>
      <c r="AM20" s="62">
        <f t="shared" si="5"/>
        <v>362.4103402899533</v>
      </c>
      <c r="AN20" s="62">
        <f ca="1">AVERAGE(OFFSET($AM$3,0,0,'Données projet'!$E$10+1,1))-AVERAGE(OFFSET($H$3,0,0,'Données projet'!$E$10+1,1))</f>
        <v>289.24721145176682</v>
      </c>
      <c r="AO20" s="62">
        <f t="shared" si="36"/>
        <v>229.06617320689003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4.9084615384615384</v>
      </c>
      <c r="BD20" s="13">
        <f>IF('Données projet'!$A$88&gt;35,BD19+BC20-BL19,IF(A20&lt;'Données projet'!$A$88,$BA$205^A20,IF(A20='Données projet'!$A$88,'Données projet'!$B$88,BD19+BC20-BL19)))</f>
        <v>16.926653343761537</v>
      </c>
      <c r="BE20" s="14">
        <f>BD20*VLOOKUP('Données projet'!$B$11,Paramètres!$A$1:$I$89,3,0)*VLOOKUP('Données projet'!$B$11,Paramètres!$A$1:$I$89,5,0)</f>
        <v>7.9216737648803992</v>
      </c>
      <c r="BF20" s="14">
        <f t="shared" si="37"/>
        <v>2.8691068648319642</v>
      </c>
      <c r="BG20" s="22">
        <f t="shared" si="7"/>
        <v>18.793942930082366</v>
      </c>
      <c r="BH20" s="62">
        <f t="shared" si="8"/>
        <v>296.23838737452684</v>
      </c>
      <c r="BI20" s="62">
        <f ca="1">AVERAGE(OFFSET($BH$3,0,0,'Données projet'!$E$11+1,1))-AVERAGE(OFFSET($H$3,0,0,'Données projet'!$E$11+1,1))</f>
        <v>284.72381074796073</v>
      </c>
      <c r="BJ20" s="62">
        <f t="shared" si="38"/>
        <v>190.4880882944471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2.5115384615384619</v>
      </c>
      <c r="BY20" s="13">
        <f>IF('Données projet'!$A$114&gt;35,BY19+BX20-CG19,IF(A20&lt;'Données projet'!$A$114,$BV$205^A20,IF(A20='Données projet'!$A$114,'Données projet'!$B$114,BY19+BX20-CG19)))</f>
        <v>11.578917241241234</v>
      </c>
      <c r="BZ20" s="14">
        <f>BY20*VLOOKUP('Données projet'!$B$12,Paramètres!$A$1:$I$89,3,0)*VLOOKUP('Données projet'!$B$12,Paramètres!$A$1:$I$89,5,0)</f>
        <v>11.741022082618612</v>
      </c>
      <c r="CA20" s="14">
        <f t="shared" si="39"/>
        <v>4.0620400628064175</v>
      </c>
      <c r="CB20" s="22">
        <f t="shared" si="10"/>
        <v>27.523666569948592</v>
      </c>
      <c r="CC20" s="62">
        <f t="shared" si="11"/>
        <v>304.96811101439306</v>
      </c>
      <c r="CD20" s="62">
        <f ca="1">AVERAGE(OFFSET($CC$3,0,0,'Données projet'!$E$12+1,1))-AVERAGE(OFFSET($H$3,0,0,'Données projet'!$E$12+1,1))</f>
        <v>496.71400086768705</v>
      </c>
      <c r="CE20" s="62">
        <f t="shared" si="40"/>
        <v>206.75063396134982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2.5115384615384619</v>
      </c>
      <c r="CT20" s="13">
        <f>IF('Données projet'!$A$140&gt;35,CT19+CS20-DB19,IF(A20&lt;'Données projet'!$A$140,$CQ$205^A20,IF(A20='Données projet'!$A$140,'Données projet'!$B$140,CT19+CS20-DB19)))</f>
        <v>11.578917241241234</v>
      </c>
      <c r="CU20" s="18">
        <f>CT20*VLOOKUP('Données projet'!$B$13,Paramètres!$A$1:$I$89,3,0)*VLOOKUP('Données projet'!$B$13,Paramètres!$A$1:$I$89,5,0)</f>
        <v>12.463546518472063</v>
      </c>
      <c r="CV20" s="14">
        <f t="shared" si="41"/>
        <v>4.28214152908535</v>
      </c>
      <c r="CW20" s="22">
        <f t="shared" si="13"/>
        <v>29.165406682829158</v>
      </c>
      <c r="CX20" s="62">
        <f t="shared" si="14"/>
        <v>306.6098511272736</v>
      </c>
      <c r="CY20" s="62">
        <f ca="1">AVERAGE(OFFSET($CX$3,0,0,'Données projet'!$E$13+1,1))-AVERAGE(OFFSET($H$3,0,0,'Données projet'!$E$13+1,1))</f>
        <v>524.55238798353344</v>
      </c>
      <c r="CZ20" s="62">
        <f t="shared" si="42"/>
        <v>216.94512104983255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14.926923076923075</v>
      </c>
      <c r="N21" s="14">
        <f>IF('Données projet'!$A$36&gt;35,N20+M21-V20,IF(A21&lt;'Données projet'!$A$36,$K$205^A21,IF(A21='Données projet'!$A$36,'Données projet'!$B$36,N20+M21-V20)))</f>
        <v>99.173076923076934</v>
      </c>
      <c r="O21" s="14">
        <f>N21*VLOOKUP('Données projet'!$B$9,Paramètres!$A$1:$I$89,3,0)*VLOOKUP('Données projet'!$B$9,Paramètres!$A$1:$I$89,5,0)</f>
        <v>59.305500000000016</v>
      </c>
      <c r="P21" s="14">
        <f t="shared" si="33"/>
        <v>16.992558820122873</v>
      </c>
      <c r="Q21" s="22">
        <f t="shared" si="2"/>
        <v>132.88578577838067</v>
      </c>
      <c r="R21" s="62">
        <f t="shared" si="0"/>
        <v>411.55245244504738</v>
      </c>
      <c r="S21" s="62">
        <f ca="1">AVERAGE(OFFSET($R$3,0,0,'Données projet'!$E$9+1,1))-AVERAGE(OFFSET($H$3,0,0,'Données projet'!$E$9+1,1))</f>
        <v>260.01925143568263</v>
      </c>
      <c r="T21" s="62">
        <f t="shared" si="34"/>
        <v>269.95358755269427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13.468131868131868</v>
      </c>
      <c r="AI21" s="14">
        <f>IF('Données projet'!$A$62&gt;35,AI20+AH21-AQ20,IF(A21&lt;'Données projet'!$A$62,$AF$205^A21,IF(A21='Données projet'!$A$62,'Données projet'!$B$62,AI20+AH21-AQ20)))</f>
        <v>76.112087912087915</v>
      </c>
      <c r="AJ21" s="14">
        <f>AI21*VLOOKUP('Données projet'!$B$10,Paramètres!$A$1:$I$89,3,0)*VLOOKUP('Données projet'!$B$10,Paramètres!$A$1:$I$89,5,0)</f>
        <v>45.515028571428573</v>
      </c>
      <c r="AK21" s="14">
        <f t="shared" si="35"/>
        <v>13.449237521387609</v>
      </c>
      <c r="AL21" s="22">
        <f t="shared" si="4"/>
        <v>102.69609677832152</v>
      </c>
      <c r="AM21" s="62">
        <f t="shared" si="5"/>
        <v>381.36276344498822</v>
      </c>
      <c r="AN21" s="62">
        <f ca="1">AVERAGE(OFFSET($AM$3,0,0,'Données projet'!$E$10+1,1))-AVERAGE(OFFSET($H$3,0,0,'Données projet'!$E$10+1,1))</f>
        <v>289.24721145176682</v>
      </c>
      <c r="AO21" s="62">
        <f t="shared" si="36"/>
        <v>229.06617320689003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4.9084615384615384</v>
      </c>
      <c r="BD21" s="13">
        <f>IF('Données projet'!$A$88&gt;35,BD20+BC21-BL20,IF(A21&lt;'Données projet'!$A$88,$BA$205^A21,IF(A21='Données projet'!$A$88,'Données projet'!$B$88,BD20+BC21-BL20)))</f>
        <v>19.991251747746755</v>
      </c>
      <c r="BE21" s="14">
        <f>BD21*VLOOKUP('Données projet'!$B$11,Paramètres!$A$1:$I$89,3,0)*VLOOKUP('Données projet'!$B$11,Paramètres!$A$1:$I$89,5,0)</f>
        <v>9.3559058179454802</v>
      </c>
      <c r="BF21" s="14">
        <f t="shared" si="37"/>
        <v>3.3235599293549551</v>
      </c>
      <c r="BG21" s="22">
        <f t="shared" si="7"/>
        <v>22.083402843214927</v>
      </c>
      <c r="BH21" s="62">
        <f t="shared" si="8"/>
        <v>300.7500695098816</v>
      </c>
      <c r="BI21" s="62">
        <f ca="1">AVERAGE(OFFSET($BH$3,0,0,'Données projet'!$E$11+1,1))-AVERAGE(OFFSET($H$3,0,0,'Données projet'!$E$11+1,1))</f>
        <v>284.72381074796073</v>
      </c>
      <c r="BJ21" s="62">
        <f t="shared" si="38"/>
        <v>190.4880882944471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2.5115384615384619</v>
      </c>
      <c r="BY21" s="13">
        <f>IF('Données projet'!$A$114&gt;35,BY20+BX21-CG20,IF(A21&lt;'Données projet'!$A$114,$BV$205^A21,IF(A21='Données projet'!$A$114,'Données projet'!$B$114,BY20+BX21-CG20)))</f>
        <v>13.373240436173255</v>
      </c>
      <c r="BZ21" s="14">
        <f>BY21*VLOOKUP('Données projet'!$B$12,Paramètres!$A$1:$I$89,3,0)*VLOOKUP('Données projet'!$B$12,Paramètres!$A$1:$I$89,5,0)</f>
        <v>13.560465802279682</v>
      </c>
      <c r="CA21" s="14">
        <f t="shared" si="39"/>
        <v>4.6134934497151674</v>
      </c>
      <c r="CB21" s="22">
        <f t="shared" si="10"/>
        <v>31.652979030557692</v>
      </c>
      <c r="CC21" s="62">
        <f t="shared" si="11"/>
        <v>310.31964569722436</v>
      </c>
      <c r="CD21" s="62">
        <f ca="1">AVERAGE(OFFSET($CC$3,0,0,'Données projet'!$E$12+1,1))-AVERAGE(OFFSET($H$3,0,0,'Données projet'!$E$12+1,1))</f>
        <v>496.71400086768705</v>
      </c>
      <c r="CE21" s="62">
        <f t="shared" si="40"/>
        <v>206.75063396134982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2.5115384615384619</v>
      </c>
      <c r="CT21" s="13">
        <f>IF('Données projet'!$A$140&gt;35,CT20+CS21-DB20,IF(A21&lt;'Données projet'!$A$140,$CQ$205^A21,IF(A21='Données projet'!$A$140,'Données projet'!$B$140,CT20+CS21-DB20)))</f>
        <v>13.373240436173255</v>
      </c>
      <c r="CU21" s="18">
        <f>CT21*VLOOKUP('Données projet'!$B$13,Paramètres!$A$1:$I$89,3,0)*VLOOKUP('Données projet'!$B$13,Paramètres!$A$1:$I$89,5,0)</f>
        <v>14.394956005496891</v>
      </c>
      <c r="CV21" s="14">
        <f t="shared" si="41"/>
        <v>4.8634753940707345</v>
      </c>
      <c r="CW21" s="22">
        <f t="shared" si="13"/>
        <v>33.541768020913615</v>
      </c>
      <c r="CX21" s="62">
        <f t="shared" si="14"/>
        <v>312.20843468758028</v>
      </c>
      <c r="CY21" s="62">
        <f ca="1">AVERAGE(OFFSET($CX$3,0,0,'Données projet'!$E$13+1,1))-AVERAGE(OFFSET($H$3,0,0,'Données projet'!$E$13+1,1))</f>
        <v>524.55238798353344</v>
      </c>
      <c r="CZ21" s="62">
        <f t="shared" si="42"/>
        <v>216.94512104983255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14.926923076923075</v>
      </c>
      <c r="N22" s="14">
        <f>IF('Données projet'!$A$36&gt;35,N21+M22-V21,IF(A22&lt;'Données projet'!$A$36,$K$205^A22,IF(A22='Données projet'!$A$36,'Données projet'!$B$36,N21+M22-V21)))</f>
        <v>114.10000000000001</v>
      </c>
      <c r="O22" s="14">
        <f>N22*VLOOKUP('Données projet'!$B$9,Paramètres!$A$1:$I$89,3,0)*VLOOKUP('Données projet'!$B$9,Paramètres!$A$1:$I$89,5,0)</f>
        <v>68.231800000000007</v>
      </c>
      <c r="P22" s="14">
        <f t="shared" si="33"/>
        <v>19.233699497264624</v>
      </c>
      <c r="Q22" s="22">
        <f t="shared" si="2"/>
        <v>152.3357449577359</v>
      </c>
      <c r="R22" s="62">
        <f t="shared" si="0"/>
        <v>432.22463384662478</v>
      </c>
      <c r="S22" s="62">
        <f ca="1">AVERAGE(OFFSET($R$3,0,0,'Données projet'!$E$9+1,1))-AVERAGE(OFFSET($H$3,0,0,'Données projet'!$E$9+1,1))</f>
        <v>260.01925143568263</v>
      </c>
      <c r="T22" s="62">
        <f t="shared" si="34"/>
        <v>269.95358755269427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13.468131868131868</v>
      </c>
      <c r="AI22" s="14">
        <f>IF('Données projet'!$A$62&gt;35,AI21+AH22-AQ21,IF(A22&lt;'Données projet'!$A$62,$AF$205^A22,IF(A22='Données projet'!$A$62,'Données projet'!$B$62,AI21+AH22-AQ21)))</f>
        <v>89.580219780219778</v>
      </c>
      <c r="AJ22" s="14">
        <f>AI22*VLOOKUP('Données projet'!$B$10,Paramètres!$A$1:$I$89,3,0)*VLOOKUP('Données projet'!$B$10,Paramètres!$A$1:$I$89,5,0)</f>
        <v>53.56897142857143</v>
      </c>
      <c r="AK22" s="14">
        <f t="shared" si="35"/>
        <v>15.531731116329365</v>
      </c>
      <c r="AL22" s="22">
        <f t="shared" si="4"/>
        <v>120.35039026570223</v>
      </c>
      <c r="AM22" s="62">
        <f t="shared" si="5"/>
        <v>400.23927915459109</v>
      </c>
      <c r="AN22" s="62">
        <f ca="1">AVERAGE(OFFSET($AM$3,0,0,'Données projet'!$E$10+1,1))-AVERAGE(OFFSET($H$3,0,0,'Données projet'!$E$10+1,1))</f>
        <v>289.24721145176682</v>
      </c>
      <c r="AO22" s="62">
        <f t="shared" si="36"/>
        <v>229.06617320689003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4.9084615384615384</v>
      </c>
      <c r="BD22" s="13">
        <f>IF('Données projet'!$A$88&gt;35,BD21+BC22-BL21,IF(A22&lt;'Données projet'!$A$88,$BA$205^A22,IF(A22='Données projet'!$A$88,'Données projet'!$B$88,BD21+BC22-BL21)))</f>
        <v>23.610700728923604</v>
      </c>
      <c r="BE22" s="14">
        <f>BD22*VLOOKUP('Données projet'!$B$11,Paramètres!$A$1:$I$89,3,0)*VLOOKUP('Données projet'!$B$11,Paramètres!$A$1:$I$89,5,0)</f>
        <v>11.049807941136248</v>
      </c>
      <c r="BF22" s="14">
        <f t="shared" si="37"/>
        <v>3.8499962268435248</v>
      </c>
      <c r="BG22" s="22">
        <f t="shared" si="7"/>
        <v>25.950492259231435</v>
      </c>
      <c r="BH22" s="62">
        <f t="shared" si="8"/>
        <v>305.83938114812031</v>
      </c>
      <c r="BI22" s="62">
        <f ca="1">AVERAGE(OFFSET($BH$3,0,0,'Données projet'!$E$11+1,1))-AVERAGE(OFFSET($H$3,0,0,'Données projet'!$E$11+1,1))</f>
        <v>284.72381074796073</v>
      </c>
      <c r="BJ22" s="62">
        <f t="shared" si="38"/>
        <v>190.4880882944471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2.5115384615384619</v>
      </c>
      <c r="BY22" s="13">
        <f>IF('Données projet'!$A$114&gt;35,BY21+BX22-CG21,IF(A22&lt;'Données projet'!$A$114,$BV$205^A22,IF(A22='Données projet'!$A$114,'Données projet'!$B$114,BY21+BX22-CG21)))</f>
        <v>15.445620349258824</v>
      </c>
      <c r="BZ22" s="14">
        <f>BY22*VLOOKUP('Données projet'!$B$12,Paramètres!$A$1:$I$89,3,0)*VLOOKUP('Données projet'!$B$12,Paramètres!$A$1:$I$89,5,0)</f>
        <v>15.661859034148449</v>
      </c>
      <c r="CA22" s="14">
        <f t="shared" si="39"/>
        <v>5.239810903258217</v>
      </c>
      <c r="CB22" s="22">
        <f t="shared" si="10"/>
        <v>36.403741807649943</v>
      </c>
      <c r="CC22" s="62">
        <f t="shared" si="11"/>
        <v>316.29263069653882</v>
      </c>
      <c r="CD22" s="62">
        <f ca="1">AVERAGE(OFFSET($CC$3,0,0,'Données projet'!$E$12+1,1))-AVERAGE(OFFSET($H$3,0,0,'Données projet'!$E$12+1,1))</f>
        <v>496.71400086768705</v>
      </c>
      <c r="CE22" s="62">
        <f t="shared" si="40"/>
        <v>206.75063396134982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2.5115384615384619</v>
      </c>
      <c r="CT22" s="13">
        <f>IF('Données projet'!$A$140&gt;35,CT21+CS22-DB21,IF(A22&lt;'Données projet'!$A$140,$CQ$205^A22,IF(A22='Données projet'!$A$140,'Données projet'!$B$140,CT21+CS22-DB21)))</f>
        <v>15.445620349258824</v>
      </c>
      <c r="CU22" s="18">
        <f>CT22*VLOOKUP('Données projet'!$B$13,Paramètres!$A$1:$I$89,3,0)*VLOOKUP('Données projet'!$B$13,Paramètres!$A$1:$I$89,5,0)</f>
        <v>16.625665743942196</v>
      </c>
      <c r="CV22" s="14">
        <f t="shared" si="41"/>
        <v>5.5237298319244861</v>
      </c>
      <c r="CW22" s="22">
        <f t="shared" si="13"/>
        <v>38.576863961301143</v>
      </c>
      <c r="CX22" s="62">
        <f t="shared" si="14"/>
        <v>318.46575285019003</v>
      </c>
      <c r="CY22" s="62">
        <f ca="1">AVERAGE(OFFSET($CX$3,0,0,'Données projet'!$E$13+1,1))-AVERAGE(OFFSET($H$3,0,0,'Données projet'!$E$13+1,1))</f>
        <v>524.55238798353344</v>
      </c>
      <c r="CZ22" s="62">
        <f t="shared" si="42"/>
        <v>216.94512104983255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14.926923076923075</v>
      </c>
      <c r="N23" s="14">
        <f>IF('Données projet'!$A$36&gt;35,N22+M23-V22,IF(A23&lt;'Données projet'!$A$36,$K$205^A23,IF(A23='Données projet'!$A$36,'Données projet'!$B$36,N22+M23-V22)))</f>
        <v>129.02692307692308</v>
      </c>
      <c r="O23" s="14">
        <f>N23*VLOOKUP('Données projet'!$B$9,Paramètres!$A$1:$I$89,3,0)*VLOOKUP('Données projet'!$B$9,Paramètres!$A$1:$I$89,5,0)</f>
        <v>77.158100000000005</v>
      </c>
      <c r="P23" s="14">
        <f t="shared" si="33"/>
        <v>21.440868838738705</v>
      </c>
      <c r="Q23" s="22">
        <f t="shared" si="2"/>
        <v>171.72653739413659</v>
      </c>
      <c r="R23" s="62">
        <f t="shared" si="0"/>
        <v>452.83764850524773</v>
      </c>
      <c r="S23" s="62">
        <f ca="1">AVERAGE(OFFSET($R$3,0,0,'Données projet'!$E$9+1,1))-AVERAGE(OFFSET($H$3,0,0,'Données projet'!$E$9+1,1))</f>
        <v>260.01925143568263</v>
      </c>
      <c r="T23" s="62">
        <f t="shared" si="34"/>
        <v>269.95358755269427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13.468131868131868</v>
      </c>
      <c r="AI23" s="14">
        <f>IF('Données projet'!$A$62&gt;35,AI22+AH23-AQ22,IF(A23&lt;'Données projet'!$A$62,$AF$205^A23,IF(A23='Données projet'!$A$62,'Données projet'!$B$62,AI22+AH23-AQ22)))</f>
        <v>103.04835164835164</v>
      </c>
      <c r="AJ23" s="14">
        <f>AI23*VLOOKUP('Données projet'!$B$10,Paramètres!$A$1:$I$89,3,0)*VLOOKUP('Données projet'!$B$10,Paramètres!$A$1:$I$89,5,0)</f>
        <v>61.622914285714288</v>
      </c>
      <c r="AK23" s="14">
        <f t="shared" si="35"/>
        <v>17.577953130673084</v>
      </c>
      <c r="AL23" s="22">
        <f t="shared" si="4"/>
        <v>137.94151075020798</v>
      </c>
      <c r="AM23" s="62">
        <f t="shared" si="5"/>
        <v>419.05262186131915</v>
      </c>
      <c r="AN23" s="62">
        <f ca="1">AVERAGE(OFFSET($AM$3,0,0,'Données projet'!$E$10+1,1))-AVERAGE(OFFSET($H$3,0,0,'Données projet'!$E$10+1,1))</f>
        <v>289.24721145176682</v>
      </c>
      <c r="AO23" s="62">
        <f t="shared" si="36"/>
        <v>229.06617320689003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4.9084615384615384</v>
      </c>
      <c r="BD23" s="13">
        <f>IF('Données projet'!$A$88&gt;35,BD22+BC23-BL22,IF(A23&lt;'Données projet'!$A$88,$BA$205^A23,IF(A23='Données projet'!$A$88,'Données projet'!$B$88,BD22+BC23-BL22)))</f>
        <v>27.885456896095882</v>
      </c>
      <c r="BE23" s="14">
        <f>BD23*VLOOKUP('Données projet'!$B$11,Paramètres!$A$1:$I$89,3,0)*VLOOKUP('Données projet'!$B$11,Paramètres!$A$1:$I$89,5,0)</f>
        <v>13.050393827372874</v>
      </c>
      <c r="BF23" s="14">
        <f t="shared" si="37"/>
        <v>4.459817563628576</v>
      </c>
      <c r="BG23" s="22">
        <f t="shared" si="7"/>
        <v>30.49695150599419</v>
      </c>
      <c r="BH23" s="62">
        <f t="shared" si="8"/>
        <v>311.60806261710536</v>
      </c>
      <c r="BI23" s="62">
        <f ca="1">AVERAGE(OFFSET($BH$3,0,0,'Données projet'!$E$11+1,1))-AVERAGE(OFFSET($H$3,0,0,'Données projet'!$E$11+1,1))</f>
        <v>284.72381074796073</v>
      </c>
      <c r="BJ23" s="62">
        <f t="shared" si="38"/>
        <v>190.4880882944471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2.5115384615384619</v>
      </c>
      <c r="BY23" s="13">
        <f>IF('Données projet'!$A$114&gt;35,BY22+BX23-CG22,IF(A23&lt;'Données projet'!$A$114,$BV$205^A23,IF(A23='Données projet'!$A$114,'Données projet'!$B$114,BY22+BX23-CG22)))</f>
        <v>17.839145950605833</v>
      </c>
      <c r="BZ23" s="14">
        <f>BY23*VLOOKUP('Données projet'!$B$12,Paramètres!$A$1:$I$89,3,0)*VLOOKUP('Données projet'!$B$12,Paramètres!$A$1:$I$89,5,0)</f>
        <v>18.088893993914315</v>
      </c>
      <c r="CA23" s="14">
        <f t="shared" si="39"/>
        <v>5.9511558000800351</v>
      </c>
      <c r="CB23" s="22">
        <f t="shared" si="10"/>
        <v>41.869753391206821</v>
      </c>
      <c r="CC23" s="62">
        <f t="shared" si="11"/>
        <v>322.98086450231796</v>
      </c>
      <c r="CD23" s="62">
        <f ca="1">AVERAGE(OFFSET($CC$3,0,0,'Données projet'!$E$12+1,1))-AVERAGE(OFFSET($H$3,0,0,'Données projet'!$E$12+1,1))</f>
        <v>496.71400086768705</v>
      </c>
      <c r="CE23" s="62">
        <f t="shared" si="40"/>
        <v>206.75063396134982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2.5115384615384619</v>
      </c>
      <c r="CT23" s="13">
        <f>IF('Données projet'!$A$140&gt;35,CT22+CS23-DB22,IF(A23&lt;'Données projet'!$A$140,$CQ$205^A23,IF(A23='Données projet'!$A$140,'Données projet'!$B$140,CT22+CS23-DB22)))</f>
        <v>17.839145950605833</v>
      </c>
      <c r="CU23" s="18">
        <f>CT23*VLOOKUP('Données projet'!$B$13,Paramètres!$A$1:$I$89,3,0)*VLOOKUP('Données projet'!$B$13,Paramètres!$A$1:$I$89,5,0)</f>
        <v>19.202056701232117</v>
      </c>
      <c r="CV23" s="14">
        <f t="shared" si="41"/>
        <v>6.2736189214178966</v>
      </c>
      <c r="CW23" s="22">
        <f t="shared" si="13"/>
        <v>44.370135042782103</v>
      </c>
      <c r="CX23" s="62">
        <f t="shared" si="14"/>
        <v>325.48124615389327</v>
      </c>
      <c r="CY23" s="62">
        <f ca="1">AVERAGE(OFFSET($CX$3,0,0,'Données projet'!$E$13+1,1))-AVERAGE(OFFSET($H$3,0,0,'Données projet'!$E$13+1,1))</f>
        <v>524.55238798353344</v>
      </c>
      <c r="CZ23" s="62">
        <f t="shared" si="42"/>
        <v>216.94512104983255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14.926923076923075</v>
      </c>
      <c r="N24" s="14">
        <f>IF('Données projet'!$A$36&gt;35,N23+M24-V23,IF(A24&lt;'Données projet'!$A$36,$K$205^A24,IF(A24='Données projet'!$A$36,'Données projet'!$B$36,N23+M24-V23)))</f>
        <v>143.95384615384614</v>
      </c>
      <c r="O24" s="14">
        <f>N24*VLOOKUP('Données projet'!$B$9,Paramètres!$A$1:$I$89,3,0)*VLOOKUP('Données projet'!$B$9,Paramètres!$A$1:$I$89,5,0)</f>
        <v>86.084400000000002</v>
      </c>
      <c r="P24" s="14">
        <f t="shared" si="33"/>
        <v>23.618445758177199</v>
      </c>
      <c r="Q24" s="22">
        <f t="shared" si="2"/>
        <v>191.06578969549196</v>
      </c>
      <c r="R24" s="62">
        <f t="shared" si="0"/>
        <v>473.39912302882527</v>
      </c>
      <c r="S24" s="62">
        <f ca="1">AVERAGE(OFFSET($R$3,0,0,'Données projet'!$E$9+1,1))-AVERAGE(OFFSET($H$3,0,0,'Données projet'!$E$9+1,1))</f>
        <v>260.01925143568263</v>
      </c>
      <c r="T24" s="62">
        <f t="shared" si="34"/>
        <v>269.95358755269427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13.468131868131868</v>
      </c>
      <c r="AI24" s="14">
        <f>IF('Données projet'!$A$62&gt;35,AI23+AH24-AQ23,IF(A24&lt;'Données projet'!$A$62,$AF$205^A24,IF(A24='Données projet'!$A$62,'Données projet'!$B$62,AI23+AH24-AQ23)))</f>
        <v>116.5164835164835</v>
      </c>
      <c r="AJ24" s="14">
        <f>AI24*VLOOKUP('Données projet'!$B$10,Paramètres!$A$1:$I$89,3,0)*VLOOKUP('Données projet'!$B$10,Paramètres!$A$1:$I$89,5,0)</f>
        <v>69.676857142857145</v>
      </c>
      <c r="AK24" s="14">
        <f t="shared" si="35"/>
        <v>19.593188213653896</v>
      </c>
      <c r="AL24" s="22">
        <f t="shared" si="4"/>
        <v>155.47866232925674</v>
      </c>
      <c r="AM24" s="62">
        <f t="shared" si="5"/>
        <v>437.81199566259005</v>
      </c>
      <c r="AN24" s="62">
        <f ca="1">AVERAGE(OFFSET($AM$3,0,0,'Données projet'!$E$10+1,1))-AVERAGE(OFFSET($H$3,0,0,'Données projet'!$E$10+1,1))</f>
        <v>289.24721145176682</v>
      </c>
      <c r="AO24" s="62">
        <f t="shared" si="36"/>
        <v>229.06617320689003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4.9084615384615384</v>
      </c>
      <c r="BD24" s="13">
        <f>IF('Données projet'!$A$88&gt;35,BD23+BC24-BL23,IF(A24&lt;'Données projet'!$A$88,$BA$205^A24,IF(A24='Données projet'!$A$88,'Données projet'!$B$88,BD23+BC24-BL23)))</f>
        <v>32.934164692174789</v>
      </c>
      <c r="BE24" s="14">
        <f>BD24*VLOOKUP('Données projet'!$B$11,Paramètres!$A$1:$I$89,3,0)*VLOOKUP('Données projet'!$B$11,Paramètres!$A$1:$I$89,5,0)</f>
        <v>15.413189075937803</v>
      </c>
      <c r="BF24" s="14">
        <f t="shared" si="37"/>
        <v>5.166231738662507</v>
      </c>
      <c r="BG24" s="22">
        <f t="shared" si="7"/>
        <v>35.842491252095542</v>
      </c>
      <c r="BH24" s="62">
        <f t="shared" si="8"/>
        <v>318.17582458542887</v>
      </c>
      <c r="BI24" s="62">
        <f ca="1">AVERAGE(OFFSET($BH$3,0,0,'Données projet'!$E$11+1,1))-AVERAGE(OFFSET($H$3,0,0,'Données projet'!$E$11+1,1))</f>
        <v>284.72381074796073</v>
      </c>
      <c r="BJ24" s="62">
        <f t="shared" si="38"/>
        <v>190.4880882944471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2.5115384615384619</v>
      </c>
      <c r="BY24" s="13">
        <f>IF('Données projet'!$A$114&gt;35,BY23+BX24-CG23,IF(A24&lt;'Données projet'!$A$114,$BV$205^A24,IF(A24='Données projet'!$A$114,'Données projet'!$B$114,BY23+BX24-CG23)))</f>
        <v>20.603583478748867</v>
      </c>
      <c r="BZ24" s="14">
        <f>BY24*VLOOKUP('Données projet'!$B$12,Paramètres!$A$1:$I$89,3,0)*VLOOKUP('Données projet'!$B$12,Paramètres!$A$1:$I$89,5,0)</f>
        <v>20.892033647451353</v>
      </c>
      <c r="CA24" s="14">
        <f t="shared" si="39"/>
        <v>6.7590712738896261</v>
      </c>
      <c r="CB24" s="22">
        <f t="shared" si="10"/>
        <v>48.159007738002209</v>
      </c>
      <c r="CC24" s="62">
        <f t="shared" si="11"/>
        <v>330.49234107133555</v>
      </c>
      <c r="CD24" s="62">
        <f ca="1">AVERAGE(OFFSET($CC$3,0,0,'Données projet'!$E$12+1,1))-AVERAGE(OFFSET($H$3,0,0,'Données projet'!$E$12+1,1))</f>
        <v>496.71400086768705</v>
      </c>
      <c r="CE24" s="62">
        <f t="shared" si="40"/>
        <v>206.75063396134982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2.5115384615384619</v>
      </c>
      <c r="CT24" s="13">
        <f>IF('Données projet'!$A$140&gt;35,CT23+CS24-DB23,IF(A24&lt;'Données projet'!$A$140,$CQ$205^A24,IF(A24='Données projet'!$A$140,'Données projet'!$B$140,CT23+CS24-DB23)))</f>
        <v>20.603583478748867</v>
      </c>
      <c r="CU24" s="18">
        <f>CT24*VLOOKUP('Données projet'!$B$13,Paramètres!$A$1:$I$89,3,0)*VLOOKUP('Données projet'!$B$13,Paramètres!$A$1:$I$89,5,0)</f>
        <v>22.177697256525278</v>
      </c>
      <c r="CV24" s="14">
        <f t="shared" si="41"/>
        <v>7.1253112604640316</v>
      </c>
      <c r="CW24" s="22">
        <f t="shared" si="13"/>
        <v>51.036073167089711</v>
      </c>
      <c r="CX24" s="62">
        <f t="shared" si="14"/>
        <v>333.369406500423</v>
      </c>
      <c r="CY24" s="62">
        <f ca="1">AVERAGE(OFFSET($CX$3,0,0,'Données projet'!$E$13+1,1))-AVERAGE(OFFSET($H$3,0,0,'Données projet'!$E$13+1,1))</f>
        <v>524.55238798353344</v>
      </c>
      <c r="CZ24" s="62">
        <f t="shared" si="42"/>
        <v>216.94512104983255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14.926923076923075</v>
      </c>
      <c r="N25" s="14">
        <f>IF('Données projet'!$A$36&gt;35,N24+M25-V24,IF(A25&lt;'Données projet'!$A$36,$K$205^A25,IF(A25='Données projet'!$A$36,'Données projet'!$B$36,N24+M25-V24)))</f>
        <v>158.8807692307692</v>
      </c>
      <c r="O25" s="14">
        <f>N25*VLOOKUP('Données projet'!$B$9,Paramètres!$A$1:$I$89,3,0)*VLOOKUP('Données projet'!$B$9,Paramètres!$A$1:$I$89,5,0)</f>
        <v>95.0107</v>
      </c>
      <c r="P25" s="14">
        <f t="shared" si="33"/>
        <v>25.769848277327686</v>
      </c>
      <c r="Q25" s="22">
        <f t="shared" si="2"/>
        <v>210.3594549163457</v>
      </c>
      <c r="R25" s="62">
        <f t="shared" si="0"/>
        <v>493.91501047190127</v>
      </c>
      <c r="S25" s="62">
        <f ca="1">AVERAGE(OFFSET($R$3,0,0,'Données projet'!$E$9+1,1))-AVERAGE(OFFSET($H$3,0,0,'Données projet'!$E$9+1,1))</f>
        <v>260.01925143568263</v>
      </c>
      <c r="T25" s="62">
        <f t="shared" si="34"/>
        <v>269.95358755269427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129.98461538461538</v>
      </c>
      <c r="AG25" s="13">
        <f>VLOOKUP(A25,'Données projet'!$A$61:$I$81,9,0)</f>
        <v>13.468131868131868</v>
      </c>
      <c r="AH25" s="13">
        <f t="array" ref="AH25">INDEX(AG:AG,MIN(IF(ISNUMBER(AG25:AG221),ROW(AG25:AG221),"")))</f>
        <v>13.468131868131868</v>
      </c>
      <c r="AI25" s="14">
        <f>IF('Données projet'!$A$62&gt;35,AI24+AH25-AQ24,IF(A25&lt;'Données projet'!$A$62,$AF$205^A25,IF(A25='Données projet'!$A$62,'Données projet'!$B$62,AI24+AH25-AQ24)))</f>
        <v>129.98461538461538</v>
      </c>
      <c r="AJ25" s="14">
        <f>AI25*VLOOKUP('Données projet'!$B$10,Paramètres!$A$1:$I$89,3,0)*VLOOKUP('Données projet'!$B$10,Paramètres!$A$1:$I$89,5,0)</f>
        <v>77.730800000000002</v>
      </c>
      <c r="AK25" s="14">
        <f t="shared" si="35"/>
        <v>21.581427176601697</v>
      </c>
      <c r="AL25" s="22">
        <f t="shared" si="4"/>
        <v>172.96879566591463</v>
      </c>
      <c r="AM25" s="62">
        <f t="shared" si="5"/>
        <v>456.52435122147017</v>
      </c>
      <c r="AN25" s="62">
        <f ca="1">AVERAGE(OFFSET($AM$3,0,0,'Données projet'!$E$10+1,1))-AVERAGE(OFFSET($H$3,0,0,'Données projet'!$E$10+1,1))</f>
        <v>289.24721145176682</v>
      </c>
      <c r="AO25" s="62">
        <f t="shared" si="36"/>
        <v>229.06617320689003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52.746153846153838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4.9084615384615384</v>
      </c>
      <c r="BD25" s="13">
        <f>IF('Données projet'!$A$88&gt;35,BD24+BC25-BL24,IF(A25&lt;'Données projet'!$A$88,$BA$205^A25,IF(A25='Données projet'!$A$88,'Données projet'!$B$88,BD24+BC25-BL24)))</f>
        <v>38.896949331432715</v>
      </c>
      <c r="BE25" s="14">
        <f>BD25*VLOOKUP('Données projet'!$B$11,Paramètres!$A$1:$I$89,3,0)*VLOOKUP('Données projet'!$B$11,Paramètres!$A$1:$I$89,5,0)</f>
        <v>18.20377228711051</v>
      </c>
      <c r="BF25" s="14">
        <f t="shared" si="37"/>
        <v>5.9845386042761088</v>
      </c>
      <c r="BG25" s="22">
        <f t="shared" si="7"/>
        <v>42.127974802498365</v>
      </c>
      <c r="BH25" s="62">
        <f t="shared" si="8"/>
        <v>325.68353035805393</v>
      </c>
      <c r="BI25" s="62">
        <f ca="1">AVERAGE(OFFSET($BH$3,0,0,'Données projet'!$E$11+1,1))-AVERAGE(OFFSET($H$3,0,0,'Données projet'!$E$11+1,1))</f>
        <v>284.72381074796073</v>
      </c>
      <c r="BJ25" s="62">
        <f t="shared" si="38"/>
        <v>190.4880882944471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2.5115384615384619</v>
      </c>
      <c r="BY25" s="13">
        <f>IF('Données projet'!$A$114&gt;35,BY24+BX25-CG24,IF(A25&lt;'Données projet'!$A$114,$BV$205^A25,IF(A25='Données projet'!$A$114,'Données projet'!$B$114,BY24+BX25-CG24)))</f>
        <v>23.796411181408413</v>
      </c>
      <c r="BZ25" s="14">
        <f>BY25*VLOOKUP('Données projet'!$B$12,Paramètres!$A$1:$I$89,3,0)*VLOOKUP('Données projet'!$B$12,Paramètres!$A$1:$I$89,5,0)</f>
        <v>24.129560937948131</v>
      </c>
      <c r="CA25" s="14">
        <f t="shared" si="39"/>
        <v>7.6766675281641099</v>
      </c>
      <c r="CB25" s="22">
        <f t="shared" si="10"/>
        <v>55.395847911812147</v>
      </c>
      <c r="CC25" s="62">
        <f t="shared" si="11"/>
        <v>338.9514034673677</v>
      </c>
      <c r="CD25" s="62">
        <f ca="1">AVERAGE(OFFSET($CC$3,0,0,'Données projet'!$E$12+1,1))-AVERAGE(OFFSET($H$3,0,0,'Données projet'!$E$12+1,1))</f>
        <v>496.71400086768705</v>
      </c>
      <c r="CE25" s="62">
        <f t="shared" si="40"/>
        <v>206.75063396134982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2.5115384615384619</v>
      </c>
      <c r="CT25" s="13">
        <f>IF('Données projet'!$A$140&gt;35,CT24+CS25-DB24,IF(A25&lt;'Données projet'!$A$140,$CQ$205^A25,IF(A25='Données projet'!$A$140,'Données projet'!$B$140,CT24+CS25-DB24)))</f>
        <v>23.796411181408413</v>
      </c>
      <c r="CU25" s="18">
        <f>CT25*VLOOKUP('Données projet'!$B$13,Paramètres!$A$1:$I$89,3,0)*VLOOKUP('Données projet'!$B$13,Paramètres!$A$1:$I$89,5,0)</f>
        <v>25.614456995668014</v>
      </c>
      <c r="CV25" s="14">
        <f t="shared" si="41"/>
        <v>8.0926274283521522</v>
      </c>
      <c r="CW25" s="22">
        <f t="shared" si="13"/>
        <v>58.706505371835114</v>
      </c>
      <c r="CX25" s="62">
        <f t="shared" si="14"/>
        <v>342.26206092739068</v>
      </c>
      <c r="CY25" s="62">
        <f ca="1">AVERAGE(OFFSET($CX$3,0,0,'Données projet'!$E$13+1,1))-AVERAGE(OFFSET($H$3,0,0,'Données projet'!$E$13+1,1))</f>
        <v>524.55238798353344</v>
      </c>
      <c r="CZ25" s="62">
        <f t="shared" si="42"/>
        <v>216.94512104983255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173.80769230769229</v>
      </c>
      <c r="L26" s="13">
        <f>VLOOKUP(A26,'Données projet'!$A$35:$I$55,9,0)</f>
        <v>14.926923076923075</v>
      </c>
      <c r="M26" s="13">
        <f t="array" ref="M26">INDEX(L:L,MIN(IF(ISNUMBER(L26:L222),ROW(L26:L222),"")))</f>
        <v>14.926923076923075</v>
      </c>
      <c r="N26" s="14">
        <f>IF('Données projet'!$A$36&gt;35,N25+M26-V25,IF(A26&lt;'Données projet'!$A$36,$K$205^A26,IF(A26='Données projet'!$A$36,'Données projet'!$B$36,N25+M26-V25)))</f>
        <v>173.80769230769226</v>
      </c>
      <c r="O26" s="14">
        <f>N26*VLOOKUP('Données projet'!$B$9,Paramètres!$A$1:$I$89,3,0)*VLOOKUP('Données projet'!$B$9,Paramètres!$A$1:$I$89,5,0)</f>
        <v>103.93699999999998</v>
      </c>
      <c r="P26" s="14">
        <f t="shared" si="33"/>
        <v>27.897815230264825</v>
      </c>
      <c r="Q26" s="22">
        <f t="shared" si="2"/>
        <v>229.61230319271121</v>
      </c>
      <c r="R26" s="62">
        <f t="shared" si="0"/>
        <v>514.39008097048895</v>
      </c>
      <c r="S26" s="62">
        <f ca="1">AVERAGE(OFFSET($R$3,0,0,'Données projet'!$E$9+1,1))-AVERAGE(OFFSET($H$3,0,0,'Données projet'!$E$9+1,1))</f>
        <v>260.01925143568263</v>
      </c>
      <c r="T26" s="62">
        <f t="shared" si="34"/>
        <v>269.95358755269427</v>
      </c>
      <c r="U26" s="16">
        <f>IF(ISNA(VLOOKUP(A26,'Données projet'!$A$35:$I$55,3,0)),0,VLOOKUP(A26,'Données projet'!$A$35:$I$55,3,0))</f>
        <v>2</v>
      </c>
      <c r="V26" s="16">
        <f>IF(ISNA(VLOOKUP(A26,'Données projet'!$A$35:$I$55,4,0)),0,VLOOKUP(A26,'Données projet'!$A$35:$I$55,4,0))</f>
        <v>54.099999999999994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11.242307692307683</v>
      </c>
      <c r="AI26" s="14">
        <f>IF('Données projet'!$A$62&gt;35,AI25+AH26-AQ25,IF(A26&lt;'Données projet'!$A$62,$AF$205^A26,IF(A26='Données projet'!$A$62,'Données projet'!$B$62,AI25+AH26-AQ25)))</f>
        <v>88.480769230769226</v>
      </c>
      <c r="AJ26" s="14">
        <f>AI26*VLOOKUP('Données projet'!$B$10,Paramètres!$A$1:$I$89,3,0)*VLOOKUP('Données projet'!$B$10,Paramètres!$A$1:$I$89,5,0)</f>
        <v>52.911499999999997</v>
      </c>
      <c r="AK26" s="14">
        <f t="shared" si="35"/>
        <v>15.363172606616901</v>
      </c>
      <c r="AL26" s="22">
        <f t="shared" si="4"/>
        <v>118.91172145652443</v>
      </c>
      <c r="AM26" s="62">
        <f t="shared" si="5"/>
        <v>403.68949923430222</v>
      </c>
      <c r="AN26" s="62">
        <f ca="1">AVERAGE(OFFSET($AM$3,0,0,'Données projet'!$E$10+1,1))-AVERAGE(OFFSET($H$3,0,0,'Données projet'!$E$10+1,1))</f>
        <v>289.24721145176682</v>
      </c>
      <c r="AO26" s="62">
        <f t="shared" si="36"/>
        <v>229.06617320689003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4.9084615384615384</v>
      </c>
      <c r="BD26" s="13">
        <f>IF('Données projet'!$A$88&gt;35,BD25+BC26-BL25,IF(A26&lt;'Données projet'!$A$88,$BA$205^A26,IF(A26='Données projet'!$A$88,'Données projet'!$B$88,BD25+BC26-BL25)))</f>
        <v>45.939305928458197</v>
      </c>
      <c r="BE26" s="14">
        <f>BD26*VLOOKUP('Données projet'!$B$11,Paramètres!$A$1:$I$89,3,0)*VLOOKUP('Données projet'!$B$11,Paramètres!$A$1:$I$89,5,0)</f>
        <v>21.499595174518436</v>
      </c>
      <c r="BF26" s="14">
        <f t="shared" si="37"/>
        <v>6.9324614376170377</v>
      </c>
      <c r="BG26" s="22">
        <f t="shared" si="7"/>
        <v>49.51916526613595</v>
      </c>
      <c r="BH26" s="62">
        <f t="shared" si="8"/>
        <v>334.2969430439137</v>
      </c>
      <c r="BI26" s="62">
        <f ca="1">AVERAGE(OFFSET($BH$3,0,0,'Données projet'!$E$11+1,1))-AVERAGE(OFFSET($H$3,0,0,'Données projet'!$E$11+1,1))</f>
        <v>284.72381074796073</v>
      </c>
      <c r="BJ26" s="62">
        <f t="shared" si="38"/>
        <v>190.4880882944471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2.5115384615384619</v>
      </c>
      <c r="BY26" s="13">
        <f>IF('Données projet'!$A$114&gt;35,BY25+BX26-CG25,IF(A26&lt;'Données projet'!$A$114,$BV$205^A26,IF(A26='Données projet'!$A$114,'Données projet'!$B$114,BY25+BX26-CG25)))</f>
        <v>27.484014404519773</v>
      </c>
      <c r="BZ26" s="14">
        <f>BY26*VLOOKUP('Données projet'!$B$12,Paramètres!$A$1:$I$89,3,0)*VLOOKUP('Données projet'!$B$12,Paramètres!$A$1:$I$89,5,0)</f>
        <v>27.868790606183051</v>
      </c>
      <c r="CA26" s="14">
        <f t="shared" si="39"/>
        <v>8.7188345780020544</v>
      </c>
      <c r="CB26" s="22">
        <f t="shared" si="10"/>
        <v>63.723447195789056</v>
      </c>
      <c r="CC26" s="62">
        <f t="shared" si="11"/>
        <v>348.50122497356682</v>
      </c>
      <c r="CD26" s="62">
        <f ca="1">AVERAGE(OFFSET($CC$3,0,0,'Données projet'!$E$12+1,1))-AVERAGE(OFFSET($H$3,0,0,'Données projet'!$E$12+1,1))</f>
        <v>496.71400086768705</v>
      </c>
      <c r="CE26" s="62">
        <f t="shared" si="40"/>
        <v>206.75063396134982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2.5115384615384619</v>
      </c>
      <c r="CT26" s="13">
        <f>IF('Données projet'!$A$140&gt;35,CT25+CS26-DB25,IF(A26&lt;'Données projet'!$A$140,$CQ$205^A26,IF(A26='Données projet'!$A$140,'Données projet'!$B$140,CT25+CS26-DB25)))</f>
        <v>27.484014404519773</v>
      </c>
      <c r="CU26" s="18">
        <f>CT26*VLOOKUP('Données projet'!$B$13,Paramètres!$A$1:$I$89,3,0)*VLOOKUP('Données projet'!$B$13,Paramètres!$A$1:$I$89,5,0)</f>
        <v>29.58379310502508</v>
      </c>
      <c r="CV26" s="14">
        <f t="shared" si="41"/>
        <v>9.1912642550092016</v>
      </c>
      <c r="CW26" s="22">
        <f t="shared" si="13"/>
        <v>67.5332249020597</v>
      </c>
      <c r="CX26" s="62">
        <f t="shared" si="14"/>
        <v>352.31100267983749</v>
      </c>
      <c r="CY26" s="62">
        <f ca="1">AVERAGE(OFFSET($CX$3,0,0,'Données projet'!$E$13+1,1))-AVERAGE(OFFSET($H$3,0,0,'Données projet'!$E$13+1,1))</f>
        <v>524.55238798353344</v>
      </c>
      <c r="CZ26" s="62">
        <f t="shared" si="42"/>
        <v>216.94512104983255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15.061538461538461</v>
      </c>
      <c r="N27" s="14">
        <f>IF('Données projet'!$A$36&gt;35,N26+M27-V26,IF(A27&lt;'Données projet'!$A$36,$K$205^A27,IF(A27='Données projet'!$A$36,'Données projet'!$B$36,N26+M27-V26)))</f>
        <v>134.76923076923075</v>
      </c>
      <c r="O27" s="14">
        <f>N27*VLOOKUP('Données projet'!$B$9,Paramètres!$A$1:$I$89,3,0)*VLOOKUP('Données projet'!$B$9,Paramètres!$A$1:$I$89,5,0)</f>
        <v>80.591999999999985</v>
      </c>
      <c r="P27" s="14">
        <f t="shared" si="33"/>
        <v>22.281869037622069</v>
      </c>
      <c r="Q27" s="22">
        <f t="shared" si="2"/>
        <v>179.17198857385839</v>
      </c>
      <c r="R27" s="62">
        <f t="shared" si="0"/>
        <v>465.17198857385836</v>
      </c>
      <c r="S27" s="62">
        <f ca="1">AVERAGE(OFFSET($R$3,0,0,'Données projet'!$E$9+1,1))-AVERAGE(OFFSET($H$3,0,0,'Données projet'!$E$9+1,1))</f>
        <v>260.01925143568263</v>
      </c>
      <c r="T27" s="62">
        <f t="shared" si="34"/>
        <v>269.95358755269427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99.723076923076903</v>
      </c>
      <c r="AG27" s="13">
        <f>VLOOKUP(A27,'Données projet'!$A$61:$I$81,9,0)</f>
        <v>11.242307692307683</v>
      </c>
      <c r="AH27" s="13">
        <f t="array" ref="AH27">INDEX(AG:AG,MIN(IF(ISNUMBER(AG27:AG223),ROW(AG27:AG223),"")))</f>
        <v>11.242307692307683</v>
      </c>
      <c r="AI27" s="14">
        <f>IF('Données projet'!$A$62&gt;35,AI26+AH27-AQ26,IF(A27&lt;'Données projet'!$A$62,$AF$205^A27,IF(A27='Données projet'!$A$62,'Données projet'!$B$62,AI26+AH27-AQ26)))</f>
        <v>99.723076923076917</v>
      </c>
      <c r="AJ27" s="14">
        <f>AI27*VLOOKUP('Données projet'!$B$10,Paramètres!$A$1:$I$89,3,0)*VLOOKUP('Données projet'!$B$10,Paramètres!$A$1:$I$89,5,0)</f>
        <v>59.634400000000007</v>
      </c>
      <c r="AK27" s="14">
        <f t="shared" si="35"/>
        <v>17.075801006767037</v>
      </c>
      <c r="AL27" s="22">
        <f t="shared" si="4"/>
        <v>133.60360008678595</v>
      </c>
      <c r="AM27" s="62">
        <f t="shared" si="5"/>
        <v>419.60360008678595</v>
      </c>
      <c r="AN27" s="62">
        <f ca="1">AVERAGE(OFFSET($AM$3,0,0,'Données projet'!$E$10+1,1))-AVERAGE(OFFSET($H$3,0,0,'Données projet'!$E$10+1,1))</f>
        <v>289.24721145176682</v>
      </c>
      <c r="AO27" s="62">
        <f t="shared" si="36"/>
        <v>229.06617320689003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4.9084615384615384</v>
      </c>
      <c r="BD27" s="13">
        <f>IF('Données projet'!$A$88&gt;35,BD26+BC27-BL26,IF(A27&lt;'Données projet'!$A$88,$BA$205^A27,IF(A27='Données projet'!$A$88,'Données projet'!$B$88,BD26+BC27-BL26)))</f>
        <v>54.256692760299323</v>
      </c>
      <c r="BE27" s="14">
        <f>BD27*VLOOKUP('Données projet'!$B$11,Paramètres!$A$1:$I$89,3,0)*VLOOKUP('Données projet'!$B$11,Paramètres!$A$1:$I$89,5,0)</f>
        <v>25.392132211820083</v>
      </c>
      <c r="BF27" s="14">
        <f t="shared" si="37"/>
        <v>8.0305307997692346</v>
      </c>
      <c r="BG27" s="22">
        <f t="shared" si="7"/>
        <v>58.211138078518069</v>
      </c>
      <c r="BH27" s="62">
        <f t="shared" si="8"/>
        <v>344.21113807851805</v>
      </c>
      <c r="BI27" s="62">
        <f ca="1">AVERAGE(OFFSET($BH$3,0,0,'Données projet'!$E$11+1,1))-AVERAGE(OFFSET($H$3,0,0,'Données projet'!$E$11+1,1))</f>
        <v>284.72381074796073</v>
      </c>
      <c r="BJ27" s="62">
        <f t="shared" si="38"/>
        <v>190.4880882944471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2.5115384615384619</v>
      </c>
      <c r="BY27" s="13">
        <f>IF('Données projet'!$A$114&gt;35,BY26+BX27-CG26,IF(A27&lt;'Données projet'!$A$114,$BV$205^A27,IF(A27='Données projet'!$A$114,'Données projet'!$B$114,BY26+BX27-CG26)))</f>
        <v>31.743065877849862</v>
      </c>
      <c r="BZ27" s="14">
        <f>BY27*VLOOKUP('Données projet'!$B$12,Paramètres!$A$1:$I$89,3,0)*VLOOKUP('Données projet'!$B$12,Paramètres!$A$1:$I$89,5,0)</f>
        <v>32.187468800139762</v>
      </c>
      <c r="CA27" s="14">
        <f t="shared" si="39"/>
        <v>9.902483873330409</v>
      </c>
      <c r="CB27" s="22">
        <f t="shared" si="10"/>
        <v>73.306667572960549</v>
      </c>
      <c r="CC27" s="62">
        <f t="shared" si="11"/>
        <v>359.30666757296058</v>
      </c>
      <c r="CD27" s="62">
        <f ca="1">AVERAGE(OFFSET($CC$3,0,0,'Données projet'!$E$12+1,1))-AVERAGE(OFFSET($H$3,0,0,'Données projet'!$E$12+1,1))</f>
        <v>496.71400086768705</v>
      </c>
      <c r="CE27" s="62">
        <f t="shared" si="40"/>
        <v>206.75063396134982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2.5115384615384619</v>
      </c>
      <c r="CT27" s="13">
        <f>IF('Données projet'!$A$140&gt;35,CT26+CS27-DB26,IF(A27&lt;'Données projet'!$A$140,$CQ$205^A27,IF(A27='Données projet'!$A$140,'Données projet'!$B$140,CT26+CS27-DB26)))</f>
        <v>31.743065877849862</v>
      </c>
      <c r="CU27" s="18">
        <f>CT27*VLOOKUP('Données projet'!$B$13,Paramètres!$A$1:$I$89,3,0)*VLOOKUP('Données projet'!$B$13,Paramètres!$A$1:$I$89,5,0)</f>
        <v>34.16823611091759</v>
      </c>
      <c r="CV27" s="14">
        <f t="shared" si="41"/>
        <v>10.439049536549811</v>
      </c>
      <c r="CW27" s="22">
        <f t="shared" si="13"/>
        <v>77.691022502672382</v>
      </c>
      <c r="CX27" s="62">
        <f t="shared" si="14"/>
        <v>363.69102250267235</v>
      </c>
      <c r="CY27" s="62">
        <f ca="1">AVERAGE(OFFSET($CX$3,0,0,'Données projet'!$E$13+1,1))-AVERAGE(OFFSET($H$3,0,0,'Données projet'!$E$13+1,1))</f>
        <v>524.55238798353344</v>
      </c>
      <c r="CZ27" s="62">
        <f t="shared" si="42"/>
        <v>216.94512104983255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149.83076923076922</v>
      </c>
      <c r="L28" s="13">
        <f>VLOOKUP(A28,'Données projet'!$A$35:$I$55,9,0)</f>
        <v>15.061538461538461</v>
      </c>
      <c r="M28" s="13">
        <f t="array" ref="M28">INDEX(L:L,MIN(IF(ISNUMBER(L28:L224),ROW(L28:L224),"")))</f>
        <v>15.061538461538461</v>
      </c>
      <c r="N28" s="14">
        <f>IF('Données projet'!$A$36&gt;35,N27+M28-V27,IF(A28&lt;'Données projet'!$A$36,$K$205^A28,IF(A28='Données projet'!$A$36,'Données projet'!$B$36,N27+M28-V27)))</f>
        <v>149.83076923076919</v>
      </c>
      <c r="O28" s="14">
        <f>N28*VLOOKUP('Données projet'!$B$9,Paramètres!$A$1:$I$89,3,0)*VLOOKUP('Données projet'!$B$9,Paramètres!$A$1:$I$89,5,0)</f>
        <v>89.598799999999983</v>
      </c>
      <c r="P28" s="14">
        <f t="shared" si="33"/>
        <v>24.468440069427142</v>
      </c>
      <c r="Q28" s="22">
        <f t="shared" si="2"/>
        <v>198.66710978758559</v>
      </c>
      <c r="R28" s="62">
        <f t="shared" si="0"/>
        <v>485.88933200980784</v>
      </c>
      <c r="S28" s="62">
        <f ca="1">AVERAGE(OFFSET($R$3,0,0,'Données projet'!$E$9+1,1))-AVERAGE(OFFSET($H$3,0,0,'Données projet'!$E$9+1,1))</f>
        <v>260.01925143568263</v>
      </c>
      <c r="T28" s="62">
        <f t="shared" si="34"/>
        <v>269.95358755269427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13.664102564102569</v>
      </c>
      <c r="AI28" s="14">
        <f>IF('Données projet'!$A$62&gt;35,AI27+AH28-AQ27,IF(A28&lt;'Données projet'!$A$62,$AF$205^A28,IF(A28='Données projet'!$A$62,'Données projet'!$B$62,AI27+AH28-AQ27)))</f>
        <v>113.38717948717948</v>
      </c>
      <c r="AJ28" s="14">
        <f>AI28*VLOOKUP('Données projet'!$B$10,Paramètres!$A$1:$I$89,3,0)*VLOOKUP('Données projet'!$B$10,Paramètres!$A$1:$I$89,5,0)</f>
        <v>67.805533333333329</v>
      </c>
      <c r="AK28" s="14">
        <f t="shared" si="35"/>
        <v>19.12748805046628</v>
      </c>
      <c r="AL28" s="22">
        <f t="shared" si="4"/>
        <v>151.40834557678431</v>
      </c>
      <c r="AM28" s="62">
        <f t="shared" si="5"/>
        <v>438.63056779900654</v>
      </c>
      <c r="AN28" s="62">
        <f ca="1">AVERAGE(OFFSET($AM$3,0,0,'Données projet'!$E$10+1,1))-AVERAGE(OFFSET($H$3,0,0,'Données projet'!$E$10+1,1))</f>
        <v>289.24721145176682</v>
      </c>
      <c r="AO28" s="62">
        <f t="shared" si="36"/>
        <v>229.06617320689003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4.9084615384615384</v>
      </c>
      <c r="BD28" s="13">
        <f>IF('Données projet'!$A$88&gt;35,BD27+BC28-BL27,IF(A28&lt;'Données projet'!$A$88,$BA$205^A28,IF(A28='Données projet'!$A$88,'Données projet'!$B$88,BD27+BC28-BL27)))</f>
        <v>64.079956146266369</v>
      </c>
      <c r="BE28" s="14">
        <f>BD28*VLOOKUP('Données projet'!$B$11,Paramètres!$A$1:$I$89,3,0)*VLOOKUP('Données projet'!$B$11,Paramètres!$A$1:$I$89,5,0)</f>
        <v>29.98941947645266</v>
      </c>
      <c r="BF28" s="14">
        <f t="shared" si="37"/>
        <v>9.3025291963556676</v>
      </c>
      <c r="BG28" s="22">
        <f t="shared" si="7"/>
        <v>68.433477271807831</v>
      </c>
      <c r="BH28" s="62">
        <f t="shared" si="8"/>
        <v>355.65569949403005</v>
      </c>
      <c r="BI28" s="62">
        <f ca="1">AVERAGE(OFFSET($BH$3,0,0,'Données projet'!$E$11+1,1))-AVERAGE(OFFSET($H$3,0,0,'Données projet'!$E$11+1,1))</f>
        <v>284.72381074796073</v>
      </c>
      <c r="BJ28" s="62">
        <f t="shared" si="38"/>
        <v>190.4880882944471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2.5115384615384619</v>
      </c>
      <c r="BY28" s="13">
        <f>IF('Données projet'!$A$114&gt;35,BY27+BX28-CG27,IF(A28&lt;'Données projet'!$A$114,$BV$205^A28,IF(A28='Données projet'!$A$114,'Données projet'!$B$114,BY27+BX28-CG27)))</f>
        <v>36.662119896131756</v>
      </c>
      <c r="BZ28" s="14">
        <f>BY28*VLOOKUP('Données projet'!$B$12,Paramètres!$A$1:$I$89,3,0)*VLOOKUP('Données projet'!$B$12,Paramètres!$A$1:$I$89,5,0)</f>
        <v>37.175389574677602</v>
      </c>
      <c r="CA28" s="14">
        <f t="shared" si="39"/>
        <v>11.24682272433242</v>
      </c>
      <c r="CB28" s="22">
        <f t="shared" si="10"/>
        <v>84.335353087442456</v>
      </c>
      <c r="CC28" s="62">
        <f t="shared" si="11"/>
        <v>371.55757530966468</v>
      </c>
      <c r="CD28" s="62">
        <f ca="1">AVERAGE(OFFSET($CC$3,0,0,'Données projet'!$E$12+1,1))-AVERAGE(OFFSET($H$3,0,0,'Données projet'!$E$12+1,1))</f>
        <v>496.71400086768705</v>
      </c>
      <c r="CE28" s="62">
        <f t="shared" si="40"/>
        <v>206.75063396134982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2.5115384615384619</v>
      </c>
      <c r="CT28" s="13">
        <f>IF('Données projet'!$A$140&gt;35,CT27+CS28-DB27,IF(A28&lt;'Données projet'!$A$140,$CQ$205^A28,IF(A28='Données projet'!$A$140,'Données projet'!$B$140,CT27+CS28-DB27)))</f>
        <v>36.662119896131756</v>
      </c>
      <c r="CU28" s="18">
        <f>CT28*VLOOKUP('Données projet'!$B$13,Paramètres!$A$1:$I$89,3,0)*VLOOKUP('Données projet'!$B$13,Paramètres!$A$1:$I$89,5,0)</f>
        <v>39.463105856196222</v>
      </c>
      <c r="CV28" s="14">
        <f t="shared" si="41"/>
        <v>11.856231330434282</v>
      </c>
      <c r="CW28" s="22">
        <f t="shared" si="13"/>
        <v>89.381178933381463</v>
      </c>
      <c r="CX28" s="62">
        <f t="shared" si="14"/>
        <v>376.60340115560371</v>
      </c>
      <c r="CY28" s="62">
        <f ca="1">AVERAGE(OFFSET($CX$3,0,0,'Données projet'!$E$13+1,1))-AVERAGE(OFFSET($H$3,0,0,'Données projet'!$E$13+1,1))</f>
        <v>524.55238798353344</v>
      </c>
      <c r="CZ28" s="62">
        <f t="shared" si="42"/>
        <v>216.94512104983255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15.078846153846158</v>
      </c>
      <c r="N29" s="14">
        <f>IF('Données projet'!$A$36&gt;35,N28+M29-V28,IF(A29&lt;'Données projet'!$A$36,$K$205^A29,IF(A29='Données projet'!$A$36,'Données projet'!$B$36,N28+M29-V28)))</f>
        <v>164.90961538461534</v>
      </c>
      <c r="O29" s="14">
        <f>N29*VLOOKUP('Données projet'!$B$9,Paramètres!$A$1:$I$89,3,0)*VLOOKUP('Données projet'!$B$9,Paramètres!$A$1:$I$89,5,0)</f>
        <v>98.615949999999984</v>
      </c>
      <c r="P29" s="14">
        <f t="shared" si="33"/>
        <v>26.631999739513677</v>
      </c>
      <c r="Q29" s="22">
        <f t="shared" si="2"/>
        <v>218.14017912965292</v>
      </c>
      <c r="R29" s="62">
        <f t="shared" si="0"/>
        <v>506.58462357409735</v>
      </c>
      <c r="S29" s="62">
        <f ca="1">AVERAGE(OFFSET($R$3,0,0,'Données projet'!$E$9+1,1))-AVERAGE(OFFSET($H$3,0,0,'Données projet'!$E$9+1,1))</f>
        <v>260.01925143568263</v>
      </c>
      <c r="T29" s="62">
        <f t="shared" si="34"/>
        <v>269.95358755269427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13.664102564102569</v>
      </c>
      <c r="AI29" s="14">
        <f>IF('Données projet'!$A$62&gt;35,AI28+AH29-AQ28,IF(A29&lt;'Données projet'!$A$62,$AF$205^A29,IF(A29='Données projet'!$A$62,'Données projet'!$B$62,AI28+AH29-AQ28)))</f>
        <v>127.05128205128204</v>
      </c>
      <c r="AJ29" s="14">
        <f>AI29*VLOOKUP('Données projet'!$B$10,Paramètres!$A$1:$I$89,3,0)*VLOOKUP('Données projet'!$B$10,Paramètres!$A$1:$I$89,5,0)</f>
        <v>75.976666666666659</v>
      </c>
      <c r="AK29" s="14">
        <f t="shared" si="35"/>
        <v>21.150523503463145</v>
      </c>
      <c r="AL29" s="22">
        <f t="shared" si="4"/>
        <v>169.16318954630938</v>
      </c>
      <c r="AM29" s="62">
        <f t="shared" si="5"/>
        <v>457.60763399075381</v>
      </c>
      <c r="AN29" s="62">
        <f ca="1">AVERAGE(OFFSET($AM$3,0,0,'Données projet'!$E$10+1,1))-AVERAGE(OFFSET($H$3,0,0,'Données projet'!$E$10+1,1))</f>
        <v>289.24721145176682</v>
      </c>
      <c r="AO29" s="62">
        <f t="shared" si="36"/>
        <v>229.06617320689003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4.9084615384615384</v>
      </c>
      <c r="BD29" s="13">
        <f>IF('Données projet'!$A$88&gt;35,BD28+BC29-BL28,IF(A29&lt;'Données projet'!$A$88,$BA$205^A29,IF(A29='Données projet'!$A$88,'Données projet'!$B$88,BD28+BC29-BL28)))</f>
        <v>75.681737511137769</v>
      </c>
      <c r="BE29" s="14">
        <f>BD29*VLOOKUP('Données projet'!$B$11,Paramètres!$A$1:$I$89,3,0)*VLOOKUP('Données projet'!$B$11,Paramètres!$A$1:$I$89,5,0)</f>
        <v>35.419053155212474</v>
      </c>
      <c r="BF29" s="14">
        <f t="shared" si="37"/>
        <v>10.776006170294048</v>
      </c>
      <c r="BG29" s="22">
        <f t="shared" si="7"/>
        <v>80.456394991923858</v>
      </c>
      <c r="BH29" s="62">
        <f t="shared" si="8"/>
        <v>368.9008394363683</v>
      </c>
      <c r="BI29" s="62">
        <f ca="1">AVERAGE(OFFSET($BH$3,0,0,'Données projet'!$E$11+1,1))-AVERAGE(OFFSET($H$3,0,0,'Données projet'!$E$11+1,1))</f>
        <v>284.72381074796073</v>
      </c>
      <c r="BJ29" s="62">
        <f t="shared" si="38"/>
        <v>190.4880882944471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2.5115384615384619</v>
      </c>
      <c r="BY29" s="13">
        <f>IF('Données projet'!$A$114&gt;35,BY28+BX29-CG28,IF(A29&lt;'Données projet'!$A$114,$BV$205^A29,IF(A29='Données projet'!$A$114,'Données projet'!$B$114,BY28+BX29-CG28)))</f>
        <v>42.3434535419672</v>
      </c>
      <c r="BZ29" s="14">
        <f>BY29*VLOOKUP('Données projet'!$B$12,Paramètres!$A$1:$I$89,3,0)*VLOOKUP('Données projet'!$B$12,Paramètres!$A$1:$I$89,5,0)</f>
        <v>42.936261891554743</v>
      </c>
      <c r="CA29" s="14">
        <f t="shared" si="39"/>
        <v>12.773665982252044</v>
      </c>
      <c r="CB29" s="22">
        <f t="shared" si="10"/>
        <v>97.028124380213498</v>
      </c>
      <c r="CC29" s="62">
        <f t="shared" si="11"/>
        <v>385.47256882465797</v>
      </c>
      <c r="CD29" s="62">
        <f ca="1">AVERAGE(OFFSET($CC$3,0,0,'Données projet'!$E$12+1,1))-AVERAGE(OFFSET($H$3,0,0,'Données projet'!$E$12+1,1))</f>
        <v>496.71400086768705</v>
      </c>
      <c r="CE29" s="62">
        <f t="shared" si="40"/>
        <v>206.75063396134982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2.5115384615384619</v>
      </c>
      <c r="CT29" s="13">
        <f>IF('Données projet'!$A$140&gt;35,CT28+CS29-DB28,IF(A29&lt;'Données projet'!$A$140,$CQ$205^A29,IF(A29='Données projet'!$A$140,'Données projet'!$B$140,CT28+CS29-DB28)))</f>
        <v>42.3434535419672</v>
      </c>
      <c r="CU29" s="18">
        <f>CT29*VLOOKUP('Données projet'!$B$13,Paramètres!$A$1:$I$89,3,0)*VLOOKUP('Données projet'!$B$13,Paramètres!$A$1:$I$89,5,0)</f>
        <v>45.578493392573492</v>
      </c>
      <c r="CV29" s="14">
        <f t="shared" si="41"/>
        <v>13.465806524683963</v>
      </c>
      <c r="CW29" s="22">
        <f t="shared" si="13"/>
        <v>102.83548902255673</v>
      </c>
      <c r="CX29" s="62">
        <f t="shared" si="14"/>
        <v>391.27993346700117</v>
      </c>
      <c r="CY29" s="62">
        <f ca="1">AVERAGE(OFFSET($CX$3,0,0,'Données projet'!$E$13+1,1))-AVERAGE(OFFSET($H$3,0,0,'Données projet'!$E$13+1,1))</f>
        <v>524.55238798353344</v>
      </c>
      <c r="CZ29" s="62">
        <f t="shared" si="42"/>
        <v>216.94512104983255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15.078846153846158</v>
      </c>
      <c r="N30" s="14">
        <f>IF('Données projet'!$A$36&gt;35,N29+M30-V29,IF(A30&lt;'Données projet'!$A$36,$K$205^A30,IF(A30='Données projet'!$A$36,'Données projet'!$B$36,N29+M30-V29)))</f>
        <v>179.98846153846148</v>
      </c>
      <c r="O30" s="14">
        <f>N30*VLOOKUP('Données projet'!$B$9,Paramètres!$A$1:$I$89,3,0)*VLOOKUP('Données projet'!$B$9,Paramètres!$A$1:$I$89,5,0)</f>
        <v>107.63309999999997</v>
      </c>
      <c r="P30" s="14">
        <f t="shared" si="33"/>
        <v>28.772620454226065</v>
      </c>
      <c r="Q30" s="22">
        <f t="shared" si="2"/>
        <v>237.57329645777699</v>
      </c>
      <c r="R30" s="62">
        <f t="shared" si="0"/>
        <v>527.23996312444365</v>
      </c>
      <c r="S30" s="62">
        <f ca="1">AVERAGE(OFFSET($R$3,0,0,'Données projet'!$E$9+1,1))-AVERAGE(OFFSET($H$3,0,0,'Données projet'!$E$9+1,1))</f>
        <v>260.01925143568263</v>
      </c>
      <c r="T30" s="62">
        <f t="shared" si="34"/>
        <v>269.95358755269427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140.71538461538461</v>
      </c>
      <c r="AG30" s="13">
        <f>VLOOKUP(A30,'Données projet'!$A$61:$I$81,9,0)</f>
        <v>13.664102564102569</v>
      </c>
      <c r="AH30" s="13">
        <f t="array" ref="AH30">INDEX(AG:AG,MIN(IF(ISNUMBER(AG30:AG226),ROW(AG30:AG226),"")))</f>
        <v>13.664102564102569</v>
      </c>
      <c r="AI30" s="14">
        <f>IF('Données projet'!$A$62&gt;35,AI29+AH30-AQ29,IF(A30&lt;'Données projet'!$A$62,$AF$205^A30,IF(A30='Données projet'!$A$62,'Données projet'!$B$62,AI29+AH30-AQ29)))</f>
        <v>140.71538461538461</v>
      </c>
      <c r="AJ30" s="14">
        <f>AI30*VLOOKUP('Données projet'!$B$10,Paramètres!$A$1:$I$89,3,0)*VLOOKUP('Données projet'!$B$10,Paramètres!$A$1:$I$89,5,0)</f>
        <v>84.147799999999989</v>
      </c>
      <c r="AK30" s="14">
        <f t="shared" si="35"/>
        <v>23.148340019013887</v>
      </c>
      <c r="AL30" s="22">
        <f t="shared" si="4"/>
        <v>186.87411053311584</v>
      </c>
      <c r="AM30" s="62">
        <f t="shared" si="5"/>
        <v>476.5407771997825</v>
      </c>
      <c r="AN30" s="62">
        <f ca="1">AVERAGE(OFFSET($AM$3,0,0,'Données projet'!$E$10+1,1))-AVERAGE(OFFSET($H$3,0,0,'Données projet'!$E$10+1,1))</f>
        <v>289.24721145176682</v>
      </c>
      <c r="AO30" s="62">
        <f t="shared" si="36"/>
        <v>229.06617320689003</v>
      </c>
      <c r="AP30" s="16">
        <f>IF(ISNA(VLOOKUP(A30,'Données projet'!$A$61:$I$81,3,0)),0,VLOOKUP(A30,'Données projet'!$A$61:$I$81,3,0))</f>
        <v>2</v>
      </c>
      <c r="AQ30" s="16">
        <f>IF(ISNA(VLOOKUP(A30,'Données projet'!$A$61:$I$81,4,0)),0,VLOOKUP(A30,'Données projet'!$A$61:$I$81,4,0))</f>
        <v>34.646153846153844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4.9084615384615384</v>
      </c>
      <c r="BD30" s="13">
        <f>IF('Données projet'!$A$88&gt;35,BD29+BC30-BL29,IF(A30&lt;'Données projet'!$A$88,$BA$205^A30,IF(A30='Données projet'!$A$88,'Données projet'!$B$88,BD29+BC30-BL29)))</f>
        <v>89.384040457688172</v>
      </c>
      <c r="BE30" s="14">
        <f>BD30*VLOOKUP('Données projet'!$B$11,Paramètres!$A$1:$I$89,3,0)*VLOOKUP('Données projet'!$B$11,Paramètres!$A$1:$I$89,5,0)</f>
        <v>41.831730934198063</v>
      </c>
      <c r="BF30" s="14">
        <f t="shared" si="37"/>
        <v>12.482874982828019</v>
      </c>
      <c r="BG30" s="22">
        <f t="shared" si="7"/>
        <v>94.597938638820423</v>
      </c>
      <c r="BH30" s="62">
        <f t="shared" si="8"/>
        <v>384.26460530548712</v>
      </c>
      <c r="BI30" s="62">
        <f ca="1">AVERAGE(OFFSET($BH$3,0,0,'Données projet'!$E$11+1,1))-AVERAGE(OFFSET($H$3,0,0,'Données projet'!$E$11+1,1))</f>
        <v>284.72381074796073</v>
      </c>
      <c r="BJ30" s="62">
        <f t="shared" si="38"/>
        <v>190.4880882944471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2.5115384615384619</v>
      </c>
      <c r="BY30" s="13">
        <f>IF('Données projet'!$A$114&gt;35,BY29+BX30-CG29,IF(A30&lt;'Données projet'!$A$114,$BV$205^A30,IF(A30='Données projet'!$A$114,'Données projet'!$B$114,BY29+BX30-CG29)))</f>
        <v>48.90519323324542</v>
      </c>
      <c r="BZ30" s="14">
        <f>BY30*VLOOKUP('Données projet'!$B$12,Paramètres!$A$1:$I$89,3,0)*VLOOKUP('Données projet'!$B$12,Paramètres!$A$1:$I$89,5,0)</f>
        <v>49.589865938510862</v>
      </c>
      <c r="CA30" s="14">
        <f t="shared" si="39"/>
        <v>14.507790033280557</v>
      </c>
      <c r="CB30" s="22">
        <f t="shared" si="10"/>
        <v>111.63675081753672</v>
      </c>
      <c r="CC30" s="62">
        <f t="shared" si="11"/>
        <v>401.30341748420341</v>
      </c>
      <c r="CD30" s="62">
        <f ca="1">AVERAGE(OFFSET($CC$3,0,0,'Données projet'!$E$12+1,1))-AVERAGE(OFFSET($H$3,0,0,'Données projet'!$E$12+1,1))</f>
        <v>496.71400086768705</v>
      </c>
      <c r="CE30" s="62">
        <f t="shared" si="40"/>
        <v>206.75063396134982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2.5115384615384619</v>
      </c>
      <c r="CT30" s="13">
        <f>IF('Données projet'!$A$140&gt;35,CT29+CS30-DB29,IF(A30&lt;'Données projet'!$A$140,$CQ$205^A30,IF(A30='Données projet'!$A$140,'Données projet'!$B$140,CT29+CS30-DB29)))</f>
        <v>48.90519323324542</v>
      </c>
      <c r="CU30" s="18">
        <f>CT30*VLOOKUP('Données projet'!$B$13,Paramètres!$A$1:$I$89,3,0)*VLOOKUP('Données projet'!$B$13,Paramètres!$A$1:$I$89,5,0)</f>
        <v>52.641549996265361</v>
      </c>
      <c r="CV30" s="14">
        <f t="shared" si="41"/>
        <v>15.293894012911366</v>
      </c>
      <c r="CW30" s="22">
        <f t="shared" si="13"/>
        <v>118.3208983159828</v>
      </c>
      <c r="CX30" s="62">
        <f t="shared" si="14"/>
        <v>407.98756498264947</v>
      </c>
      <c r="CY30" s="62">
        <f ca="1">AVERAGE(OFFSET($CX$3,0,0,'Données projet'!$E$13+1,1))-AVERAGE(OFFSET($H$3,0,0,'Données projet'!$E$13+1,1))</f>
        <v>524.55238798353344</v>
      </c>
      <c r="CZ30" s="62">
        <f t="shared" si="42"/>
        <v>216.94512104983255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15.078846153846158</v>
      </c>
      <c r="N31" s="14">
        <f>IF('Données projet'!$A$36&gt;35,N30+M31-V30,IF(A31&lt;'Données projet'!$A$36,$K$205^A31,IF(A31='Données projet'!$A$36,'Données projet'!$B$36,N30+M31-V30)))</f>
        <v>195.06730769230762</v>
      </c>
      <c r="O31" s="14">
        <f>N31*VLOOKUP('Données projet'!$B$9,Paramètres!$A$1:$I$89,3,0)*VLOOKUP('Données projet'!$B$9,Paramètres!$A$1:$I$89,5,0)</f>
        <v>116.65024999999997</v>
      </c>
      <c r="P31" s="14">
        <f t="shared" si="33"/>
        <v>30.892442451857754</v>
      </c>
      <c r="Q31" s="22">
        <f t="shared" si="2"/>
        <v>256.97018935365219</v>
      </c>
      <c r="R31" s="62">
        <f t="shared" si="0"/>
        <v>547.85907824254105</v>
      </c>
      <c r="S31" s="62">
        <f ca="1">AVERAGE(OFFSET($R$3,0,0,'Données projet'!$E$9+1,1))-AVERAGE(OFFSET($H$3,0,0,'Données projet'!$E$9+1,1))</f>
        <v>260.01925143568263</v>
      </c>
      <c r="T31" s="62">
        <f t="shared" si="34"/>
        <v>269.95358755269427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12.971794871794875</v>
      </c>
      <c r="AI31" s="14">
        <f>IF('Données projet'!$A$62&gt;35,AI30+AH31-AQ30,IF(A31&lt;'Données projet'!$A$62,$AF$205^A31,IF(A31='Données projet'!$A$62,'Données projet'!$B$62,AI30+AH31-AQ30)))</f>
        <v>119.04102564102564</v>
      </c>
      <c r="AJ31" s="14">
        <f>AI31*VLOOKUP('Données projet'!$B$10,Paramètres!$A$1:$I$89,3,0)*VLOOKUP('Données projet'!$B$10,Paramètres!$A$1:$I$89,5,0)</f>
        <v>71.18653333333333</v>
      </c>
      <c r="AK31" s="14">
        <f t="shared" si="35"/>
        <v>19.967826748678</v>
      </c>
      <c r="AL31" s="22">
        <f t="shared" si="4"/>
        <v>158.76051047616974</v>
      </c>
      <c r="AM31" s="62">
        <f t="shared" si="5"/>
        <v>449.64939936505857</v>
      </c>
      <c r="AN31" s="62">
        <f ca="1">AVERAGE(OFFSET($AM$3,0,0,'Données projet'!$E$10+1,1))-AVERAGE(OFFSET($H$3,0,0,'Données projet'!$E$10+1,1))</f>
        <v>289.24721145176682</v>
      </c>
      <c r="AO31" s="62">
        <f t="shared" si="36"/>
        <v>229.06617320689003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4.9084615384615384</v>
      </c>
      <c r="BD31" s="13">
        <f>IF('Données projet'!$A$88&gt;35,BD30+BC31-BL30,IF(A31&lt;'Données projet'!$A$88,$BA$205^A31,IF(A31='Données projet'!$A$88,'Données projet'!$B$88,BD30+BC31-BL30)))</f>
        <v>105.56716787013318</v>
      </c>
      <c r="BE31" s="14">
        <f>BD31*VLOOKUP('Données projet'!$B$11,Paramètres!$A$1:$I$89,3,0)*VLOOKUP('Données projet'!$B$11,Paramètres!$A$1:$I$89,5,0)</f>
        <v>49.405434563222322</v>
      </c>
      <c r="BF31" s="14">
        <f t="shared" si="37"/>
        <v>14.46010380603388</v>
      </c>
      <c r="BG31" s="22">
        <f t="shared" si="7"/>
        <v>111.23247932645454</v>
      </c>
      <c r="BH31" s="62">
        <f t="shared" si="8"/>
        <v>402.12136821534341</v>
      </c>
      <c r="BI31" s="62">
        <f ca="1">AVERAGE(OFFSET($BH$3,0,0,'Données projet'!$E$11+1,1))-AVERAGE(OFFSET($H$3,0,0,'Données projet'!$E$11+1,1))</f>
        <v>284.72381074796073</v>
      </c>
      <c r="BJ31" s="62">
        <f t="shared" si="38"/>
        <v>190.4880882944471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2.5115384615384619</v>
      </c>
      <c r="BY31" s="13">
        <f>IF('Données projet'!$A$114&gt;35,BY30+BX31-CG30,IF(A31&lt;'Données projet'!$A$114,$BV$205^A31,IF(A31='Données projet'!$A$114,'Données projet'!$B$114,BY30+BX31-CG30)))</f>
        <v>56.483770810300285</v>
      </c>
      <c r="BZ31" s="14">
        <f>BY31*VLOOKUP('Données projet'!$B$12,Paramètres!$A$1:$I$89,3,0)*VLOOKUP('Données projet'!$B$12,Paramètres!$A$1:$I$89,5,0)</f>
        <v>57.274543601644496</v>
      </c>
      <c r="CA31" s="14">
        <f t="shared" si="39"/>
        <v>16.477334849853886</v>
      </c>
      <c r="CB31" s="22">
        <f t="shared" si="10"/>
        <v>128.45118830302636</v>
      </c>
      <c r="CC31" s="62">
        <f t="shared" si="11"/>
        <v>419.34007719191521</v>
      </c>
      <c r="CD31" s="62">
        <f ca="1">AVERAGE(OFFSET($CC$3,0,0,'Données projet'!$E$12+1,1))-AVERAGE(OFFSET($H$3,0,0,'Données projet'!$E$12+1,1))</f>
        <v>496.71400086768705</v>
      </c>
      <c r="CE31" s="62">
        <f t="shared" si="40"/>
        <v>206.75063396134982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2.5115384615384619</v>
      </c>
      <c r="CT31" s="13">
        <f>IF('Données projet'!$A$140&gt;35,CT30+CS31-DB30,IF(A31&lt;'Données projet'!$A$140,$CQ$205^A31,IF(A31='Données projet'!$A$140,'Données projet'!$B$140,CT30+CS31-DB30)))</f>
        <v>56.483770810300285</v>
      </c>
      <c r="CU31" s="18">
        <f>CT31*VLOOKUP('Données projet'!$B$13,Paramètres!$A$1:$I$89,3,0)*VLOOKUP('Données projet'!$B$13,Paramètres!$A$1:$I$89,5,0)</f>
        <v>60.799130900207217</v>
      </c>
      <c r="CV31" s="14">
        <f t="shared" si="41"/>
        <v>17.370158530749872</v>
      </c>
      <c r="CW31" s="22">
        <f t="shared" si="13"/>
        <v>136.14484575891694</v>
      </c>
      <c r="CX31" s="62">
        <f t="shared" si="14"/>
        <v>427.03373464780577</v>
      </c>
      <c r="CY31" s="62">
        <f ca="1">AVERAGE(OFFSET($CX$3,0,0,'Données projet'!$E$13+1,1))-AVERAGE(OFFSET($H$3,0,0,'Données projet'!$E$13+1,1))</f>
        <v>524.55238798353344</v>
      </c>
      <c r="CZ31" s="62">
        <f t="shared" si="42"/>
        <v>216.94512104983255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>
        <f>VLOOKUP(A32,'Données projet'!$A$35:$I$55,2,0)</f>
        <v>210.14615384615385</v>
      </c>
      <c r="L32" s="13">
        <f>VLOOKUP(A32,'Données projet'!$A$35:$I$55,9,0)</f>
        <v>15.078846153846158</v>
      </c>
      <c r="M32" s="13">
        <f t="array" ref="M32">INDEX(L:L,MIN(IF(ISNUMBER(L32:L228),ROW(L32:L228),"")))</f>
        <v>15.078846153846158</v>
      </c>
      <c r="N32" s="14">
        <f>IF('Données projet'!$A$36&gt;35,N31+M32-V31,IF(A32&lt;'Données projet'!$A$36,$K$205^A32,IF(A32='Données projet'!$A$36,'Données projet'!$B$36,N31+M32-V31)))</f>
        <v>210.14615384615377</v>
      </c>
      <c r="O32" s="14">
        <f>N32*VLOOKUP('Données projet'!$B$9,Paramètres!$A$1:$I$89,3,0)*VLOOKUP('Données projet'!$B$9,Paramètres!$A$1:$I$89,5,0)</f>
        <v>125.66739999999997</v>
      </c>
      <c r="P32" s="14">
        <f t="shared" si="33"/>
        <v>32.993256286656127</v>
      </c>
      <c r="Q32" s="22">
        <f t="shared" si="2"/>
        <v>276.33397636592599</v>
      </c>
      <c r="R32" s="62">
        <f t="shared" si="0"/>
        <v>568.44508747703708</v>
      </c>
      <c r="S32" s="62">
        <f ca="1">AVERAGE(OFFSET($R$3,0,0,'Données projet'!$E$9+1,1))-AVERAGE(OFFSET($H$3,0,0,'Données projet'!$E$9+1,1))</f>
        <v>260.01925143568263</v>
      </c>
      <c r="T32" s="62">
        <f t="shared" si="34"/>
        <v>269.95358755269427</v>
      </c>
      <c r="U32" s="16">
        <f>IF(ISNA(VLOOKUP(A32,'Données projet'!$A$35:$I$55,3,0)),0,VLOOKUP(A32,'Données projet'!$A$35:$I$55,3,0))</f>
        <v>3</v>
      </c>
      <c r="V32" s="16">
        <f>IF(ISNA(VLOOKUP(A32,'Données projet'!$A$35:$I$55,4,0)),0,VLOOKUP(A32,'Données projet'!$A$35:$I$55,4,0))</f>
        <v>47.661538461538463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12.971794871794875</v>
      </c>
      <c r="AI32" s="14">
        <f>IF('Données projet'!$A$62&gt;35,AI31+AH32-AQ31,IF(A32&lt;'Données projet'!$A$62,$AF$205^A32,IF(A32='Données projet'!$A$62,'Données projet'!$B$62,AI31+AH32-AQ31)))</f>
        <v>132.01282051282053</v>
      </c>
      <c r="AJ32" s="14">
        <f>AI32*VLOOKUP('Données projet'!$B$10,Paramètres!$A$1:$I$89,3,0)*VLOOKUP('Données projet'!$B$10,Paramètres!$A$1:$I$89,5,0)</f>
        <v>78.943666666666687</v>
      </c>
      <c r="AK32" s="14">
        <f t="shared" si="35"/>
        <v>21.878705672057283</v>
      </c>
      <c r="AL32" s="22">
        <f t="shared" si="4"/>
        <v>175.59896515661092</v>
      </c>
      <c r="AM32" s="62">
        <f t="shared" si="5"/>
        <v>467.71007626772206</v>
      </c>
      <c r="AN32" s="62">
        <f ca="1">AVERAGE(OFFSET($AM$3,0,0,'Données projet'!$E$10+1,1))-AVERAGE(OFFSET($H$3,0,0,'Données projet'!$E$10+1,1))</f>
        <v>289.24721145176682</v>
      </c>
      <c r="AO32" s="62">
        <f t="shared" si="36"/>
        <v>229.06617320689003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4.9084615384615384</v>
      </c>
      <c r="BD32" s="13">
        <f>IF('Données projet'!$A$88&gt;35,BD31+BC32-BL31,IF(A32&lt;'Données projet'!$A$88,$BA$205^A32,IF(A32='Données projet'!$A$88,'Données projet'!$B$88,BD31+BC32-BL31)))</f>
        <v>124.68027709483918</v>
      </c>
      <c r="BE32" s="14">
        <f>BD32*VLOOKUP('Données projet'!$B$11,Paramètres!$A$1:$I$89,3,0)*VLOOKUP('Données projet'!$B$11,Paramètres!$A$1:$I$89,5,0)</f>
        <v>58.350369680384738</v>
      </c>
      <c r="BF32" s="14">
        <f t="shared" si="37"/>
        <v>16.750516396977062</v>
      </c>
      <c r="BG32" s="22">
        <f t="shared" si="7"/>
        <v>130.80070991807179</v>
      </c>
      <c r="BH32" s="62">
        <f t="shared" si="8"/>
        <v>422.91182102918293</v>
      </c>
      <c r="BI32" s="62">
        <f ca="1">AVERAGE(OFFSET($BH$3,0,0,'Données projet'!$E$11+1,1))-AVERAGE(OFFSET($H$3,0,0,'Données projet'!$E$11+1,1))</f>
        <v>284.72381074796073</v>
      </c>
      <c r="BJ32" s="62">
        <f t="shared" si="38"/>
        <v>190.4880882944471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2.5115384615384619</v>
      </c>
      <c r="BY32" s="13">
        <f>IF('Données projet'!$A$114&gt;35,BY31+BX32-CG31,IF(A32&lt;'Données projet'!$A$114,$BV$205^A32,IF(A32='Données projet'!$A$114,'Données projet'!$B$114,BY31+BX32-CG31)))</f>
        <v>65.236760229825805</v>
      </c>
      <c r="BZ32" s="14">
        <f>BY32*VLOOKUP('Données projet'!$B$12,Paramètres!$A$1:$I$89,3,0)*VLOOKUP('Données projet'!$B$12,Paramètres!$A$1:$I$89,5,0)</f>
        <v>66.150074873043366</v>
      </c>
      <c r="CA32" s="14">
        <f t="shared" si="39"/>
        <v>18.714260623526272</v>
      </c>
      <c r="CB32" s="22">
        <f t="shared" si="10"/>
        <v>147.8053843231921</v>
      </c>
      <c r="CC32" s="62">
        <f t="shared" si="11"/>
        <v>439.91649543430322</v>
      </c>
      <c r="CD32" s="62">
        <f ca="1">AVERAGE(OFFSET($CC$3,0,0,'Données projet'!$E$12+1,1))-AVERAGE(OFFSET($H$3,0,0,'Données projet'!$E$12+1,1))</f>
        <v>496.71400086768705</v>
      </c>
      <c r="CE32" s="62">
        <f t="shared" si="40"/>
        <v>206.75063396134982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2.5115384615384619</v>
      </c>
      <c r="CT32" s="13">
        <f>IF('Données projet'!$A$140&gt;35,CT31+CS32-DB31,IF(A32&lt;'Données projet'!$A$140,$CQ$205^A32,IF(A32='Données projet'!$A$140,'Données projet'!$B$140,CT31+CS32-DB31)))</f>
        <v>65.236760229825805</v>
      </c>
      <c r="CU32" s="18">
        <f>CT32*VLOOKUP('Données projet'!$B$13,Paramètres!$A$1:$I$89,3,0)*VLOOKUP('Données projet'!$B$13,Paramètres!$A$1:$I$89,5,0)</f>
        <v>70.220848711384491</v>
      </c>
      <c r="CV32" s="14">
        <f t="shared" si="41"/>
        <v>19.72829203135991</v>
      </c>
      <c r="CW32" s="22">
        <f t="shared" si="13"/>
        <v>156.6614201269465</v>
      </c>
      <c r="CX32" s="62">
        <f t="shared" si="14"/>
        <v>448.77253123805764</v>
      </c>
      <c r="CY32" s="62">
        <f ca="1">AVERAGE(OFFSET($CX$3,0,0,'Données projet'!$E$13+1,1))-AVERAGE(OFFSET($H$3,0,0,'Données projet'!$E$13+1,1))</f>
        <v>524.55238798353344</v>
      </c>
      <c r="CZ32" s="62">
        <f t="shared" si="42"/>
        <v>216.94512104983255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14.175384615384615</v>
      </c>
      <c r="N33" s="14">
        <f>IF('Données projet'!$A$36&gt;35,N32+M33-V32,IF(A33&lt;'Données projet'!$A$36,$K$205^A33,IF(A33='Données projet'!$A$36,'Données projet'!$B$36,N32+M33-V32)))</f>
        <v>176.65999999999991</v>
      </c>
      <c r="O33" s="14">
        <f>N33*VLOOKUP('Données projet'!$B$9,Paramètres!$A$1:$I$89,3,0)*VLOOKUP('Données projet'!$B$9,Paramètres!$A$1:$I$89,5,0)</f>
        <v>105.64267999999996</v>
      </c>
      <c r="P33" s="14">
        <f t="shared" si="33"/>
        <v>28.301963570925022</v>
      </c>
      <c r="Q33" s="22">
        <f t="shared" si="2"/>
        <v>233.28692088602762</v>
      </c>
      <c r="R33" s="62">
        <f t="shared" si="0"/>
        <v>526.62025421936096</v>
      </c>
      <c r="S33" s="62">
        <f ca="1">AVERAGE(OFFSET($R$3,0,0,'Données projet'!$E$9+1,1))-AVERAGE(OFFSET($H$3,0,0,'Données projet'!$E$9+1,1))</f>
        <v>260.01925143568263</v>
      </c>
      <c r="T33" s="62">
        <f t="shared" si="34"/>
        <v>269.95358755269427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144.98461538461538</v>
      </c>
      <c r="AG33" s="13">
        <f>VLOOKUP(A33,'Données projet'!$A$61:$I$81,9,0)</f>
        <v>12.971794871794875</v>
      </c>
      <c r="AH33" s="13">
        <f t="array" ref="AH33">INDEX(AG:AG,MIN(IF(ISNUMBER(AG33:AG229),ROW(AG33:AG229),"")))</f>
        <v>12.971794871794875</v>
      </c>
      <c r="AI33" s="14">
        <f>IF('Données projet'!$A$62&gt;35,AI32+AH33-AQ32,IF(A33&lt;'Données projet'!$A$62,$AF$205^A33,IF(A33='Données projet'!$A$62,'Données projet'!$B$62,AI32+AH33-AQ32)))</f>
        <v>144.98461538461541</v>
      </c>
      <c r="AJ33" s="14">
        <f>AI33*VLOOKUP('Données projet'!$B$10,Paramètres!$A$1:$I$89,3,0)*VLOOKUP('Données projet'!$B$10,Paramètres!$A$1:$I$89,5,0)</f>
        <v>86.700800000000029</v>
      </c>
      <c r="AK33" s="14">
        <f t="shared" si="35"/>
        <v>23.767816195343574</v>
      </c>
      <c r="AL33" s="22">
        <f t="shared" si="4"/>
        <v>192.39950654022343</v>
      </c>
      <c r="AM33" s="62">
        <f t="shared" si="5"/>
        <v>485.73283987355671</v>
      </c>
      <c r="AN33" s="62">
        <f ca="1">AVERAGE(OFFSET($AM$3,0,0,'Données projet'!$E$10+1,1))-AVERAGE(OFFSET($H$3,0,0,'Données projet'!$E$10+1,1))</f>
        <v>289.24721145176682</v>
      </c>
      <c r="AO33" s="62">
        <f t="shared" si="36"/>
        <v>229.06617320689003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147.25384615384615</v>
      </c>
      <c r="BB33" s="13">
        <f>VLOOKUP(A33,'Données projet'!$A$87:$I$107,9,0)</f>
        <v>4.9084615384615384</v>
      </c>
      <c r="BC33" s="13">
        <f t="array" ref="BC33">INDEX(BB:BB,MIN(IF(ISNUMBER(BB33:BB229),ROW(BB33:BB229),"")))</f>
        <v>4.9084615384615384</v>
      </c>
      <c r="BD33" s="13">
        <f>IF('Données projet'!$A$88&gt;35,BD32+BC33-BL32,IF(A33&lt;'Données projet'!$A$88,$BA$205^A33,IF(A33='Données projet'!$A$88,'Données projet'!$B$88,BD32+BC33-BL32)))</f>
        <v>147.25384615384615</v>
      </c>
      <c r="BE33" s="14">
        <f>BD33*VLOOKUP('Données projet'!$B$11,Paramètres!$A$1:$I$89,3,0)*VLOOKUP('Données projet'!$B$11,Paramètres!$A$1:$I$89,5,0)</f>
        <v>68.9148</v>
      </c>
      <c r="BF33" s="14">
        <f t="shared" si="37"/>
        <v>19.403719594897876</v>
      </c>
      <c r="BG33" s="22">
        <f t="shared" si="7"/>
        <v>153.82142162778047</v>
      </c>
      <c r="BH33" s="62">
        <f t="shared" si="8"/>
        <v>447.15475496111378</v>
      </c>
      <c r="BI33" s="62">
        <f ca="1">AVERAGE(OFFSET($BH$3,0,0,'Données projet'!$E$11+1,1))-AVERAGE(OFFSET($H$3,0,0,'Données projet'!$E$11+1,1))</f>
        <v>284.72381074796073</v>
      </c>
      <c r="BJ33" s="62">
        <f t="shared" si="38"/>
        <v>190.4880882944471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75.346153846153854</v>
      </c>
      <c r="BW33" s="13">
        <f>VLOOKUP(A33,'Données projet'!$A$113:$I$133,9,0)</f>
        <v>2.5115384615384619</v>
      </c>
      <c r="BX33" s="13">
        <f t="array" ref="BX33">INDEX(BW:BW,MIN(IF(ISNUMBER(BW33:BW229),ROW(BW33:BW229),"")))</f>
        <v>2.5115384615384619</v>
      </c>
      <c r="BY33" s="13">
        <f>IF('Données projet'!$A$114&gt;35,BY32+BX33-CG32,IF(A33&lt;'Données projet'!$A$114,$BV$205^A33,IF(A33='Données projet'!$A$114,'Données projet'!$B$114,BY32+BX33-CG32)))</f>
        <v>75.346153846153854</v>
      </c>
      <c r="BZ33" s="14">
        <f>BY33*VLOOKUP('Données projet'!$B$12,Paramètres!$A$1:$I$89,3,0)*VLOOKUP('Données projet'!$B$12,Paramètres!$A$1:$I$89,5,0)</f>
        <v>76.40100000000001</v>
      </c>
      <c r="CA33" s="14">
        <f t="shared" si="39"/>
        <v>21.254866389291809</v>
      </c>
      <c r="CB33" s="22">
        <f t="shared" si="10"/>
        <v>170.08396729468322</v>
      </c>
      <c r="CC33" s="62">
        <f t="shared" si="11"/>
        <v>463.41730062801651</v>
      </c>
      <c r="CD33" s="62">
        <f ca="1">AVERAGE(OFFSET($CC$3,0,0,'Données projet'!$E$12+1,1))-AVERAGE(OFFSET($H$3,0,0,'Données projet'!$E$12+1,1))</f>
        <v>496.71400086768705</v>
      </c>
      <c r="CE33" s="62">
        <f t="shared" si="40"/>
        <v>206.75063396134982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75.346153846153854</v>
      </c>
      <c r="CR33" s="13">
        <f>VLOOKUP(A33,'Données projet'!$A$139:$I$159,9,0)</f>
        <v>2.5115384615384619</v>
      </c>
      <c r="CS33" s="13">
        <f t="array" ref="CS33">INDEX(CR:CR,MIN(IF(ISNUMBER(CR33:CR229),ROW(CR33:CR229),"")))</f>
        <v>2.5115384615384619</v>
      </c>
      <c r="CT33" s="13">
        <f>IF('Données projet'!$A$140&gt;35,CT32+CS33-DB32,IF(A33&lt;'Données projet'!$A$140,$CQ$205^A33,IF(A33='Données projet'!$A$140,'Données projet'!$B$140,CT32+CS33-DB32)))</f>
        <v>75.346153846153854</v>
      </c>
      <c r="CU33" s="18">
        <f>CT33*VLOOKUP('Données projet'!$B$13,Paramètres!$A$1:$I$89,3,0)*VLOOKUP('Données projet'!$B$13,Paramètres!$A$1:$I$89,5,0)</f>
        <v>81.10260000000001</v>
      </c>
      <c r="CV33" s="14">
        <f t="shared" si="41"/>
        <v>22.40656041138714</v>
      </c>
      <c r="CW33" s="22">
        <f t="shared" si="13"/>
        <v>180.27845438316592</v>
      </c>
      <c r="CX33" s="62">
        <f t="shared" si="14"/>
        <v>473.61178771649924</v>
      </c>
      <c r="CY33" s="62">
        <f ca="1">AVERAGE(OFFSET($CX$3,0,0,'Données projet'!$E$13+1,1))-AVERAGE(OFFSET($H$3,0,0,'Données projet'!$E$13+1,1))</f>
        <v>524.55238798353344</v>
      </c>
      <c r="CZ33" s="62">
        <f t="shared" si="42"/>
        <v>216.94512104983255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14.175384615384615</v>
      </c>
      <c r="N34" s="14">
        <f>IF('Données projet'!$A$36&gt;35,N33+M34-V33,IF(A34&lt;'Données projet'!$A$36,$K$205^A34,IF(A34='Données projet'!$A$36,'Données projet'!$B$36,N33+M34-V33)))</f>
        <v>190.83538461538453</v>
      </c>
      <c r="O34" s="14">
        <f>N34*VLOOKUP('Données projet'!$B$9,Paramètres!$A$1:$I$89,3,0)*VLOOKUP('Données projet'!$B$9,Paramètres!$A$1:$I$89,5,0)</f>
        <v>114.11955999999996</v>
      </c>
      <c r="P34" s="14">
        <f t="shared" si="33"/>
        <v>30.299498410587454</v>
      </c>
      <c r="Q34" s="22">
        <f t="shared" si="2"/>
        <v>251.52986006510639</v>
      </c>
      <c r="R34" s="62">
        <f t="shared" si="0"/>
        <v>544.86319339843976</v>
      </c>
      <c r="S34" s="62">
        <f ca="1">AVERAGE(OFFSET($R$3,0,0,'Données projet'!$E$9+1,1))-AVERAGE(OFFSET($H$3,0,0,'Données projet'!$E$9+1,1))</f>
        <v>260.01925143568263</v>
      </c>
      <c r="T34" s="62">
        <f t="shared" si="34"/>
        <v>269.95358755269427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12.971794871794865</v>
      </c>
      <c r="AI34" s="14">
        <f>IF('Données projet'!$A$62&gt;35,AI33+AH34-AQ33,IF(A34&lt;'Données projet'!$A$62,$AF$205^A34,IF(A34='Données projet'!$A$62,'Données projet'!$B$62,AI33+AH34-AQ33)))</f>
        <v>157.95641025641027</v>
      </c>
      <c r="AJ34" s="14">
        <f>AI34*VLOOKUP('Données projet'!$B$10,Paramètres!$A$1:$I$89,3,0)*VLOOKUP('Données projet'!$B$10,Paramètres!$A$1:$I$89,5,0)</f>
        <v>94.457933333333344</v>
      </c>
      <c r="AK34" s="14">
        <f t="shared" si="35"/>
        <v>25.637327417415943</v>
      </c>
      <c r="AL34" s="22">
        <f t="shared" si="4"/>
        <v>209.16591247422164</v>
      </c>
      <c r="AM34" s="62">
        <f t="shared" si="5"/>
        <v>502.49924580755498</v>
      </c>
      <c r="AN34" s="62">
        <f ca="1">AVERAGE(OFFSET($AM$3,0,0,'Données projet'!$E$10+1,1))-AVERAGE(OFFSET($H$3,0,0,'Données projet'!$E$10+1,1))</f>
        <v>289.24721145176682</v>
      </c>
      <c r="AO34" s="62">
        <f t="shared" si="36"/>
        <v>229.06617320689003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10.183333333333332</v>
      </c>
      <c r="BD34" s="13">
        <f>IF('Données projet'!$A$88&gt;35,BD33+BC34-BL33,IF(A34&lt;'Données projet'!$A$88,$BA$205^A34,IF(A34='Données projet'!$A$88,'Données projet'!$B$88,BD33+BC34-BL33)))</f>
        <v>157.43717948717949</v>
      </c>
      <c r="BE34" s="14">
        <f>BD34*VLOOKUP('Données projet'!$B$11,Paramètres!$A$1:$I$89,3,0)*VLOOKUP('Données projet'!$B$11,Paramètres!$A$1:$I$89,5,0)</f>
        <v>73.680600000000013</v>
      </c>
      <c r="BF34" s="14">
        <f t="shared" si="37"/>
        <v>20.584736474842689</v>
      </c>
      <c r="BG34" s="22">
        <f t="shared" si="7"/>
        <v>164.17879436035102</v>
      </c>
      <c r="BH34" s="62">
        <f t="shared" si="8"/>
        <v>457.51212769368431</v>
      </c>
      <c r="BI34" s="62">
        <f ca="1">AVERAGE(OFFSET($BH$3,0,0,'Données projet'!$E$11+1,1))-AVERAGE(OFFSET($H$3,0,0,'Données projet'!$E$11+1,1))</f>
        <v>284.72381074796073</v>
      </c>
      <c r="BJ34" s="62">
        <f t="shared" si="38"/>
        <v>190.4880882944471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5.4791666666666652</v>
      </c>
      <c r="BY34" s="13">
        <f>IF('Données projet'!$A$114&gt;35,BY33+BX34-CG33,IF(A34&lt;'Données projet'!$A$114,$BV$205^A34,IF(A34='Données projet'!$A$114,'Données projet'!$B$114,BY33+BX34-CG33)))</f>
        <v>80.825320512820525</v>
      </c>
      <c r="BZ34" s="14">
        <f>BY34*VLOOKUP('Données projet'!$B$12,Paramètres!$A$1:$I$89,3,0)*VLOOKUP('Données projet'!$B$12,Paramètres!$A$1:$I$89,5,0)</f>
        <v>81.956875000000011</v>
      </c>
      <c r="CA34" s="14">
        <f t="shared" si="39"/>
        <v>22.614975203650118</v>
      </c>
      <c r="CB34" s="22">
        <f t="shared" si="10"/>
        <v>182.12930577135731</v>
      </c>
      <c r="CC34" s="62">
        <f t="shared" si="11"/>
        <v>475.46263910469065</v>
      </c>
      <c r="CD34" s="62">
        <f ca="1">AVERAGE(OFFSET($CC$3,0,0,'Données projet'!$E$12+1,1))-AVERAGE(OFFSET($H$3,0,0,'Données projet'!$E$12+1,1))</f>
        <v>496.71400086768705</v>
      </c>
      <c r="CE34" s="62">
        <f t="shared" si="40"/>
        <v>206.75063396134982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5.4791666666666652</v>
      </c>
      <c r="CT34" s="13">
        <f>IF('Données projet'!$A$140&gt;35,CT33+CS34-DB33,IF(A34&lt;'Données projet'!$A$140,$CQ$205^A34,IF(A34='Données projet'!$A$140,'Données projet'!$B$140,CT33+CS34-DB33)))</f>
        <v>80.825320512820525</v>
      </c>
      <c r="CU34" s="18">
        <f>CT34*VLOOKUP('Données projet'!$B$13,Paramètres!$A$1:$I$89,3,0)*VLOOKUP('Données projet'!$B$13,Paramètres!$A$1:$I$89,5,0)</f>
        <v>87.000375000000005</v>
      </c>
      <c r="CV34" s="14">
        <f t="shared" si="41"/>
        <v>23.840366663414827</v>
      </c>
      <c r="CW34" s="22">
        <f t="shared" si="13"/>
        <v>193.04762506378083</v>
      </c>
      <c r="CX34" s="62">
        <f t="shared" si="14"/>
        <v>486.38095839711411</v>
      </c>
      <c r="CY34" s="62">
        <f ca="1">AVERAGE(OFFSET($CX$3,0,0,'Données projet'!$E$13+1,1))-AVERAGE(OFFSET($H$3,0,0,'Données projet'!$E$13+1,1))</f>
        <v>524.55238798353344</v>
      </c>
      <c r="CZ34" s="62">
        <f t="shared" si="42"/>
        <v>216.94512104983255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14.175384615384615</v>
      </c>
      <c r="N35" s="14">
        <f>IF('Données projet'!$A$36&gt;35,N34+M35-V34,IF(A35&lt;'Données projet'!$A$36,$K$205^A35,IF(A35='Données projet'!$A$36,'Données projet'!$B$36,N34+M35-V34)))</f>
        <v>205.01076923076914</v>
      </c>
      <c r="O35" s="14">
        <f>N35*VLOOKUP('Données projet'!$B$9,Paramètres!$A$1:$I$89,3,0)*VLOOKUP('Données projet'!$B$9,Paramètres!$A$1:$I$89,5,0)</f>
        <v>122.59643999999996</v>
      </c>
      <c r="P35" s="14">
        <f t="shared" si="33"/>
        <v>32.279819769615763</v>
      </c>
      <c r="Q35" s="22">
        <f t="shared" ref="Q35:Q66" si="53">(O35+P35)*0.475*44/12</f>
        <v>269.74281909874736</v>
      </c>
      <c r="R35" s="62">
        <f t="shared" si="0"/>
        <v>563.07615243208068</v>
      </c>
      <c r="S35" s="62">
        <f ca="1">AVERAGE(OFFSET($R$3,0,0,'Données projet'!$E$9+1,1))-AVERAGE(OFFSET($H$3,0,0,'Données projet'!$E$9+1,1))</f>
        <v>260.01925143568263</v>
      </c>
      <c r="T35" s="62">
        <f t="shared" si="34"/>
        <v>269.95358755269427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12.971794871794865</v>
      </c>
      <c r="AI35" s="14">
        <f>IF('Données projet'!$A$62&gt;35,AI34+AH35-AQ34,IF(A35&lt;'Données projet'!$A$62,$AF$205^A35,IF(A35='Données projet'!$A$62,'Données projet'!$B$62,AI34+AH35-AQ34)))</f>
        <v>170.92820512820512</v>
      </c>
      <c r="AJ35" s="14">
        <f>AI35*VLOOKUP('Données projet'!$B$10,Paramètres!$A$1:$I$89,3,0)*VLOOKUP('Données projet'!$B$10,Paramètres!$A$1:$I$89,5,0)</f>
        <v>102.21506666666667</v>
      </c>
      <c r="AK35" s="14">
        <f t="shared" si="35"/>
        <v>27.489031873505194</v>
      </c>
      <c r="AL35" s="22">
        <f t="shared" si="4"/>
        <v>225.90130495746598</v>
      </c>
      <c r="AM35" s="62">
        <f t="shared" si="5"/>
        <v>519.23463829079924</v>
      </c>
      <c r="AN35" s="62">
        <f ca="1">AVERAGE(OFFSET($AM$3,0,0,'Données projet'!$E$10+1,1))-AVERAGE(OFFSET($H$3,0,0,'Données projet'!$E$10+1,1))</f>
        <v>289.24721145176682</v>
      </c>
      <c r="AO35" s="62">
        <f t="shared" si="36"/>
        <v>229.06617320689003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10.183333333333332</v>
      </c>
      <c r="BD35" s="13">
        <f>IF('Données projet'!$A$88&gt;35,BD34+BC35-BL34,IF(A35&lt;'Données projet'!$A$88,$BA$205^A35,IF(A35='Données projet'!$A$88,'Données projet'!$B$88,BD34+BC35-BL34)))</f>
        <v>167.62051282051283</v>
      </c>
      <c r="BE35" s="14">
        <f>BD35*VLOOKUP('Données projet'!$B$11,Paramètres!$A$1:$I$89,3,0)*VLOOKUP('Données projet'!$B$11,Paramètres!$A$1:$I$89,5,0)</f>
        <v>78.446399999999997</v>
      </c>
      <c r="BF35" s="14">
        <f t="shared" si="37"/>
        <v>21.756888378743959</v>
      </c>
      <c r="BG35" s="22">
        <f t="shared" si="7"/>
        <v>174.52072725964572</v>
      </c>
      <c r="BH35" s="62">
        <f t="shared" si="8"/>
        <v>467.85406059297907</v>
      </c>
      <c r="BI35" s="62">
        <f ca="1">AVERAGE(OFFSET($BH$3,0,0,'Données projet'!$E$11+1,1))-AVERAGE(OFFSET($H$3,0,0,'Données projet'!$E$11+1,1))</f>
        <v>284.72381074796073</v>
      </c>
      <c r="BJ35" s="62">
        <f t="shared" si="38"/>
        <v>190.4880882944471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5.4791666666666652</v>
      </c>
      <c r="BY35" s="13">
        <f>IF('Données projet'!$A$114&gt;35,BY34+BX35-CG34,IF(A35&lt;'Données projet'!$A$114,$BV$205^A35,IF(A35='Données projet'!$A$114,'Données projet'!$B$114,BY34+BX35-CG34)))</f>
        <v>86.304487179487197</v>
      </c>
      <c r="BZ35" s="14">
        <f>BY35*VLOOKUP('Données projet'!$B$12,Paramètres!$A$1:$I$89,3,0)*VLOOKUP('Données projet'!$B$12,Paramètres!$A$1:$I$89,5,0)</f>
        <v>87.512750000000025</v>
      </c>
      <c r="CA35" s="14">
        <f t="shared" si="39"/>
        <v>23.964385280893545</v>
      </c>
      <c r="CB35" s="22">
        <f t="shared" si="10"/>
        <v>194.15601061422299</v>
      </c>
      <c r="CC35" s="62">
        <f t="shared" si="11"/>
        <v>487.48934394755634</v>
      </c>
      <c r="CD35" s="62">
        <f ca="1">AVERAGE(OFFSET($CC$3,0,0,'Données projet'!$E$12+1,1))-AVERAGE(OFFSET($H$3,0,0,'Données projet'!$E$12+1,1))</f>
        <v>496.71400086768705</v>
      </c>
      <c r="CE35" s="62">
        <f t="shared" si="40"/>
        <v>206.75063396134982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5.4791666666666652</v>
      </c>
      <c r="CT35" s="13">
        <f>IF('Données projet'!$A$140&gt;35,CT34+CS35-DB34,IF(A35&lt;'Données projet'!$A$140,$CQ$205^A35,IF(A35='Données projet'!$A$140,'Données projet'!$B$140,CT34+CS35-DB34)))</f>
        <v>86.304487179487197</v>
      </c>
      <c r="CU35" s="18">
        <f>CT35*VLOOKUP('Données projet'!$B$13,Paramètres!$A$1:$I$89,3,0)*VLOOKUP('Données projet'!$B$13,Paramètres!$A$1:$I$89,5,0)</f>
        <v>92.898150000000015</v>
      </c>
      <c r="CV35" s="14">
        <f t="shared" si="41"/>
        <v>25.262894467716713</v>
      </c>
      <c r="CW35" s="22">
        <f t="shared" si="13"/>
        <v>205.79715244793996</v>
      </c>
      <c r="CX35" s="62">
        <f t="shared" si="14"/>
        <v>499.13048578127325</v>
      </c>
      <c r="CY35" s="62">
        <f ca="1">AVERAGE(OFFSET($CX$3,0,0,'Données projet'!$E$13+1,1))-AVERAGE(OFFSET($H$3,0,0,'Données projet'!$E$13+1,1))</f>
        <v>524.55238798353344</v>
      </c>
      <c r="CZ35" s="62">
        <f t="shared" si="42"/>
        <v>216.94512104983255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14.175384615384615</v>
      </c>
      <c r="N36" s="14">
        <f>IF('Données projet'!$A$36&gt;35,N35+M36-V35,IF(A36&lt;'Données projet'!$A$36,$K$205^A36,IF(A36='Données projet'!$A$36,'Données projet'!$B$36,N35+M36-V35)))</f>
        <v>219.18615384615376</v>
      </c>
      <c r="O36" s="14">
        <f>N36*VLOOKUP('Données projet'!$B$9,Paramètres!$A$1:$I$89,3,0)*VLOOKUP('Données projet'!$B$9,Paramètres!$A$1:$I$89,5,0)</f>
        <v>131.07331999999994</v>
      </c>
      <c r="P36" s="14">
        <f t="shared" si="33"/>
        <v>34.244253261100795</v>
      </c>
      <c r="Q36" s="22">
        <f t="shared" si="53"/>
        <v>287.92810676308375</v>
      </c>
      <c r="R36" s="62">
        <f t="shared" si="0"/>
        <v>581.26144009641712</v>
      </c>
      <c r="S36" s="62">
        <f ca="1">AVERAGE(OFFSET($R$3,0,0,'Données projet'!$E$9+1,1))-AVERAGE(OFFSET($H$3,0,0,'Données projet'!$E$9+1,1))</f>
        <v>260.01925143568263</v>
      </c>
      <c r="T36" s="62">
        <f t="shared" si="34"/>
        <v>269.95358755269427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183.89999999999998</v>
      </c>
      <c r="AG36" s="13">
        <f>VLOOKUP(A36,'Données projet'!$A$61:$I$81,9,0)</f>
        <v>12.971794871794865</v>
      </c>
      <c r="AH36" s="13">
        <f t="array" ref="AH36">INDEX(AG:AG,MIN(IF(ISNUMBER(AG36:AG232),ROW(AG36:AG232),"")))</f>
        <v>12.971794871794865</v>
      </c>
      <c r="AI36" s="14">
        <f>IF('Données projet'!$A$62&gt;35,AI35+AH36-AQ35,IF(A36&lt;'Données projet'!$A$62,$AF$205^A36,IF(A36='Données projet'!$A$62,'Données projet'!$B$62,AI35+AH36-AQ35)))</f>
        <v>183.89999999999998</v>
      </c>
      <c r="AJ36" s="14">
        <f>AI36*VLOOKUP('Données projet'!$B$10,Paramètres!$A$1:$I$89,3,0)*VLOOKUP('Données projet'!$B$10,Paramètres!$A$1:$I$89,5,0)</f>
        <v>109.9722</v>
      </c>
      <c r="AK36" s="14">
        <f t="shared" si="35"/>
        <v>29.324434579377328</v>
      </c>
      <c r="AL36" s="22">
        <f t="shared" si="4"/>
        <v>242.60830522574884</v>
      </c>
      <c r="AM36" s="62">
        <f t="shared" si="5"/>
        <v>535.94163855908209</v>
      </c>
      <c r="AN36" s="62">
        <f ca="1">AVERAGE(OFFSET($AM$3,0,0,'Données projet'!$E$10+1,1))-AVERAGE(OFFSET($H$3,0,0,'Données projet'!$E$10+1,1))</f>
        <v>289.24721145176682</v>
      </c>
      <c r="AO36" s="62">
        <f t="shared" si="36"/>
        <v>229.06617320689003</v>
      </c>
      <c r="AP36" s="16">
        <f>IF(ISNA(VLOOKUP(A36,'Données projet'!$A$61:$I$81,3,0)),0,VLOOKUP(A36,'Données projet'!$A$61:$I$81,3,0))</f>
        <v>3</v>
      </c>
      <c r="AQ36" s="16">
        <f>IF(ISNA(VLOOKUP(A36,'Données projet'!$A$61:$I$81,4,0)),0,VLOOKUP(A36,'Données projet'!$A$61:$I$81,4,0))</f>
        <v>43.007692307692302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10.183333333333332</v>
      </c>
      <c r="BD36" s="13">
        <f>IF('Données projet'!$A$88&gt;35,BD35+BC36-BL35,IF(A36&lt;'Données projet'!$A$88,$BA$205^A36,IF(A36='Données projet'!$A$88,'Données projet'!$B$88,BD35+BC36-BL35)))</f>
        <v>177.80384615384617</v>
      </c>
      <c r="BE36" s="14">
        <f>BD36*VLOOKUP('Données projet'!$B$11,Paramètres!$A$1:$I$89,3,0)*VLOOKUP('Données projet'!$B$11,Paramètres!$A$1:$I$89,5,0)</f>
        <v>83.21220000000001</v>
      </c>
      <c r="BF36" s="14">
        <f t="shared" si="37"/>
        <v>22.9207752028328</v>
      </c>
      <c r="BG36" s="22">
        <f t="shared" si="7"/>
        <v>184.84826514493383</v>
      </c>
      <c r="BH36" s="62">
        <f t="shared" si="8"/>
        <v>478.18159847826712</v>
      </c>
      <c r="BI36" s="62">
        <f ca="1">AVERAGE(OFFSET($BH$3,0,0,'Données projet'!$E$11+1,1))-AVERAGE(OFFSET($H$3,0,0,'Données projet'!$E$11+1,1))</f>
        <v>284.72381074796073</v>
      </c>
      <c r="BJ36" s="62">
        <f t="shared" si="38"/>
        <v>190.4880882944471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5.4791666666666652</v>
      </c>
      <c r="BY36" s="13">
        <f>IF('Données projet'!$A$114&gt;35,BY35+BX36-CG35,IF(A36&lt;'Données projet'!$A$114,$BV$205^A36,IF(A36='Données projet'!$A$114,'Données projet'!$B$114,BY35+BX36-CG35)))</f>
        <v>91.783653846153868</v>
      </c>
      <c r="BZ36" s="14">
        <f>BY36*VLOOKUP('Données projet'!$B$12,Paramètres!$A$1:$I$89,3,0)*VLOOKUP('Données projet'!$B$12,Paramètres!$A$1:$I$89,5,0)</f>
        <v>93.068625000000026</v>
      </c>
      <c r="CA36" s="14">
        <f t="shared" si="39"/>
        <v>25.303853161183731</v>
      </c>
      <c r="CB36" s="22">
        <f t="shared" si="10"/>
        <v>206.16539946406169</v>
      </c>
      <c r="CC36" s="62">
        <f t="shared" si="11"/>
        <v>499.49873279739501</v>
      </c>
      <c r="CD36" s="62">
        <f ca="1">AVERAGE(OFFSET($CC$3,0,0,'Données projet'!$E$12+1,1))-AVERAGE(OFFSET($H$3,0,0,'Données projet'!$E$12+1,1))</f>
        <v>496.71400086768705</v>
      </c>
      <c r="CE36" s="62">
        <f t="shared" si="40"/>
        <v>206.75063396134982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5.4791666666666652</v>
      </c>
      <c r="CT36" s="13">
        <f>IF('Données projet'!$A$140&gt;35,CT35+CS36-DB35,IF(A36&lt;'Données projet'!$A$140,$CQ$205^A36,IF(A36='Données projet'!$A$140,'Données projet'!$B$140,CT35+CS36-DB35)))</f>
        <v>91.783653846153868</v>
      </c>
      <c r="CU36" s="18">
        <f>CT36*VLOOKUP('Données projet'!$B$13,Paramètres!$A$1:$I$89,3,0)*VLOOKUP('Données projet'!$B$13,Paramètres!$A$1:$I$89,5,0)</f>
        <v>98.795925000000011</v>
      </c>
      <c r="CV36" s="14">
        <f t="shared" si="41"/>
        <v>26.674941357550633</v>
      </c>
      <c r="CW36" s="22">
        <f t="shared" si="13"/>
        <v>218.52842557273402</v>
      </c>
      <c r="CX36" s="62">
        <f t="shared" si="14"/>
        <v>511.86175890606734</v>
      </c>
      <c r="CY36" s="62">
        <f ca="1">AVERAGE(OFFSET($CX$3,0,0,'Données projet'!$E$13+1,1))-AVERAGE(OFFSET($H$3,0,0,'Données projet'!$E$13+1,1))</f>
        <v>524.55238798353344</v>
      </c>
      <c r="CZ36" s="62">
        <f t="shared" si="42"/>
        <v>216.94512104983255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233.36153846153846</v>
      </c>
      <c r="L37" s="13">
        <f>VLOOKUP(A37,'Données projet'!$A$35:$I$55,9,0)</f>
        <v>14.175384615384615</v>
      </c>
      <c r="M37" s="13">
        <f t="array" ref="M37">INDEX(L:L,MIN(IF(ISNUMBER(L37:L233),ROW(L37:L233),"")))</f>
        <v>14.175384615384615</v>
      </c>
      <c r="N37" s="14">
        <f>IF('Données projet'!$A$36&gt;35,N36+M37-V36,IF(A37&lt;'Données projet'!$A$36,$K$205^A37,IF(A37='Données projet'!$A$36,'Données projet'!$B$36,N36+M37-V36)))</f>
        <v>233.36153846153837</v>
      </c>
      <c r="O37" s="14">
        <f>N37*VLOOKUP('Données projet'!$B$9,Paramètres!$A$1:$I$89,3,0)*VLOOKUP('Données projet'!$B$9,Paramètres!$A$1:$I$89,5,0)</f>
        <v>139.55019999999996</v>
      </c>
      <c r="P37" s="14">
        <f t="shared" si="33"/>
        <v>36.193943340422692</v>
      </c>
      <c r="Q37" s="22">
        <f t="shared" si="53"/>
        <v>306.08771631790279</v>
      </c>
      <c r="R37" s="62">
        <f t="shared" si="0"/>
        <v>599.4210496512361</v>
      </c>
      <c r="S37" s="62">
        <f ca="1">AVERAGE(OFFSET($R$3,0,0,'Données projet'!$E$9+1,1))-AVERAGE(OFFSET($H$3,0,0,'Données projet'!$E$9+1,1))</f>
        <v>260.01925143568263</v>
      </c>
      <c r="T37" s="62">
        <f t="shared" si="34"/>
        <v>269.95358755269427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12.74038461538462</v>
      </c>
      <c r="AI37" s="14">
        <f>IF('Données projet'!$A$62&gt;35,AI36+AH37-AQ36,IF(A37&lt;'Données projet'!$A$62,$AF$205^A37,IF(A37='Données projet'!$A$62,'Données projet'!$B$62,AI36+AH37-AQ36)))</f>
        <v>153.63269230769228</v>
      </c>
      <c r="AJ37" s="14">
        <f>AI37*VLOOKUP('Données projet'!$B$10,Paramètres!$A$1:$I$89,3,0)*VLOOKUP('Données projet'!$B$10,Paramètres!$A$1:$I$89,5,0)</f>
        <v>91.872349999999997</v>
      </c>
      <c r="AK37" s="14">
        <f t="shared" si="35"/>
        <v>25.016248165039102</v>
      </c>
      <c r="AL37" s="22">
        <f t="shared" si="4"/>
        <v>203.58097513744312</v>
      </c>
      <c r="AM37" s="62">
        <f t="shared" si="5"/>
        <v>496.9143084707764</v>
      </c>
      <c r="AN37" s="62">
        <f ca="1">AVERAGE(OFFSET($AM$3,0,0,'Données projet'!$E$10+1,1))-AVERAGE(OFFSET($H$3,0,0,'Données projet'!$E$10+1,1))</f>
        <v>289.24721145176682</v>
      </c>
      <c r="AO37" s="62">
        <f t="shared" si="36"/>
        <v>229.06617320689003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10.183333333333332</v>
      </c>
      <c r="BD37" s="13">
        <f>IF('Données projet'!$A$88&gt;35,BD36+BC37-BL36,IF(A37&lt;'Données projet'!$A$88,$BA$205^A37,IF(A37='Données projet'!$A$88,'Données projet'!$B$88,BD36+BC37-BL36)))</f>
        <v>187.9871794871795</v>
      </c>
      <c r="BE37" s="14">
        <f>BD37*VLOOKUP('Données projet'!$B$11,Paramètres!$A$1:$I$89,3,0)*VLOOKUP('Données projet'!$B$11,Paramètres!$A$1:$I$89,5,0)</f>
        <v>87.978000000000009</v>
      </c>
      <c r="BF37" s="14">
        <f t="shared" si="37"/>
        <v>24.076924246513194</v>
      </c>
      <c r="BG37" s="22">
        <f t="shared" si="7"/>
        <v>195.16232639601046</v>
      </c>
      <c r="BH37" s="62">
        <f t="shared" si="8"/>
        <v>488.49565972934374</v>
      </c>
      <c r="BI37" s="62">
        <f ca="1">AVERAGE(OFFSET($BH$3,0,0,'Données projet'!$E$11+1,1))-AVERAGE(OFFSET($H$3,0,0,'Données projet'!$E$11+1,1))</f>
        <v>284.72381074796073</v>
      </c>
      <c r="BJ37" s="62">
        <f t="shared" si="38"/>
        <v>190.4880882944471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5.4791666666666652</v>
      </c>
      <c r="BY37" s="13">
        <f>IF('Données projet'!$A$114&gt;35,BY36+BX37-CG36,IF(A37&lt;'Données projet'!$A$114,$BV$205^A37,IF(A37='Données projet'!$A$114,'Données projet'!$B$114,BY36+BX37-CG36)))</f>
        <v>97.262820512820539</v>
      </c>
      <c r="BZ37" s="14">
        <f>BY37*VLOOKUP('Données projet'!$B$12,Paramètres!$A$1:$I$89,3,0)*VLOOKUP('Données projet'!$B$12,Paramètres!$A$1:$I$89,5,0)</f>
        <v>98.62450000000004</v>
      </c>
      <c r="CA37" s="14">
        <f t="shared" si="39"/>
        <v>26.634039955967385</v>
      </c>
      <c r="CB37" s="22">
        <f t="shared" si="10"/>
        <v>218.15862375664324</v>
      </c>
      <c r="CC37" s="62">
        <f t="shared" si="11"/>
        <v>511.49195708997655</v>
      </c>
      <c r="CD37" s="62">
        <f ca="1">AVERAGE(OFFSET($CC$3,0,0,'Données projet'!$E$12+1,1))-AVERAGE(OFFSET($H$3,0,0,'Données projet'!$E$12+1,1))</f>
        <v>496.71400086768705</v>
      </c>
      <c r="CE37" s="62">
        <f t="shared" si="40"/>
        <v>206.75063396134982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5.4791666666666652</v>
      </c>
      <c r="CT37" s="13">
        <f>IF('Données projet'!$A$140&gt;35,CT36+CS37-DB36,IF(A37&lt;'Données projet'!$A$140,$CQ$205^A37,IF(A37='Données projet'!$A$140,'Données projet'!$B$140,CT36+CS37-DB36)))</f>
        <v>97.262820512820539</v>
      </c>
      <c r="CU37" s="18">
        <f>CT37*VLOOKUP('Données projet'!$B$13,Paramètres!$A$1:$I$89,3,0)*VLOOKUP('Données projet'!$B$13,Paramètres!$A$1:$I$89,5,0)</f>
        <v>104.69370000000004</v>
      </c>
      <c r="CV37" s="14">
        <f t="shared" si="41"/>
        <v>28.077204266658594</v>
      </c>
      <c r="CW37" s="22">
        <f t="shared" si="13"/>
        <v>231.24265826443045</v>
      </c>
      <c r="CX37" s="62">
        <f t="shared" si="14"/>
        <v>524.57599159776373</v>
      </c>
      <c r="CY37" s="62">
        <f ca="1">AVERAGE(OFFSET($CX$3,0,0,'Données projet'!$E$13+1,1))-AVERAGE(OFFSET($H$3,0,0,'Données projet'!$E$13+1,1))</f>
        <v>524.55238798353344</v>
      </c>
      <c r="CZ37" s="62">
        <f t="shared" si="42"/>
        <v>216.94512104983255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14.607692307692318</v>
      </c>
      <c r="N38" s="14">
        <f>IF('Données projet'!$A$36&gt;35,N37+M38-V37,IF(A38&lt;'Données projet'!$A$36,$K$205^A38,IF(A38='Données projet'!$A$36,'Données projet'!$B$36,N37+M38-V37)))</f>
        <v>247.96923076923071</v>
      </c>
      <c r="O38" s="14">
        <f>N38*VLOOKUP('Données projet'!$B$9,Paramètres!$A$1:$I$89,3,0)*VLOOKUP('Données projet'!$B$9,Paramètres!$A$1:$I$89,5,0)</f>
        <v>148.28559999999996</v>
      </c>
      <c r="P38" s="14">
        <f t="shared" si="33"/>
        <v>38.188721800687638</v>
      </c>
      <c r="Q38" s="22">
        <f t="shared" si="53"/>
        <v>324.77611046953086</v>
      </c>
      <c r="R38" s="62">
        <f t="shared" si="0"/>
        <v>618.10944380286423</v>
      </c>
      <c r="S38" s="62">
        <f ca="1">AVERAGE(OFFSET($R$3,0,0,'Données projet'!$E$9+1,1))-AVERAGE(OFFSET($H$3,0,0,'Données projet'!$E$9+1,1))</f>
        <v>260.01925143568263</v>
      </c>
      <c r="T38" s="62">
        <f t="shared" si="34"/>
        <v>269.95358755269427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12.74038461538462</v>
      </c>
      <c r="AI38" s="14">
        <f>IF('Données projet'!$A$62&gt;35,AI37+AH38-AQ37,IF(A38&lt;'Données projet'!$A$62,$AF$205^A38,IF(A38='Données projet'!$A$62,'Données projet'!$B$62,AI37+AH38-AQ37)))</f>
        <v>166.37307692307689</v>
      </c>
      <c r="AJ38" s="14">
        <f>AI38*VLOOKUP('Données projet'!$B$10,Paramètres!$A$1:$I$89,3,0)*VLOOKUP('Données projet'!$B$10,Paramètres!$A$1:$I$89,5,0)</f>
        <v>99.491099999999989</v>
      </c>
      <c r="AK38" s="14">
        <f t="shared" si="35"/>
        <v>26.84072316435665</v>
      </c>
      <c r="AL38" s="22">
        <f t="shared" si="4"/>
        <v>220.02792534458783</v>
      </c>
      <c r="AM38" s="62">
        <f t="shared" si="5"/>
        <v>513.36125867792111</v>
      </c>
      <c r="AN38" s="62">
        <f ca="1">AVERAGE(OFFSET($AM$3,0,0,'Données projet'!$E$10+1,1))-AVERAGE(OFFSET($H$3,0,0,'Données projet'!$E$10+1,1))</f>
        <v>289.24721145176682</v>
      </c>
      <c r="AO38" s="62">
        <f t="shared" si="36"/>
        <v>229.06617320689003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10.183333333333332</v>
      </c>
      <c r="BD38" s="13">
        <f>IF('Données projet'!$A$88&gt;35,BD37+BC38-BL37,IF(A38&lt;'Données projet'!$A$88,$BA$205^A38,IF(A38='Données projet'!$A$88,'Données projet'!$B$88,BD37+BC38-BL37)))</f>
        <v>198.17051282051284</v>
      </c>
      <c r="BE38" s="14">
        <f>BD38*VLOOKUP('Données projet'!$B$11,Paramètres!$A$1:$I$89,3,0)*VLOOKUP('Données projet'!$B$11,Paramètres!$A$1:$I$89,5,0)</f>
        <v>92.743800000000022</v>
      </c>
      <c r="BF38" s="14">
        <f t="shared" si="37"/>
        <v>25.225802454716455</v>
      </c>
      <c r="BG38" s="22">
        <f t="shared" si="7"/>
        <v>205.46372427529786</v>
      </c>
      <c r="BH38" s="62">
        <f t="shared" si="8"/>
        <v>498.79705760863118</v>
      </c>
      <c r="BI38" s="62">
        <f ca="1">AVERAGE(OFFSET($BH$3,0,0,'Données projet'!$E$11+1,1))-AVERAGE(OFFSET($H$3,0,0,'Données projet'!$E$11+1,1))</f>
        <v>284.72381074796073</v>
      </c>
      <c r="BJ38" s="62">
        <f t="shared" si="38"/>
        <v>190.4880882944471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5.4791666666666652</v>
      </c>
      <c r="BY38" s="13">
        <f>IF('Données projet'!$A$114&gt;35,BY37+BX38-CG37,IF(A38&lt;'Données projet'!$A$114,$BV$205^A38,IF(A38='Données projet'!$A$114,'Données projet'!$B$114,BY37+BX38-CG37)))</f>
        <v>102.74198717948721</v>
      </c>
      <c r="BZ38" s="14">
        <f>BY38*VLOOKUP('Données projet'!$B$12,Paramètres!$A$1:$I$89,3,0)*VLOOKUP('Données projet'!$B$12,Paramètres!$A$1:$I$89,5,0)</f>
        <v>104.18037500000004</v>
      </c>
      <c r="CA38" s="14">
        <f t="shared" si="39"/>
        <v>27.955528084104234</v>
      </c>
      <c r="CB38" s="22">
        <f t="shared" si="10"/>
        <v>230.13669787148163</v>
      </c>
      <c r="CC38" s="62">
        <f t="shared" si="11"/>
        <v>523.47003120481497</v>
      </c>
      <c r="CD38" s="62">
        <f ca="1">AVERAGE(OFFSET($CC$3,0,0,'Données projet'!$E$12+1,1))-AVERAGE(OFFSET($H$3,0,0,'Données projet'!$E$12+1,1))</f>
        <v>496.71400086768705</v>
      </c>
      <c r="CE38" s="62">
        <f t="shared" si="40"/>
        <v>206.75063396134982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5.4791666666666652</v>
      </c>
      <c r="CT38" s="13">
        <f>IF('Données projet'!$A$140&gt;35,CT37+CS38-DB37,IF(A38&lt;'Données projet'!$A$140,$CQ$205^A38,IF(A38='Données projet'!$A$140,'Données projet'!$B$140,CT37+CS38-DB37)))</f>
        <v>102.74198717948721</v>
      </c>
      <c r="CU38" s="18">
        <f>CT38*VLOOKUP('Données projet'!$B$13,Paramètres!$A$1:$I$89,3,0)*VLOOKUP('Données projet'!$B$13,Paramètres!$A$1:$I$89,5,0)</f>
        <v>110.59147500000003</v>
      </c>
      <c r="CV38" s="14">
        <f t="shared" si="41"/>
        <v>29.470297172241228</v>
      </c>
      <c r="CW38" s="22">
        <f t="shared" si="13"/>
        <v>243.94091986665353</v>
      </c>
      <c r="CX38" s="62">
        <f t="shared" si="14"/>
        <v>537.27425319998679</v>
      </c>
      <c r="CY38" s="62">
        <f ca="1">AVERAGE(OFFSET($CX$3,0,0,'Données projet'!$E$13+1,1))-AVERAGE(OFFSET($H$3,0,0,'Données projet'!$E$13+1,1))</f>
        <v>524.55238798353344</v>
      </c>
      <c r="CZ38" s="62">
        <f t="shared" si="42"/>
        <v>216.94512104983255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262.57692307692309</v>
      </c>
      <c r="L39" s="13">
        <f>VLOOKUP(A39,'Données projet'!$A$35:$I$55,9,0)</f>
        <v>14.607692307692318</v>
      </c>
      <c r="M39" s="13">
        <f t="array" ref="M39">INDEX(L:L,MIN(IF(ISNUMBER(L39:L235),ROW(L39:L235),"")))</f>
        <v>14.607692307692318</v>
      </c>
      <c r="N39" s="14">
        <f>IF('Données projet'!$A$36&gt;35,N38+M39-V38,IF(A39&lt;'Données projet'!$A$36,$K$205^A39,IF(A39='Données projet'!$A$36,'Données projet'!$B$36,N38+M39-V38)))</f>
        <v>262.57692307692304</v>
      </c>
      <c r="O39" s="14">
        <f>N39*VLOOKUP('Données projet'!$B$9,Paramètres!$A$1:$I$89,3,0)*VLOOKUP('Données projet'!$B$9,Paramètres!$A$1:$I$89,5,0)</f>
        <v>157.02099999999999</v>
      </c>
      <c r="P39" s="14">
        <f t="shared" si="33"/>
        <v>40.169860444278903</v>
      </c>
      <c r="Q39" s="22">
        <f t="shared" si="53"/>
        <v>343.44074860711902</v>
      </c>
      <c r="R39" s="62">
        <f t="shared" si="0"/>
        <v>636.77408194045233</v>
      </c>
      <c r="S39" s="62">
        <f ca="1">AVERAGE(OFFSET($R$3,0,0,'Données projet'!$E$9+1,1))-AVERAGE(OFFSET($H$3,0,0,'Données projet'!$E$9+1,1))</f>
        <v>260.01925143568263</v>
      </c>
      <c r="T39" s="62">
        <f t="shared" si="34"/>
        <v>269.95358755269427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64.553846153846152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12.74038461538462</v>
      </c>
      <c r="AI39" s="14">
        <f>IF('Données projet'!$A$62&gt;35,AI38+AH39-AQ38,IF(A39&lt;'Données projet'!$A$62,$AF$205^A39,IF(A39='Données projet'!$A$62,'Données projet'!$B$62,AI38+AH39-AQ38)))</f>
        <v>179.11346153846151</v>
      </c>
      <c r="AJ39" s="14">
        <f>AI39*VLOOKUP('Données projet'!$B$10,Paramètres!$A$1:$I$89,3,0)*VLOOKUP('Données projet'!$B$10,Paramètres!$A$1:$I$89,5,0)</f>
        <v>107.10984999999999</v>
      </c>
      <c r="AK39" s="14">
        <f t="shared" si="35"/>
        <v>28.648991101707331</v>
      </c>
      <c r="AL39" s="22">
        <f t="shared" si="4"/>
        <v>236.44664825214025</v>
      </c>
      <c r="AM39" s="62">
        <f t="shared" si="5"/>
        <v>529.77998158547359</v>
      </c>
      <c r="AN39" s="62">
        <f ca="1">AVERAGE(OFFSET($AM$3,0,0,'Données projet'!$E$10+1,1))-AVERAGE(OFFSET($H$3,0,0,'Données projet'!$E$10+1,1))</f>
        <v>289.24721145176682</v>
      </c>
      <c r="AO39" s="62">
        <f t="shared" si="36"/>
        <v>229.06617320689003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208.35384615384615</v>
      </c>
      <c r="BB39" s="13">
        <f>VLOOKUP(A39,'Données projet'!$A$87:$I$107,9,0)</f>
        <v>10.183333333333332</v>
      </c>
      <c r="BC39" s="13">
        <f t="array" ref="BC39">INDEX(BB:BB,MIN(IF(ISNUMBER(BB39:BB235),ROW(BB39:BB235),"")))</f>
        <v>10.183333333333332</v>
      </c>
      <c r="BD39" s="13">
        <f>IF('Données projet'!$A$88&gt;35,BD38+BC39-BL38,IF(A39&lt;'Données projet'!$A$88,$BA$205^A39,IF(A39='Données projet'!$A$88,'Données projet'!$B$88,BD38+BC39-BL38)))</f>
        <v>208.35384615384618</v>
      </c>
      <c r="BE39" s="14">
        <f>BD39*VLOOKUP('Données projet'!$B$11,Paramètres!$A$1:$I$89,3,0)*VLOOKUP('Données projet'!$B$11,Paramètres!$A$1:$I$89,5,0)</f>
        <v>97.50960000000002</v>
      </c>
      <c r="BF39" s="14">
        <f t="shared" si="37"/>
        <v>26.367826072226642</v>
      </c>
      <c r="BG39" s="22">
        <f t="shared" si="7"/>
        <v>215.7531837424614</v>
      </c>
      <c r="BH39" s="62">
        <f t="shared" si="8"/>
        <v>509.08651707579475</v>
      </c>
      <c r="BI39" s="62">
        <f ca="1">AVERAGE(OFFSET($BH$3,0,0,'Données projet'!$E$11+1,1))-AVERAGE(OFFSET($H$3,0,0,'Données projet'!$E$11+1,1))</f>
        <v>284.72381074796073</v>
      </c>
      <c r="BJ39" s="62">
        <f t="shared" si="38"/>
        <v>190.4880882944471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5.4791666666666652</v>
      </c>
      <c r="BY39" s="13">
        <f>IF('Données projet'!$A$114&gt;35,BY38+BX39-CG38,IF(A39&lt;'Données projet'!$A$114,$BV$205^A39,IF(A39='Données projet'!$A$114,'Données projet'!$B$114,BY38+BX39-CG38)))</f>
        <v>108.22115384615388</v>
      </c>
      <c r="BZ39" s="14">
        <f>BY39*VLOOKUP('Données projet'!$B$12,Paramètres!$A$1:$I$89,3,0)*VLOOKUP('Données projet'!$B$12,Paramètres!$A$1:$I$89,5,0)</f>
        <v>109.73625000000006</v>
      </c>
      <c r="CA39" s="14">
        <f t="shared" si="39"/>
        <v>29.268834335924563</v>
      </c>
      <c r="CB39" s="22">
        <f t="shared" si="10"/>
        <v>242.1005218850687</v>
      </c>
      <c r="CC39" s="62">
        <f t="shared" si="11"/>
        <v>535.43385521840196</v>
      </c>
      <c r="CD39" s="62">
        <f ca="1">AVERAGE(OFFSET($CC$3,0,0,'Données projet'!$E$12+1,1))-AVERAGE(OFFSET($H$3,0,0,'Données projet'!$E$12+1,1))</f>
        <v>496.71400086768705</v>
      </c>
      <c r="CE39" s="62">
        <f t="shared" si="40"/>
        <v>206.75063396134982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5.4791666666666652</v>
      </c>
      <c r="CT39" s="13">
        <f>IF('Données projet'!$A$140&gt;35,CT38+CS39-DB38,IF(A39&lt;'Données projet'!$A$140,$CQ$205^A39,IF(A39='Données projet'!$A$140,'Données projet'!$B$140,CT38+CS39-DB38)))</f>
        <v>108.22115384615388</v>
      </c>
      <c r="CU39" s="18">
        <f>CT39*VLOOKUP('Données projet'!$B$13,Paramètres!$A$1:$I$89,3,0)*VLOOKUP('Données projet'!$B$13,Paramètres!$A$1:$I$89,5,0)</f>
        <v>116.48925000000003</v>
      </c>
      <c r="CV39" s="14">
        <f t="shared" si="41"/>
        <v>30.854764866890665</v>
      </c>
      <c r="CW39" s="22">
        <f t="shared" si="13"/>
        <v>256.62415922650126</v>
      </c>
      <c r="CX39" s="62">
        <f t="shared" si="14"/>
        <v>549.95749255983458</v>
      </c>
      <c r="CY39" s="62">
        <f ca="1">AVERAGE(OFFSET($CX$3,0,0,'Données projet'!$E$13+1,1))-AVERAGE(OFFSET($H$3,0,0,'Données projet'!$E$13+1,1))</f>
        <v>524.55238798353344</v>
      </c>
      <c r="CZ39" s="62">
        <f t="shared" si="42"/>
        <v>216.94512104983255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13.141346153846158</v>
      </c>
      <c r="N40" s="14">
        <f>IF('Données projet'!$A$36&gt;35,N39+M40-V39,IF(A40&lt;'Données projet'!$A$36,$K$205^A40,IF(A40='Données projet'!$A$36,'Données projet'!$B$36,N39+M40-V39)))</f>
        <v>211.16442307692301</v>
      </c>
      <c r="O40" s="14">
        <f>N40*VLOOKUP('Données projet'!$B$9,Paramètres!$A$1:$I$89,3,0)*VLOOKUP('Données projet'!$B$9,Paramètres!$A$1:$I$89,5,0)</f>
        <v>126.27632499999997</v>
      </c>
      <c r="P40" s="14">
        <f t="shared" si="33"/>
        <v>33.134477451871597</v>
      </c>
      <c r="Q40" s="22">
        <f t="shared" si="53"/>
        <v>277.64048093700967</v>
      </c>
      <c r="R40" s="62">
        <f t="shared" si="0"/>
        <v>570.97381427034293</v>
      </c>
      <c r="S40" s="62">
        <f ca="1">AVERAGE(OFFSET($R$3,0,0,'Données projet'!$E$9+1,1))-AVERAGE(OFFSET($H$3,0,0,'Données projet'!$E$9+1,1))</f>
        <v>260.01925143568263</v>
      </c>
      <c r="T40" s="62">
        <f t="shared" si="34"/>
        <v>269.95358755269427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12.74038461538462</v>
      </c>
      <c r="AI40" s="14">
        <f>IF('Données projet'!$A$62&gt;35,AI39+AH40-AQ39,IF(A40&lt;'Données projet'!$A$62,$AF$205^A40,IF(A40='Données projet'!$A$62,'Données projet'!$B$62,AI39+AH40-AQ39)))</f>
        <v>191.85384615384612</v>
      </c>
      <c r="AJ40" s="14">
        <f>AI40*VLOOKUP('Données projet'!$B$10,Paramètres!$A$1:$I$89,3,0)*VLOOKUP('Données projet'!$B$10,Paramètres!$A$1:$I$89,5,0)</f>
        <v>114.72859999999999</v>
      </c>
      <c r="AK40" s="14">
        <f t="shared" si="35"/>
        <v>30.442335906087649</v>
      </c>
      <c r="AL40" s="22">
        <f t="shared" si="4"/>
        <v>252.83938003643593</v>
      </c>
      <c r="AM40" s="62">
        <f t="shared" si="5"/>
        <v>546.17271336976921</v>
      </c>
      <c r="AN40" s="62">
        <f ca="1">AVERAGE(OFFSET($AM$3,0,0,'Données projet'!$E$10+1,1))-AVERAGE(OFFSET($H$3,0,0,'Données projet'!$E$10+1,1))</f>
        <v>289.24721145176682</v>
      </c>
      <c r="AO40" s="62">
        <f t="shared" si="36"/>
        <v>229.06617320689003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11.334615384615381</v>
      </c>
      <c r="BD40" s="13">
        <f>IF('Données projet'!$A$88&gt;35,BD39+BC40-BL39,IF(A40&lt;'Données projet'!$A$88,$BA$205^A40,IF(A40='Données projet'!$A$88,'Données projet'!$B$88,BD39+BC40-BL39)))</f>
        <v>219.68846153846155</v>
      </c>
      <c r="BE40" s="14">
        <f>BD40*VLOOKUP('Données projet'!$B$11,Paramètres!$A$1:$I$89,3,0)*VLOOKUP('Données projet'!$B$11,Paramètres!$A$1:$I$89,5,0)</f>
        <v>102.81420000000001</v>
      </c>
      <c r="BF40" s="14">
        <f t="shared" si="37"/>
        <v>27.631355126177858</v>
      </c>
      <c r="BG40" s="22">
        <f t="shared" si="7"/>
        <v>227.19267517809314</v>
      </c>
      <c r="BH40" s="62">
        <f t="shared" si="8"/>
        <v>520.52600851142643</v>
      </c>
      <c r="BI40" s="62">
        <f ca="1">AVERAGE(OFFSET($BH$3,0,0,'Données projet'!$E$11+1,1))-AVERAGE(OFFSET($H$3,0,0,'Données projet'!$E$11+1,1))</f>
        <v>284.72381074796073</v>
      </c>
      <c r="BJ40" s="62">
        <f t="shared" si="38"/>
        <v>190.4880882944471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5.4791666666666652</v>
      </c>
      <c r="BY40" s="13">
        <f>IF('Données projet'!$A$114&gt;35,BY39+BX40-CG39,IF(A40&lt;'Données projet'!$A$114,$BV$205^A40,IF(A40='Données projet'!$A$114,'Données projet'!$B$114,BY39+BX40-CG39)))</f>
        <v>113.70032051282055</v>
      </c>
      <c r="BZ40" s="14">
        <f>BY40*VLOOKUP('Données projet'!$B$12,Paramètres!$A$1:$I$89,3,0)*VLOOKUP('Données projet'!$B$12,Paramètres!$A$1:$I$89,5,0)</f>
        <v>115.29212500000006</v>
      </c>
      <c r="CA40" s="14">
        <f t="shared" si="39"/>
        <v>30.574420216336556</v>
      </c>
      <c r="CB40" s="22">
        <f t="shared" si="10"/>
        <v>254.05089958511962</v>
      </c>
      <c r="CC40" s="62">
        <f t="shared" si="11"/>
        <v>547.38423291845288</v>
      </c>
      <c r="CD40" s="62">
        <f ca="1">AVERAGE(OFFSET($CC$3,0,0,'Données projet'!$E$12+1,1))-AVERAGE(OFFSET($H$3,0,0,'Données projet'!$E$12+1,1))</f>
        <v>496.71400086768705</v>
      </c>
      <c r="CE40" s="62">
        <f t="shared" si="40"/>
        <v>206.75063396134982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5.4791666666666652</v>
      </c>
      <c r="CT40" s="13">
        <f>IF('Données projet'!$A$140&gt;35,CT39+CS40-DB39,IF(A40&lt;'Données projet'!$A$140,$CQ$205^A40,IF(A40='Données projet'!$A$140,'Données projet'!$B$140,CT39+CS40-DB39)))</f>
        <v>113.70032051282055</v>
      </c>
      <c r="CU40" s="18">
        <f>CT40*VLOOKUP('Données projet'!$B$13,Paramètres!$A$1:$I$89,3,0)*VLOOKUP('Données projet'!$B$13,Paramètres!$A$1:$I$89,5,0)</f>
        <v>122.38702500000004</v>
      </c>
      <c r="CV40" s="14">
        <f t="shared" si="41"/>
        <v>32.231093862138707</v>
      </c>
      <c r="CW40" s="22">
        <f t="shared" si="13"/>
        <v>269.29322368489164</v>
      </c>
      <c r="CX40" s="62">
        <f t="shared" si="14"/>
        <v>562.62655701822496</v>
      </c>
      <c r="CY40" s="62">
        <f ca="1">AVERAGE(OFFSET($CX$3,0,0,'Données projet'!$E$13+1,1))-AVERAGE(OFFSET($H$3,0,0,'Données projet'!$E$13+1,1))</f>
        <v>524.55238798353344</v>
      </c>
      <c r="CZ40" s="62">
        <f t="shared" si="42"/>
        <v>216.94512104983255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13.141346153846158</v>
      </c>
      <c r="N41" s="14">
        <f>IF('Données projet'!$A$36&gt;35,N40+M41-V40,IF(A41&lt;'Données projet'!$A$36,$K$205^A41,IF(A41='Données projet'!$A$36,'Données projet'!$B$36,N40+M41-V40)))</f>
        <v>224.30576923076916</v>
      </c>
      <c r="O41" s="14">
        <f>N41*VLOOKUP('Données projet'!$B$9,Paramètres!$A$1:$I$89,3,0)*VLOOKUP('Données projet'!$B$9,Paramètres!$A$1:$I$89,5,0)</f>
        <v>134.13484999999997</v>
      </c>
      <c r="P41" s="14">
        <f t="shared" si="33"/>
        <v>34.95005369580312</v>
      </c>
      <c r="Q41" s="22">
        <f t="shared" si="53"/>
        <v>294.48954060352372</v>
      </c>
      <c r="R41" s="62">
        <f t="shared" si="0"/>
        <v>587.82287393685704</v>
      </c>
      <c r="S41" s="62">
        <f ca="1">AVERAGE(OFFSET($R$3,0,0,'Données projet'!$E$9+1,1))-AVERAGE(OFFSET($H$3,0,0,'Données projet'!$E$9+1,1))</f>
        <v>260.01925143568263</v>
      </c>
      <c r="T41" s="62">
        <f t="shared" si="34"/>
        <v>269.95358755269427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12.74038461538462</v>
      </c>
      <c r="AI41" s="14">
        <f>IF('Données projet'!$A$62&gt;35,AI40+AH41-AQ40,IF(A41&lt;'Données projet'!$A$62,$AF$205^A41,IF(A41='Données projet'!$A$62,'Données projet'!$B$62,AI40+AH41-AQ40)))</f>
        <v>204.59423076923073</v>
      </c>
      <c r="AJ41" s="14">
        <f>AI41*VLOOKUP('Données projet'!$B$10,Paramètres!$A$1:$I$89,3,0)*VLOOKUP('Données projet'!$B$10,Paramètres!$A$1:$I$89,5,0)</f>
        <v>122.34734999999998</v>
      </c>
      <c r="AK41" s="14">
        <f t="shared" si="35"/>
        <v>32.221861336884515</v>
      </c>
      <c r="AL41" s="22">
        <f t="shared" si="4"/>
        <v>269.20804307840717</v>
      </c>
      <c r="AM41" s="62">
        <f t="shared" si="5"/>
        <v>562.54137641174043</v>
      </c>
      <c r="AN41" s="62">
        <f ca="1">AVERAGE(OFFSET($AM$3,0,0,'Données projet'!$E$10+1,1))-AVERAGE(OFFSET($H$3,0,0,'Données projet'!$E$10+1,1))</f>
        <v>289.24721145176682</v>
      </c>
      <c r="AO41" s="62">
        <f t="shared" si="36"/>
        <v>229.06617320689003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11.334615384615381</v>
      </c>
      <c r="BD41" s="13">
        <f>IF('Données projet'!$A$88&gt;35,BD40+BC41-BL40,IF(A41&lt;'Données projet'!$A$88,$BA$205^A41,IF(A41='Données projet'!$A$88,'Données projet'!$B$88,BD40+BC41-BL40)))</f>
        <v>231.02307692307693</v>
      </c>
      <c r="BE41" s="14">
        <f>BD41*VLOOKUP('Données projet'!$B$11,Paramètres!$A$1:$I$89,3,0)*VLOOKUP('Données projet'!$B$11,Paramètres!$A$1:$I$89,5,0)</f>
        <v>108.11880000000001</v>
      </c>
      <c r="BF41" s="14">
        <f t="shared" si="37"/>
        <v>28.88731519281459</v>
      </c>
      <c r="BG41" s="22">
        <f t="shared" si="7"/>
        <v>238.61898396081872</v>
      </c>
      <c r="BH41" s="62">
        <f t="shared" si="8"/>
        <v>531.95231729415207</v>
      </c>
      <c r="BI41" s="62">
        <f ca="1">AVERAGE(OFFSET($BH$3,0,0,'Données projet'!$E$11+1,1))-AVERAGE(OFFSET($H$3,0,0,'Données projet'!$E$11+1,1))</f>
        <v>284.72381074796073</v>
      </c>
      <c r="BJ41" s="62">
        <f t="shared" si="38"/>
        <v>190.4880882944471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5.4791666666666652</v>
      </c>
      <c r="BY41" s="13">
        <f>IF('Données projet'!$A$114&gt;35,BY40+BX41-CG40,IF(A41&lt;'Données projet'!$A$114,$BV$205^A41,IF(A41='Données projet'!$A$114,'Données projet'!$B$114,BY40+BX41-CG40)))</f>
        <v>119.17948717948723</v>
      </c>
      <c r="BZ41" s="14">
        <f>BY41*VLOOKUP('Données projet'!$B$12,Paramètres!$A$1:$I$89,3,0)*VLOOKUP('Données projet'!$B$12,Paramètres!$A$1:$I$89,5,0)</f>
        <v>120.84800000000006</v>
      </c>
      <c r="CA41" s="14">
        <f t="shared" si="39"/>
        <v>31.872700237687603</v>
      </c>
      <c r="CB41" s="22">
        <f t="shared" si="10"/>
        <v>265.98855291397268</v>
      </c>
      <c r="CC41" s="62">
        <f t="shared" si="11"/>
        <v>559.321886247306</v>
      </c>
      <c r="CD41" s="62">
        <f ca="1">AVERAGE(OFFSET($CC$3,0,0,'Données projet'!$E$12+1,1))-AVERAGE(OFFSET($H$3,0,0,'Données projet'!$E$12+1,1))</f>
        <v>496.71400086768705</v>
      </c>
      <c r="CE41" s="62">
        <f t="shared" si="40"/>
        <v>206.75063396134982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5.4791666666666652</v>
      </c>
      <c r="CT41" s="13">
        <f>IF('Données projet'!$A$140&gt;35,CT40+CS41-DB40,IF(A41&lt;'Données projet'!$A$140,$CQ$205^A41,IF(A41='Données projet'!$A$140,'Données projet'!$B$140,CT40+CS41-DB40)))</f>
        <v>119.17948717948723</v>
      </c>
      <c r="CU41" s="18">
        <f>CT41*VLOOKUP('Données projet'!$B$13,Paramètres!$A$1:$I$89,3,0)*VLOOKUP('Données projet'!$B$13,Paramètres!$A$1:$I$89,5,0)</f>
        <v>128.28480000000005</v>
      </c>
      <c r="CV41" s="14">
        <f t="shared" si="41"/>
        <v>33.599721130666481</v>
      </c>
      <c r="CW41" s="22">
        <f t="shared" si="13"/>
        <v>281.94887430257756</v>
      </c>
      <c r="CX41" s="62">
        <f t="shared" si="14"/>
        <v>575.28220763591094</v>
      </c>
      <c r="CY41" s="62">
        <f ca="1">AVERAGE(OFFSET($CX$3,0,0,'Données projet'!$E$13+1,1))-AVERAGE(OFFSET($H$3,0,0,'Données projet'!$E$13+1,1))</f>
        <v>524.55238798353344</v>
      </c>
      <c r="CZ41" s="62">
        <f t="shared" si="42"/>
        <v>216.94512104983255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13.141346153846158</v>
      </c>
      <c r="N42" s="14">
        <f>IF('Données projet'!$A$36&gt;35,N41+M42-V41,IF(A42&lt;'Données projet'!$A$36,$K$205^A42,IF(A42='Données projet'!$A$36,'Données projet'!$B$36,N41+M42-V41)))</f>
        <v>237.4471153846153</v>
      </c>
      <c r="O42" s="14">
        <f>N42*VLOOKUP('Données projet'!$B$9,Paramètres!$A$1:$I$89,3,0)*VLOOKUP('Données projet'!$B$9,Paramètres!$A$1:$I$89,5,0)</f>
        <v>141.99337499999996</v>
      </c>
      <c r="P42" s="14">
        <f t="shared" si="33"/>
        <v>36.753283288028733</v>
      </c>
      <c r="Q42" s="22">
        <f t="shared" si="53"/>
        <v>311.31709651831665</v>
      </c>
      <c r="R42" s="62">
        <f t="shared" si="0"/>
        <v>604.65042985164996</v>
      </c>
      <c r="S42" s="62">
        <f ca="1">AVERAGE(OFFSET($R$3,0,0,'Données projet'!$E$9+1,1))-AVERAGE(OFFSET($H$3,0,0,'Données projet'!$E$9+1,1))</f>
        <v>260.01925143568263</v>
      </c>
      <c r="T42" s="62">
        <f t="shared" si="34"/>
        <v>269.95358755269427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12.74038461538462</v>
      </c>
      <c r="AI42" s="14">
        <f>IF('Données projet'!$A$62&gt;35,AI41+AH42-AQ41,IF(A42&lt;'Données projet'!$A$62,$AF$205^A42,IF(A42='Données projet'!$A$62,'Données projet'!$B$62,AI41+AH42-AQ41)))</f>
        <v>217.33461538461535</v>
      </c>
      <c r="AJ42" s="14">
        <f>AI42*VLOOKUP('Données projet'!$B$10,Paramètres!$A$1:$I$89,3,0)*VLOOKUP('Données projet'!$B$10,Paramètres!$A$1:$I$89,5,0)</f>
        <v>129.96609999999998</v>
      </c>
      <c r="AK42" s="14">
        <f t="shared" si="35"/>
        <v>33.988525918782614</v>
      </c>
      <c r="AL42" s="22">
        <f t="shared" si="4"/>
        <v>285.5543068085463</v>
      </c>
      <c r="AM42" s="62">
        <f t="shared" si="5"/>
        <v>578.88764014187961</v>
      </c>
      <c r="AN42" s="62">
        <f ca="1">AVERAGE(OFFSET($AM$3,0,0,'Données projet'!$E$10+1,1))-AVERAGE(OFFSET($H$3,0,0,'Données projet'!$E$10+1,1))</f>
        <v>289.24721145176682</v>
      </c>
      <c r="AO42" s="62">
        <f t="shared" si="36"/>
        <v>229.06617320689003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11.334615384615381</v>
      </c>
      <c r="BD42" s="13">
        <f>IF('Données projet'!$A$88&gt;35,BD41+BC42-BL41,IF(A42&lt;'Données projet'!$A$88,$BA$205^A42,IF(A42='Données projet'!$A$88,'Données projet'!$B$88,BD41+BC42-BL41)))</f>
        <v>242.3576923076923</v>
      </c>
      <c r="BE42" s="14">
        <f>BD42*VLOOKUP('Données projet'!$B$11,Paramètres!$A$1:$I$89,3,0)*VLOOKUP('Données projet'!$B$11,Paramètres!$A$1:$I$89,5,0)</f>
        <v>113.4234</v>
      </c>
      <c r="BF42" s="14">
        <f t="shared" si="37"/>
        <v>30.136120011036873</v>
      </c>
      <c r="BG42" s="22">
        <f t="shared" si="7"/>
        <v>250.03283068588925</v>
      </c>
      <c r="BH42" s="62">
        <f t="shared" si="8"/>
        <v>543.36616401922254</v>
      </c>
      <c r="BI42" s="62">
        <f ca="1">AVERAGE(OFFSET($BH$3,0,0,'Données projet'!$E$11+1,1))-AVERAGE(OFFSET($H$3,0,0,'Données projet'!$E$11+1,1))</f>
        <v>284.72381074796073</v>
      </c>
      <c r="BJ42" s="62">
        <f t="shared" si="38"/>
        <v>190.4880882944471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5.4791666666666652</v>
      </c>
      <c r="BY42" s="13">
        <f>IF('Données projet'!$A$114&gt;35,BY41+BX42-CG41,IF(A42&lt;'Données projet'!$A$114,$BV$205^A42,IF(A42='Données projet'!$A$114,'Données projet'!$B$114,BY41+BX42-CG41)))</f>
        <v>124.6586538461539</v>
      </c>
      <c r="BZ42" s="14">
        <f>BY42*VLOOKUP('Données projet'!$B$12,Paramètres!$A$1:$I$89,3,0)*VLOOKUP('Données projet'!$B$12,Paramètres!$A$1:$I$89,5,0)</f>
        <v>126.40387500000006</v>
      </c>
      <c r="CA42" s="14">
        <f t="shared" si="39"/>
        <v>33.164048644468131</v>
      </c>
      <c r="CB42" s="22">
        <f t="shared" si="10"/>
        <v>277.91413368078207</v>
      </c>
      <c r="CC42" s="62">
        <f t="shared" si="11"/>
        <v>571.24746701411539</v>
      </c>
      <c r="CD42" s="62">
        <f ca="1">AVERAGE(OFFSET($CC$3,0,0,'Données projet'!$E$12+1,1))-AVERAGE(OFFSET($H$3,0,0,'Données projet'!$E$12+1,1))</f>
        <v>496.71400086768705</v>
      </c>
      <c r="CE42" s="62">
        <f t="shared" si="40"/>
        <v>206.75063396134982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5.4791666666666652</v>
      </c>
      <c r="CT42" s="13">
        <f>IF('Données projet'!$A$140&gt;35,CT41+CS42-DB41,IF(A42&lt;'Données projet'!$A$140,$CQ$205^A42,IF(A42='Données projet'!$A$140,'Données projet'!$B$140,CT41+CS42-DB41)))</f>
        <v>124.6586538461539</v>
      </c>
      <c r="CU42" s="18">
        <f>CT42*VLOOKUP('Données projet'!$B$13,Paramètres!$A$1:$I$89,3,0)*VLOOKUP('Données projet'!$B$13,Paramètres!$A$1:$I$89,5,0)</f>
        <v>134.18257500000007</v>
      </c>
      <c r="CV42" s="14">
        <f t="shared" si="41"/>
        <v>34.961041195386052</v>
      </c>
      <c r="CW42" s="22">
        <f t="shared" si="13"/>
        <v>294.59179820696414</v>
      </c>
      <c r="CX42" s="62">
        <f t="shared" si="14"/>
        <v>587.92513154029746</v>
      </c>
      <c r="CY42" s="62">
        <f ca="1">AVERAGE(OFFSET($CX$3,0,0,'Données projet'!$E$13+1,1))-AVERAGE(OFFSET($H$3,0,0,'Données projet'!$E$13+1,1))</f>
        <v>524.55238798353344</v>
      </c>
      <c r="CZ42" s="62">
        <f t="shared" si="42"/>
        <v>216.94512104983255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13.141346153846158</v>
      </c>
      <c r="N43" s="14">
        <f>IF('Données projet'!$A$36&gt;35,N42+M43-V42,IF(A43&lt;'Données projet'!$A$36,$K$205^A43,IF(A43='Données projet'!$A$36,'Données projet'!$B$36,N42+M43-V42)))</f>
        <v>250.58846153846144</v>
      </c>
      <c r="O43" s="14">
        <f>N43*VLOOKUP('Données projet'!$B$9,Paramètres!$A$1:$I$89,3,0)*VLOOKUP('Données projet'!$B$9,Paramètres!$A$1:$I$89,5,0)</f>
        <v>149.85189999999997</v>
      </c>
      <c r="P43" s="14">
        <f t="shared" si="33"/>
        <v>38.544927429723273</v>
      </c>
      <c r="Q43" s="22">
        <f t="shared" si="53"/>
        <v>328.12447444010132</v>
      </c>
      <c r="R43" s="62">
        <f t="shared" si="0"/>
        <v>621.45780777343464</v>
      </c>
      <c r="S43" s="62">
        <f ca="1">AVERAGE(OFFSET($R$3,0,0,'Données projet'!$E$9+1,1))-AVERAGE(OFFSET($H$3,0,0,'Données projet'!$E$9+1,1))</f>
        <v>260.01925143568263</v>
      </c>
      <c r="T43" s="62">
        <f t="shared" si="34"/>
        <v>269.95358755269427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12.74038461538462</v>
      </c>
      <c r="AI43" s="14">
        <f>IF('Données projet'!$A$62&gt;35,AI42+AH43-AQ42,IF(A43&lt;'Données projet'!$A$62,$AF$205^A43,IF(A43='Données projet'!$A$62,'Données projet'!$B$62,AI42+AH43-AQ42)))</f>
        <v>230.07499999999996</v>
      </c>
      <c r="AJ43" s="14">
        <f>AI43*VLOOKUP('Données projet'!$B$10,Paramètres!$A$1:$I$89,3,0)*VLOOKUP('Données projet'!$B$10,Paramètres!$A$1:$I$89,5,0)</f>
        <v>137.58484999999999</v>
      </c>
      <c r="AK43" s="14">
        <f t="shared" si="35"/>
        <v>35.743169448737028</v>
      </c>
      <c r="AL43" s="22">
        <f t="shared" si="4"/>
        <v>301.87963387321696</v>
      </c>
      <c r="AM43" s="62">
        <f t="shared" si="5"/>
        <v>595.21296720655027</v>
      </c>
      <c r="AN43" s="62">
        <f ca="1">AVERAGE(OFFSET($AM$3,0,0,'Données projet'!$E$10+1,1))-AVERAGE(OFFSET($H$3,0,0,'Données projet'!$E$10+1,1))</f>
        <v>289.24721145176682</v>
      </c>
      <c r="AO43" s="62">
        <f t="shared" si="36"/>
        <v>229.06617320689003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11.334615384615381</v>
      </c>
      <c r="BD43" s="13">
        <f>IF('Données projet'!$A$88&gt;35,BD42+BC43-BL42,IF(A43&lt;'Données projet'!$A$88,$BA$205^A43,IF(A43='Données projet'!$A$88,'Données projet'!$B$88,BD42+BC43-BL42)))</f>
        <v>253.69230769230768</v>
      </c>
      <c r="BE43" s="14">
        <f>BD43*VLOOKUP('Données projet'!$B$11,Paramètres!$A$1:$I$89,3,0)*VLOOKUP('Données projet'!$B$11,Paramètres!$A$1:$I$89,5,0)</f>
        <v>118.72799999999999</v>
      </c>
      <c r="BF43" s="14">
        <f t="shared" si="37"/>
        <v>31.378142433125294</v>
      </c>
      <c r="BG43" s="22">
        <f t="shared" si="7"/>
        <v>261.4348647376932</v>
      </c>
      <c r="BH43" s="62">
        <f t="shared" si="8"/>
        <v>554.76819807102652</v>
      </c>
      <c r="BI43" s="62">
        <f ca="1">AVERAGE(OFFSET($BH$3,0,0,'Données projet'!$E$11+1,1))-AVERAGE(OFFSET($H$3,0,0,'Données projet'!$E$11+1,1))</f>
        <v>284.72381074796073</v>
      </c>
      <c r="BJ43" s="62">
        <f t="shared" si="38"/>
        <v>190.4880882944471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5.4791666666666652</v>
      </c>
      <c r="BY43" s="13">
        <f>IF('Données projet'!$A$114&gt;35,BY42+BX43-CG42,IF(A43&lt;'Données projet'!$A$114,$BV$205^A43,IF(A43='Données projet'!$A$114,'Données projet'!$B$114,BY42+BX43-CG42)))</f>
        <v>130.13782051282055</v>
      </c>
      <c r="BZ43" s="14">
        <f>BY43*VLOOKUP('Données projet'!$B$12,Paramètres!$A$1:$I$89,3,0)*VLOOKUP('Données projet'!$B$12,Paramètres!$A$1:$I$89,5,0)</f>
        <v>131.95975000000004</v>
      </c>
      <c r="CA43" s="14">
        <f t="shared" si="39"/>
        <v>34.448804922347492</v>
      </c>
      <c r="CB43" s="22">
        <f t="shared" si="10"/>
        <v>289.82823315642196</v>
      </c>
      <c r="CC43" s="62">
        <f t="shared" si="11"/>
        <v>583.16156648975527</v>
      </c>
      <c r="CD43" s="62">
        <f ca="1">AVERAGE(OFFSET($CC$3,0,0,'Données projet'!$E$12+1,1))-AVERAGE(OFFSET($H$3,0,0,'Données projet'!$E$12+1,1))</f>
        <v>496.71400086768705</v>
      </c>
      <c r="CE43" s="62">
        <f t="shared" si="40"/>
        <v>206.75063396134982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5.4791666666666652</v>
      </c>
      <c r="CT43" s="13">
        <f>IF('Données projet'!$A$140&gt;35,CT42+CS43-DB42,IF(A43&lt;'Données projet'!$A$140,$CQ$205^A43,IF(A43='Données projet'!$A$140,'Données projet'!$B$140,CT42+CS43-DB42)))</f>
        <v>130.13782051282055</v>
      </c>
      <c r="CU43" s="18">
        <f>CT43*VLOOKUP('Données projet'!$B$13,Paramètres!$A$1:$I$89,3,0)*VLOOKUP('Données projet'!$B$13,Paramètres!$A$1:$I$89,5,0)</f>
        <v>140.08035000000004</v>
      </c>
      <c r="CV43" s="14">
        <f t="shared" si="41"/>
        <v>36.315411936983168</v>
      </c>
      <c r="CW43" s="22">
        <f t="shared" si="13"/>
        <v>307.22261870691239</v>
      </c>
      <c r="CX43" s="62">
        <f t="shared" si="14"/>
        <v>600.55595204024576</v>
      </c>
      <c r="CY43" s="62">
        <f ca="1">AVERAGE(OFFSET($CX$3,0,0,'Données projet'!$E$13+1,1))-AVERAGE(OFFSET($H$3,0,0,'Données projet'!$E$13+1,1))</f>
        <v>524.55238798353344</v>
      </c>
      <c r="CZ43" s="62">
        <f t="shared" si="42"/>
        <v>216.94512104983255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13.141346153846158</v>
      </c>
      <c r="N44" s="14">
        <f>IF('Données projet'!$A$36&gt;35,N43+M44-V43,IF(A44&lt;'Données projet'!$A$36,$K$205^A44,IF(A44='Données projet'!$A$36,'Données projet'!$B$36,N43+M44-V43)))</f>
        <v>263.72980769230759</v>
      </c>
      <c r="O44" s="14">
        <f>N44*VLOOKUP('Données projet'!$B$9,Paramètres!$A$1:$I$89,3,0)*VLOOKUP('Données projet'!$B$9,Paramètres!$A$1:$I$89,5,0)</f>
        <v>157.71042499999996</v>
      </c>
      <c r="P44" s="14">
        <f t="shared" si="33"/>
        <v>40.325662975074472</v>
      </c>
      <c r="Q44" s="22">
        <f t="shared" si="53"/>
        <v>344.91285322325461</v>
      </c>
      <c r="R44" s="62">
        <f t="shared" si="0"/>
        <v>638.24618655658787</v>
      </c>
      <c r="S44" s="62">
        <f ca="1">AVERAGE(OFFSET($R$3,0,0,'Données projet'!$E$9+1,1))-AVERAGE(OFFSET($H$3,0,0,'Données projet'!$E$9+1,1))</f>
        <v>260.01925143568263</v>
      </c>
      <c r="T44" s="62">
        <f t="shared" si="34"/>
        <v>269.95358755269427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>
        <f>VLOOKUP(A44,'Données projet'!$A$61:$I$81,2,0)</f>
        <v>242.81538461538463</v>
      </c>
      <c r="AG44" s="13">
        <f>VLOOKUP(A44,'Données projet'!$A$61:$I$81,9,0)</f>
        <v>12.74038461538462</v>
      </c>
      <c r="AH44" s="13">
        <f t="array" ref="AH44">INDEX(AG:AG,MIN(IF(ISNUMBER(AG44:AG240),ROW(AG44:AG240),"")))</f>
        <v>12.74038461538462</v>
      </c>
      <c r="AI44" s="14">
        <f>IF('Données projet'!$A$62&gt;35,AI43+AH44-AQ43,IF(A44&lt;'Données projet'!$A$62,$AF$205^A44,IF(A44='Données projet'!$A$62,'Données projet'!$B$62,AI43+AH44-AQ43)))</f>
        <v>242.81538461538457</v>
      </c>
      <c r="AJ44" s="14">
        <f>AI44*VLOOKUP('Données projet'!$B$10,Paramètres!$A$1:$I$89,3,0)*VLOOKUP('Données projet'!$B$10,Paramètres!$A$1:$I$89,5,0)</f>
        <v>145.20359999999999</v>
      </c>
      <c r="AK44" s="14">
        <f t="shared" si="35"/>
        <v>37.4865334633907</v>
      </c>
      <c r="AL44" s="22">
        <f t="shared" si="4"/>
        <v>318.18531578207211</v>
      </c>
      <c r="AM44" s="62">
        <f t="shared" si="5"/>
        <v>611.51864911540542</v>
      </c>
      <c r="AN44" s="62">
        <f ca="1">AVERAGE(OFFSET($AM$3,0,0,'Données projet'!$E$10+1,1))-AVERAGE(OFFSET($H$3,0,0,'Données projet'!$E$10+1,1))</f>
        <v>289.24721145176682</v>
      </c>
      <c r="AO44" s="62">
        <f t="shared" si="36"/>
        <v>229.06617320689003</v>
      </c>
      <c r="AP44" s="16">
        <f>IF(ISNA(VLOOKUP(A44,'Données projet'!$A$61:$I$81,3,0)),0,VLOOKUP(A44,'Données projet'!$A$61:$I$81,3,0))</f>
        <v>4</v>
      </c>
      <c r="AQ44" s="16">
        <f>IF(ISNA(VLOOKUP(A44,'Données projet'!$A$61:$I$81,4,0)),0,VLOOKUP(A44,'Données projet'!$A$61:$I$81,4,0))</f>
        <v>58.484615384615381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11.334615384615381</v>
      </c>
      <c r="BD44" s="13">
        <f>IF('Données projet'!$A$88&gt;35,BD43+BC44-BL43,IF(A44&lt;'Données projet'!$A$88,$BA$205^A44,IF(A44='Données projet'!$A$88,'Données projet'!$B$88,BD43+BC44-BL43)))</f>
        <v>265.02692307692308</v>
      </c>
      <c r="BE44" s="14">
        <f>BD44*VLOOKUP('Données projet'!$B$11,Paramètres!$A$1:$I$89,3,0)*VLOOKUP('Données projet'!$B$11,Paramètres!$A$1:$I$89,5,0)</f>
        <v>124.0326</v>
      </c>
      <c r="BF44" s="14">
        <f t="shared" si="37"/>
        <v>32.613720110749753</v>
      </c>
      <c r="BG44" s="22">
        <f t="shared" si="7"/>
        <v>272.8256741928891</v>
      </c>
      <c r="BH44" s="62">
        <f t="shared" si="8"/>
        <v>566.15900752622247</v>
      </c>
      <c r="BI44" s="62">
        <f ca="1">AVERAGE(OFFSET($BH$3,0,0,'Données projet'!$E$11+1,1))-AVERAGE(OFFSET($H$3,0,0,'Données projet'!$E$11+1,1))</f>
        <v>284.72381074796073</v>
      </c>
      <c r="BJ44" s="62">
        <f t="shared" si="38"/>
        <v>190.4880882944471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5.4791666666666652</v>
      </c>
      <c r="BY44" s="13">
        <f>IF('Données projet'!$A$114&gt;35,BY43+BX44-CG43,IF(A44&lt;'Données projet'!$A$114,$BV$205^A44,IF(A44='Données projet'!$A$114,'Données projet'!$B$114,BY43+BX44-CG43)))</f>
        <v>135.61698717948721</v>
      </c>
      <c r="BZ44" s="14">
        <f>BY44*VLOOKUP('Données projet'!$B$12,Paramètres!$A$1:$I$89,3,0)*VLOOKUP('Données projet'!$B$12,Paramètres!$A$1:$I$89,5,0)</f>
        <v>137.51562500000003</v>
      </c>
      <c r="CA44" s="14">
        <f t="shared" si="39"/>
        <v>35.727278353275508</v>
      </c>
      <c r="CB44" s="22">
        <f t="shared" si="10"/>
        <v>301.73139000695488</v>
      </c>
      <c r="CC44" s="62">
        <f t="shared" si="11"/>
        <v>595.0647233402882</v>
      </c>
      <c r="CD44" s="62">
        <f ca="1">AVERAGE(OFFSET($CC$3,0,0,'Données projet'!$E$12+1,1))-AVERAGE(OFFSET($H$3,0,0,'Données projet'!$E$12+1,1))</f>
        <v>496.71400086768705</v>
      </c>
      <c r="CE44" s="62">
        <f t="shared" si="40"/>
        <v>206.75063396134982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5.4791666666666652</v>
      </c>
      <c r="CT44" s="13">
        <f>IF('Données projet'!$A$140&gt;35,CT43+CS44-DB43,IF(A44&lt;'Données projet'!$A$140,$CQ$205^A44,IF(A44='Données projet'!$A$140,'Données projet'!$B$140,CT43+CS44-DB43)))</f>
        <v>135.61698717948721</v>
      </c>
      <c r="CU44" s="18">
        <f>CT44*VLOOKUP('Données projet'!$B$13,Paramètres!$A$1:$I$89,3,0)*VLOOKUP('Données projet'!$B$13,Paramètres!$A$1:$I$89,5,0)</f>
        <v>145.97812500000003</v>
      </c>
      <c r="CV44" s="14">
        <f t="shared" si="41"/>
        <v>37.66315939583685</v>
      </c>
      <c r="CW44" s="22">
        <f t="shared" si="13"/>
        <v>319.84190365608259</v>
      </c>
      <c r="CX44" s="62">
        <f t="shared" si="14"/>
        <v>613.17523698941591</v>
      </c>
      <c r="CY44" s="62">
        <f ca="1">AVERAGE(OFFSET($CX$3,0,0,'Données projet'!$E$13+1,1))-AVERAGE(OFFSET($H$3,0,0,'Données projet'!$E$13+1,1))</f>
        <v>524.55238798353344</v>
      </c>
      <c r="CZ44" s="62">
        <f t="shared" si="42"/>
        <v>216.94512104983255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13.141346153846158</v>
      </c>
      <c r="N45" s="14">
        <f>IF('Données projet'!$A$36&gt;35,N44+M45-V44,IF(A45&lt;'Données projet'!$A$36,$K$205^A45,IF(A45='Données projet'!$A$36,'Données projet'!$B$36,N44+M45-V44)))</f>
        <v>276.87115384615373</v>
      </c>
      <c r="O45" s="14">
        <f>N45*VLOOKUP('Données projet'!$B$9,Paramètres!$A$1:$I$89,3,0)*VLOOKUP('Données projet'!$B$9,Paramètres!$A$1:$I$89,5,0)</f>
        <v>165.56894999999994</v>
      </c>
      <c r="P45" s="14">
        <f t="shared" si="33"/>
        <v>42.096095514085782</v>
      </c>
      <c r="Q45" s="22">
        <f t="shared" si="53"/>
        <v>361.68328760369928</v>
      </c>
      <c r="R45" s="62">
        <f t="shared" si="0"/>
        <v>655.0166209370326</v>
      </c>
      <c r="S45" s="62">
        <f ca="1">AVERAGE(OFFSET($R$3,0,0,'Données projet'!$E$9+1,1))-AVERAGE(OFFSET($H$3,0,0,'Données projet'!$E$9+1,1))</f>
        <v>260.01925143568263</v>
      </c>
      <c r="T45" s="62">
        <f t="shared" si="34"/>
        <v>269.95358755269427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11.861538461538462</v>
      </c>
      <c r="AI45" s="14">
        <f>IF('Données projet'!$A$62&gt;35,AI44+AH45-AQ44,IF(A45&lt;'Données projet'!$A$62,$AF$205^A45,IF(A45='Données projet'!$A$62,'Données projet'!$B$62,AI44+AH45-AQ44)))</f>
        <v>196.19230769230765</v>
      </c>
      <c r="AJ45" s="14">
        <f>AI45*VLOOKUP('Données projet'!$B$10,Paramètres!$A$1:$I$89,3,0)*VLOOKUP('Données projet'!$B$10,Paramètres!$A$1:$I$89,5,0)</f>
        <v>117.32299999999999</v>
      </c>
      <c r="AK45" s="14">
        <f t="shared" si="35"/>
        <v>31.049815552357138</v>
      </c>
      <c r="AL45" s="22">
        <f t="shared" si="4"/>
        <v>258.41598708702196</v>
      </c>
      <c r="AM45" s="62">
        <f t="shared" si="5"/>
        <v>551.74932042035528</v>
      </c>
      <c r="AN45" s="62">
        <f ca="1">AVERAGE(OFFSET($AM$3,0,0,'Données projet'!$E$10+1,1))-AVERAGE(OFFSET($H$3,0,0,'Données projet'!$E$10+1,1))</f>
        <v>289.24721145176682</v>
      </c>
      <c r="AO45" s="62">
        <f t="shared" si="36"/>
        <v>229.06617320689003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276.36153846153843</v>
      </c>
      <c r="BB45" s="13">
        <f>VLOOKUP(A45,'Données projet'!$A$87:$I$107,9,0)</f>
        <v>11.334615384615381</v>
      </c>
      <c r="BC45" s="13">
        <f t="array" ref="BC45">INDEX(BB:BB,MIN(IF(ISNUMBER(BB45:BB241),ROW(BB45:BB241),"")))</f>
        <v>11.334615384615381</v>
      </c>
      <c r="BD45" s="13">
        <f>IF('Données projet'!$A$88&gt;35,BD44+BC45-BL44,IF(A45&lt;'Données projet'!$A$88,$BA$205^A45,IF(A45='Données projet'!$A$88,'Données projet'!$B$88,BD44+BC45-BL44)))</f>
        <v>276.36153846153849</v>
      </c>
      <c r="BE45" s="14">
        <f>BD45*VLOOKUP('Données projet'!$B$11,Paramètres!$A$1:$I$89,3,0)*VLOOKUP('Données projet'!$B$11,Paramètres!$A$1:$I$89,5,0)</f>
        <v>129.3372</v>
      </c>
      <c r="BF45" s="14">
        <f t="shared" si="37"/>
        <v>33.843160180835291</v>
      </c>
      <c r="BG45" s="22">
        <f t="shared" si="7"/>
        <v>284.20579398162147</v>
      </c>
      <c r="BH45" s="62">
        <f t="shared" si="8"/>
        <v>577.53912731495484</v>
      </c>
      <c r="BI45" s="62">
        <f ca="1">AVERAGE(OFFSET($BH$3,0,0,'Données projet'!$E$11+1,1))-AVERAGE(OFFSET($H$3,0,0,'Données projet'!$E$11+1,1))</f>
        <v>284.72381074796073</v>
      </c>
      <c r="BJ45" s="62">
        <f t="shared" si="38"/>
        <v>190.4880882944471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141.09615384615384</v>
      </c>
      <c r="BW45" s="13">
        <f>VLOOKUP(A45,'Données projet'!$A$113:$I$133,9,0)</f>
        <v>5.4791666666666652</v>
      </c>
      <c r="BX45" s="13">
        <f t="array" ref="BX45">INDEX(BW:BW,MIN(IF(ISNUMBER(BW45:BW241),ROW(BW45:BW241),"")))</f>
        <v>5.4791666666666652</v>
      </c>
      <c r="BY45" s="13">
        <f>IF('Données projet'!$A$114&gt;35,BY44+BX45-CG44,IF(A45&lt;'Données projet'!$A$114,$BV$205^A45,IF(A45='Données projet'!$A$114,'Données projet'!$B$114,BY44+BX45-CG44)))</f>
        <v>141.09615384615387</v>
      </c>
      <c r="BZ45" s="14">
        <f>BY45*VLOOKUP('Données projet'!$B$12,Paramètres!$A$1:$I$89,3,0)*VLOOKUP('Données projet'!$B$12,Paramètres!$A$1:$I$89,5,0)</f>
        <v>143.07150000000004</v>
      </c>
      <c r="CA45" s="14">
        <f t="shared" si="39"/>
        <v>36.999751813721012</v>
      </c>
      <c r="CB45" s="22">
        <f t="shared" si="10"/>
        <v>313.62409690889746</v>
      </c>
      <c r="CC45" s="62">
        <f t="shared" si="11"/>
        <v>606.95743024223077</v>
      </c>
      <c r="CD45" s="62">
        <f ca="1">AVERAGE(OFFSET($CC$3,0,0,'Données projet'!$E$12+1,1))-AVERAGE(OFFSET($H$3,0,0,'Données projet'!$E$12+1,1))</f>
        <v>496.71400086768705</v>
      </c>
      <c r="CE45" s="62">
        <f t="shared" si="40"/>
        <v>206.75063396134982</v>
      </c>
      <c r="CF45" s="16">
        <f>IF(ISNA(VLOOKUP(A45,'Données projet'!$A$113:$I$133,3,0)),0,VLOOKUP(A45,'Données projet'!$A$113:$I$133,3,0))</f>
        <v>1</v>
      </c>
      <c r="CG45" s="16">
        <f>IF(ISNA(VLOOKUP(A45,'Données projet'!$A$113:$I$133,4,0)),0,VLOOKUP(A45,'Données projet'!$A$113:$I$133,4,0))</f>
        <v>38.685897435897438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141.09615384615384</v>
      </c>
      <c r="CR45" s="13">
        <f>VLOOKUP(A45,'Données projet'!$A$139:$I$159,9,0)</f>
        <v>5.4791666666666652</v>
      </c>
      <c r="CS45" s="13">
        <f t="array" ref="CS45">INDEX(CR:CR,MIN(IF(ISNUMBER(CR45:CR241),ROW(CR45:CR241),"")))</f>
        <v>5.4791666666666652</v>
      </c>
      <c r="CT45" s="13">
        <f>IF('Données projet'!$A$140&gt;35,CT44+CS45-DB44,IF(A45&lt;'Données projet'!$A$140,$CQ$205^A45,IF(A45='Données projet'!$A$140,'Données projet'!$B$140,CT44+CS45-DB44)))</f>
        <v>141.09615384615387</v>
      </c>
      <c r="CU45" s="18">
        <f>CT45*VLOOKUP('Données projet'!$B$13,Paramètres!$A$1:$I$89,3,0)*VLOOKUP('Données projet'!$B$13,Paramètres!$A$1:$I$89,5,0)</f>
        <v>151.87590000000003</v>
      </c>
      <c r="CV45" s="14">
        <f t="shared" si="41"/>
        <v>39.004581776065159</v>
      </c>
      <c r="CW45" s="22">
        <f t="shared" si="13"/>
        <v>332.45017242664682</v>
      </c>
      <c r="CX45" s="62">
        <f t="shared" si="14"/>
        <v>625.78350575998013</v>
      </c>
      <c r="CY45" s="62">
        <f ca="1">AVERAGE(OFFSET($CX$3,0,0,'Données projet'!$E$13+1,1))-AVERAGE(OFFSET($H$3,0,0,'Données projet'!$E$13+1,1))</f>
        <v>524.55238798353344</v>
      </c>
      <c r="CZ45" s="62">
        <f t="shared" si="42"/>
        <v>216.94512104983255</v>
      </c>
      <c r="DA45" s="16">
        <f>IF(ISNA(VLOOKUP(A45,'Données projet'!$A$139:$I$159,3,0)),0,VLOOKUP(A45,'Données projet'!$A$139:$I$159,3,0))</f>
        <v>1</v>
      </c>
      <c r="DB45" s="16">
        <f>IF(ISNA(VLOOKUP(A45,'Données projet'!$A$139:$I$159,4,0)),0,VLOOKUP(A45,'Données projet'!$A$139:$I$159,4,0))</f>
        <v>38.685897435897438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13.141346153846158</v>
      </c>
      <c r="N46" s="14">
        <f>IF('Données projet'!$A$36&gt;35,N45+M46-V45,IF(A46&lt;'Données projet'!$A$36,$K$205^A46,IF(A46='Données projet'!$A$36,'Données projet'!$B$36,N45+M46-V45)))</f>
        <v>290.01249999999987</v>
      </c>
      <c r="O46" s="14">
        <f>N46*VLOOKUP('Données projet'!$B$9,Paramètres!$A$1:$I$89,3,0)*VLOOKUP('Données projet'!$B$9,Paramètres!$A$1:$I$89,5,0)</f>
        <v>173.42747499999996</v>
      </c>
      <c r="P46" s="14">
        <f t="shared" si="33"/>
        <v>43.856769901180428</v>
      </c>
      <c r="Q46" s="22">
        <f t="shared" si="53"/>
        <v>378.43672653622247</v>
      </c>
      <c r="R46" s="62">
        <f t="shared" si="0"/>
        <v>671.77005986955578</v>
      </c>
      <c r="S46" s="62">
        <f ca="1">AVERAGE(OFFSET($R$3,0,0,'Données projet'!$E$9+1,1))-AVERAGE(OFFSET($H$3,0,0,'Données projet'!$E$9+1,1))</f>
        <v>260.01925143568263</v>
      </c>
      <c r="T46" s="62">
        <f t="shared" si="34"/>
        <v>269.95358755269427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11.861538461538462</v>
      </c>
      <c r="AI46" s="14">
        <f>IF('Données projet'!$A$62&gt;35,AI45+AH46-AQ45,IF(A46&lt;'Données projet'!$A$62,$AF$205^A46,IF(A46='Données projet'!$A$62,'Données projet'!$B$62,AI45+AH46-AQ45)))</f>
        <v>208.05384615384611</v>
      </c>
      <c r="AJ46" s="14">
        <f>AI46*VLOOKUP('Données projet'!$B$10,Paramètres!$A$1:$I$89,3,0)*VLOOKUP('Données projet'!$B$10,Paramètres!$A$1:$I$89,5,0)</f>
        <v>124.41619999999999</v>
      </c>
      <c r="AK46" s="14">
        <f t="shared" si="35"/>
        <v>32.702828934083335</v>
      </c>
      <c r="AL46" s="22">
        <f t="shared" si="4"/>
        <v>273.64897539352847</v>
      </c>
      <c r="AM46" s="62">
        <f t="shared" si="5"/>
        <v>566.98230872686179</v>
      </c>
      <c r="AN46" s="62">
        <f ca="1">AVERAGE(OFFSET($AM$3,0,0,'Données projet'!$E$10+1,1))-AVERAGE(OFFSET($H$3,0,0,'Données projet'!$E$10+1,1))</f>
        <v>289.24721145176682</v>
      </c>
      <c r="AO46" s="62">
        <f t="shared" si="36"/>
        <v>229.06617320689003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12.053846153846152</v>
      </c>
      <c r="BD46" s="13">
        <f>IF('Données projet'!$A$88&gt;35,BD45+BC46-BL45,IF(A46&lt;'Données projet'!$A$88,$BA$205^A46,IF(A46='Données projet'!$A$88,'Données projet'!$B$88,BD45+BC46-BL45)))</f>
        <v>288.41538461538465</v>
      </c>
      <c r="BE46" s="14">
        <f>BD46*VLOOKUP('Données projet'!$B$11,Paramètres!$A$1:$I$89,3,0)*VLOOKUP('Données projet'!$B$11,Paramètres!$A$1:$I$89,5,0)</f>
        <v>134.97840000000002</v>
      </c>
      <c r="BF46" s="14">
        <f t="shared" si="37"/>
        <v>35.144193301086773</v>
      </c>
      <c r="BG46" s="22">
        <f t="shared" si="7"/>
        <v>296.2968499993928</v>
      </c>
      <c r="BH46" s="62">
        <f t="shared" si="8"/>
        <v>589.63018333272612</v>
      </c>
      <c r="BI46" s="62">
        <f ca="1">AVERAGE(OFFSET($BH$3,0,0,'Données projet'!$E$11+1,1))-AVERAGE(OFFSET($H$3,0,0,'Données projet'!$E$11+1,1))</f>
        <v>284.72381074796073</v>
      </c>
      <c r="BJ46" s="62">
        <f t="shared" si="38"/>
        <v>190.4880882944471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7.1434294871794854</v>
      </c>
      <c r="BY46" s="13">
        <f>IF('Données projet'!$A$114&gt;35,BY45+BX46-CG45,IF(A46&lt;'Données projet'!$A$114,$BV$205^A46,IF(A46='Données projet'!$A$114,'Données projet'!$B$114,BY45+BX46-CG45)))</f>
        <v>109.55368589743591</v>
      </c>
      <c r="BZ46" s="14">
        <f>BY46*VLOOKUP('Données projet'!$B$12,Paramètres!$A$1:$I$89,3,0)*VLOOKUP('Données projet'!$B$12,Paramètres!$A$1:$I$89,5,0)</f>
        <v>111.08743750000002</v>
      </c>
      <c r="CA46" s="14">
        <f t="shared" si="39"/>
        <v>29.587046458185583</v>
      </c>
      <c r="CB46" s="22">
        <f t="shared" si="10"/>
        <v>245.00805956050655</v>
      </c>
      <c r="CC46" s="62">
        <f t="shared" si="11"/>
        <v>538.34139289383984</v>
      </c>
      <c r="CD46" s="62">
        <f ca="1">AVERAGE(OFFSET($CC$3,0,0,'Données projet'!$E$12+1,1))-AVERAGE(OFFSET($H$3,0,0,'Données projet'!$E$12+1,1))</f>
        <v>496.71400086768705</v>
      </c>
      <c r="CE46" s="62">
        <f t="shared" si="40"/>
        <v>206.75063396134982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7.1434294871794854</v>
      </c>
      <c r="CT46" s="13">
        <f>IF('Données projet'!$A$140&gt;35,CT45+CS46-DB45,IF(A46&lt;'Données projet'!$A$140,$CQ$205^A46,IF(A46='Données projet'!$A$140,'Données projet'!$B$140,CT45+CS46-DB45)))</f>
        <v>109.55368589743591</v>
      </c>
      <c r="CU46" s="18">
        <f>CT46*VLOOKUP('Données projet'!$B$13,Paramètres!$A$1:$I$89,3,0)*VLOOKUP('Données projet'!$B$13,Paramètres!$A$1:$I$89,5,0)</f>
        <v>117.92358750000001</v>
      </c>
      <c r="CV46" s="14">
        <f t="shared" si="41"/>
        <v>31.190219299324514</v>
      </c>
      <c r="CW46" s="22">
        <f t="shared" si="13"/>
        <v>259.70654684215691</v>
      </c>
      <c r="CX46" s="62">
        <f t="shared" si="14"/>
        <v>553.03988017549023</v>
      </c>
      <c r="CY46" s="62">
        <f ca="1">AVERAGE(OFFSET($CX$3,0,0,'Données projet'!$E$13+1,1))-AVERAGE(OFFSET($H$3,0,0,'Données projet'!$E$13+1,1))</f>
        <v>524.55238798353344</v>
      </c>
      <c r="CZ46" s="62">
        <f t="shared" si="42"/>
        <v>216.94512104983255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303.15384615384619</v>
      </c>
      <c r="L47" s="13">
        <f>VLOOKUP(A47,'Données projet'!$A$35:$I$55,9,0)</f>
        <v>13.141346153846158</v>
      </c>
      <c r="M47" s="13">
        <f t="array" ref="M47">INDEX(L:L,MIN(IF(ISNUMBER(L47:L243),ROW(L47:L243),"")))</f>
        <v>13.141346153846158</v>
      </c>
      <c r="N47" s="14">
        <f>IF('Données projet'!$A$36&gt;35,N46+M47-V46,IF(A47&lt;'Données projet'!$A$36,$K$205^A47,IF(A47='Données projet'!$A$36,'Données projet'!$B$36,N46+M47-V46)))</f>
        <v>303.15384615384602</v>
      </c>
      <c r="O47" s="14">
        <f>N47*VLOOKUP('Données projet'!$B$9,Paramètres!$A$1:$I$89,3,0)*VLOOKUP('Données projet'!$B$9,Paramètres!$A$1:$I$89,5,0)</f>
        <v>181.28599999999992</v>
      </c>
      <c r="P47" s="14">
        <f t="shared" si="33"/>
        <v>45.608178821536583</v>
      </c>
      <c r="Q47" s="22">
        <f t="shared" si="53"/>
        <v>395.17402811417605</v>
      </c>
      <c r="R47" s="62">
        <f t="shared" si="0"/>
        <v>688.50736144750931</v>
      </c>
      <c r="S47" s="62">
        <f ca="1">AVERAGE(OFFSET($R$3,0,0,'Données projet'!$E$9+1,1))-AVERAGE(OFFSET($H$3,0,0,'Données projet'!$E$9+1,1))</f>
        <v>260.01925143568263</v>
      </c>
      <c r="T47" s="62">
        <f t="shared" si="34"/>
        <v>269.95358755269427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64.476923076923072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11.861538461538462</v>
      </c>
      <c r="AI47" s="14">
        <f>IF('Données projet'!$A$62&gt;35,AI46+AH47-AQ46,IF(A47&lt;'Données projet'!$A$62,$AF$205^A47,IF(A47='Données projet'!$A$62,'Données projet'!$B$62,AI46+AH47-AQ46)))</f>
        <v>219.91538461538457</v>
      </c>
      <c r="AJ47" s="14">
        <f>AI47*VLOOKUP('Données projet'!$B$10,Paramètres!$A$1:$I$89,3,0)*VLOOKUP('Données projet'!$B$10,Paramètres!$A$1:$I$89,5,0)</f>
        <v>131.50939999999997</v>
      </c>
      <c r="AK47" s="14">
        <f t="shared" si="35"/>
        <v>34.344902681781569</v>
      </c>
      <c r="AL47" s="22">
        <f t="shared" si="4"/>
        <v>288.86291050410284</v>
      </c>
      <c r="AM47" s="62">
        <f t="shared" si="5"/>
        <v>582.19624383743621</v>
      </c>
      <c r="AN47" s="62">
        <f ca="1">AVERAGE(OFFSET($AM$3,0,0,'Données projet'!$E$10+1,1))-AVERAGE(OFFSET($H$3,0,0,'Données projet'!$E$10+1,1))</f>
        <v>289.24721145176682</v>
      </c>
      <c r="AO47" s="62">
        <f t="shared" si="36"/>
        <v>229.06617320689003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12.053846153846152</v>
      </c>
      <c r="BD47" s="13">
        <f>IF('Données projet'!$A$88&gt;35,BD46+BC47-BL46,IF(A47&lt;'Données projet'!$A$88,$BA$205^A47,IF(A47='Données projet'!$A$88,'Données projet'!$B$88,BD46+BC47-BL46)))</f>
        <v>300.46923076923082</v>
      </c>
      <c r="BE47" s="14">
        <f>BD47*VLOOKUP('Données projet'!$B$11,Paramètres!$A$1:$I$89,3,0)*VLOOKUP('Données projet'!$B$11,Paramètres!$A$1:$I$89,5,0)</f>
        <v>140.61960000000002</v>
      </c>
      <c r="BF47" s="14">
        <f t="shared" si="37"/>
        <v>36.438910653526413</v>
      </c>
      <c r="BG47" s="22">
        <f t="shared" si="7"/>
        <v>308.37690605489189</v>
      </c>
      <c r="BH47" s="62">
        <f t="shared" si="8"/>
        <v>601.7102393882252</v>
      </c>
      <c r="BI47" s="62">
        <f ca="1">AVERAGE(OFFSET($BH$3,0,0,'Données projet'!$E$11+1,1))-AVERAGE(OFFSET($H$3,0,0,'Données projet'!$E$11+1,1))</f>
        <v>284.72381074796073</v>
      </c>
      <c r="BJ47" s="62">
        <f t="shared" si="38"/>
        <v>190.4880882944471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7.1434294871794854</v>
      </c>
      <c r="BY47" s="13">
        <f>IF('Données projet'!$A$114&gt;35,BY46+BX47-CG46,IF(A47&lt;'Données projet'!$A$114,$BV$205^A47,IF(A47='Données projet'!$A$114,'Données projet'!$B$114,BY46+BX47-CG46)))</f>
        <v>116.6971153846154</v>
      </c>
      <c r="BZ47" s="14">
        <f>BY47*VLOOKUP('Données projet'!$B$12,Paramètres!$A$1:$I$89,3,0)*VLOOKUP('Données projet'!$B$12,Paramètres!$A$1:$I$89,5,0)</f>
        <v>118.33087500000003</v>
      </c>
      <c r="CA47" s="14">
        <f t="shared" si="39"/>
        <v>31.285386509586893</v>
      </c>
      <c r="CB47" s="22">
        <f t="shared" si="10"/>
        <v>260.58165546253059</v>
      </c>
      <c r="CC47" s="62">
        <f t="shared" si="11"/>
        <v>553.91498879586391</v>
      </c>
      <c r="CD47" s="62">
        <f ca="1">AVERAGE(OFFSET($CC$3,0,0,'Données projet'!$E$12+1,1))-AVERAGE(OFFSET($H$3,0,0,'Données projet'!$E$12+1,1))</f>
        <v>496.71400086768705</v>
      </c>
      <c r="CE47" s="62">
        <f t="shared" si="40"/>
        <v>206.75063396134982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7.1434294871794854</v>
      </c>
      <c r="CT47" s="13">
        <f>IF('Données projet'!$A$140&gt;35,CT46+CS47-DB46,IF(A47&lt;'Données projet'!$A$140,$CQ$205^A47,IF(A47='Données projet'!$A$140,'Données projet'!$B$140,CT46+CS47-DB46)))</f>
        <v>116.6971153846154</v>
      </c>
      <c r="CU47" s="18">
        <f>CT47*VLOOKUP('Données projet'!$B$13,Paramètres!$A$1:$I$89,3,0)*VLOOKUP('Données projet'!$B$13,Paramètres!$A$1:$I$89,5,0)</f>
        <v>125.612775</v>
      </c>
      <c r="CV47" s="14">
        <f t="shared" si="41"/>
        <v>32.980583833442381</v>
      </c>
      <c r="CW47" s="22">
        <f t="shared" si="13"/>
        <v>276.21676663491212</v>
      </c>
      <c r="CX47" s="62">
        <f t="shared" si="14"/>
        <v>569.55009996824538</v>
      </c>
      <c r="CY47" s="62">
        <f ca="1">AVERAGE(OFFSET($CX$3,0,0,'Données projet'!$E$13+1,1))-AVERAGE(OFFSET($H$3,0,0,'Données projet'!$E$13+1,1))</f>
        <v>524.55238798353344</v>
      </c>
      <c r="CZ47" s="62">
        <f t="shared" si="42"/>
        <v>216.94512104983255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11.642307692307689</v>
      </c>
      <c r="N48" s="14">
        <f>IF('Données projet'!$A$36&gt;35,N47+M48-V47,IF(A48&lt;'Données projet'!$A$36,$K$205^A48,IF(A48='Données projet'!$A$36,'Données projet'!$B$36,N47+M48-V47)))</f>
        <v>250.31923076923061</v>
      </c>
      <c r="O48" s="14">
        <f>N48*VLOOKUP('Données projet'!$B$9,Paramètres!$A$1:$I$89,3,0)*VLOOKUP('Données projet'!$B$9,Paramètres!$A$1:$I$89,5,0)</f>
        <v>149.69089999999991</v>
      </c>
      <c r="P48" s="14">
        <f t="shared" si="33"/>
        <v>38.508333105793902</v>
      </c>
      <c r="Q48" s="22">
        <f t="shared" si="53"/>
        <v>327.7803309925909</v>
      </c>
      <c r="R48" s="62">
        <f t="shared" si="0"/>
        <v>621.11366432592422</v>
      </c>
      <c r="S48" s="62">
        <f ca="1">AVERAGE(OFFSET($R$3,0,0,'Données projet'!$E$9+1,1))-AVERAGE(OFFSET($H$3,0,0,'Données projet'!$E$9+1,1))</f>
        <v>260.01925143568263</v>
      </c>
      <c r="T48" s="62">
        <f t="shared" si="34"/>
        <v>269.95358755269427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11.861538461538462</v>
      </c>
      <c r="AI48" s="14">
        <f>IF('Données projet'!$A$62&gt;35,AI47+AH48-AQ47,IF(A48&lt;'Données projet'!$A$62,$AF$205^A48,IF(A48='Données projet'!$A$62,'Données projet'!$B$62,AI47+AH48-AQ47)))</f>
        <v>231.77692307692303</v>
      </c>
      <c r="AJ48" s="14">
        <f>AI48*VLOOKUP('Données projet'!$B$10,Paramètres!$A$1:$I$89,3,0)*VLOOKUP('Données projet'!$B$10,Paramètres!$A$1:$I$89,5,0)</f>
        <v>138.60259999999997</v>
      </c>
      <c r="AK48" s="14">
        <f t="shared" si="35"/>
        <v>35.976694116938198</v>
      </c>
      <c r="AL48" s="22">
        <f t="shared" si="4"/>
        <v>304.0589372536673</v>
      </c>
      <c r="AM48" s="62">
        <f t="shared" si="5"/>
        <v>597.39227058700067</v>
      </c>
      <c r="AN48" s="62">
        <f ca="1">AVERAGE(OFFSET($AM$3,0,0,'Données projet'!$E$10+1,1))-AVERAGE(OFFSET($H$3,0,0,'Données projet'!$E$10+1,1))</f>
        <v>289.24721145176682</v>
      </c>
      <c r="AO48" s="62">
        <f t="shared" si="36"/>
        <v>229.06617320689003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12.053846153846152</v>
      </c>
      <c r="BD48" s="13">
        <f>IF('Données projet'!$A$88&gt;35,BD47+BC48-BL47,IF(A48&lt;'Données projet'!$A$88,$BA$205^A48,IF(A48='Données projet'!$A$88,'Données projet'!$B$88,BD47+BC48-BL47)))</f>
        <v>312.52307692307699</v>
      </c>
      <c r="BE48" s="14">
        <f>BD48*VLOOKUP('Données projet'!$B$11,Paramètres!$A$1:$I$89,3,0)*VLOOKUP('Données projet'!$B$11,Paramètres!$A$1:$I$89,5,0)</f>
        <v>146.26080000000002</v>
      </c>
      <c r="BF48" s="14">
        <f t="shared" si="37"/>
        <v>37.727594593161612</v>
      </c>
      <c r="BG48" s="22">
        <f t="shared" si="7"/>
        <v>320.4464539164232</v>
      </c>
      <c r="BH48" s="62">
        <f t="shared" si="8"/>
        <v>613.77978724975651</v>
      </c>
      <c r="BI48" s="62">
        <f ca="1">AVERAGE(OFFSET($BH$3,0,0,'Données projet'!$E$11+1,1))-AVERAGE(OFFSET($H$3,0,0,'Données projet'!$E$11+1,1))</f>
        <v>284.72381074796073</v>
      </c>
      <c r="BJ48" s="62">
        <f t="shared" si="38"/>
        <v>190.4880882944471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7.1434294871794854</v>
      </c>
      <c r="BY48" s="13">
        <f>IF('Données projet'!$A$114&gt;35,BY47+BX48-CG47,IF(A48&lt;'Données projet'!$A$114,$BV$205^A48,IF(A48='Données projet'!$A$114,'Données projet'!$B$114,BY47+BX48-CG47)))</f>
        <v>123.84054487179489</v>
      </c>
      <c r="BZ48" s="14">
        <f>BY48*VLOOKUP('Données projet'!$B$12,Paramètres!$A$1:$I$89,3,0)*VLOOKUP('Données projet'!$B$12,Paramètres!$A$1:$I$89,5,0)</f>
        <v>125.57431250000002</v>
      </c>
      <c r="CA48" s="14">
        <f t="shared" si="39"/>
        <v>32.971660533607363</v>
      </c>
      <c r="CB48" s="22">
        <f t="shared" si="10"/>
        <v>276.13423636686611</v>
      </c>
      <c r="CC48" s="62">
        <f t="shared" si="11"/>
        <v>569.46756970019942</v>
      </c>
      <c r="CD48" s="62">
        <f ca="1">AVERAGE(OFFSET($CC$3,0,0,'Données projet'!$E$12+1,1))-AVERAGE(OFFSET($H$3,0,0,'Données projet'!$E$12+1,1))</f>
        <v>496.71400086768705</v>
      </c>
      <c r="CE48" s="62">
        <f t="shared" si="40"/>
        <v>206.75063396134982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7.1434294871794854</v>
      </c>
      <c r="CT48" s="13">
        <f>IF('Données projet'!$A$140&gt;35,CT47+CS48-DB47,IF(A48&lt;'Données projet'!$A$140,$CQ$205^A48,IF(A48='Données projet'!$A$140,'Données projet'!$B$140,CT47+CS48-DB47)))</f>
        <v>123.84054487179489</v>
      </c>
      <c r="CU48" s="18">
        <f>CT48*VLOOKUP('Données projet'!$B$13,Paramètres!$A$1:$I$89,3,0)*VLOOKUP('Données projet'!$B$13,Paramètres!$A$1:$I$89,5,0)</f>
        <v>133.30196250000003</v>
      </c>
      <c r="CV48" s="14">
        <f t="shared" si="41"/>
        <v>34.758228543004186</v>
      </c>
      <c r="CW48" s="22">
        <f t="shared" si="13"/>
        <v>292.70483273323231</v>
      </c>
      <c r="CX48" s="62">
        <f t="shared" si="14"/>
        <v>586.03816606656562</v>
      </c>
      <c r="CY48" s="62">
        <f ca="1">AVERAGE(OFFSET($CX$3,0,0,'Données projet'!$E$13+1,1))-AVERAGE(OFFSET($H$3,0,0,'Données projet'!$E$13+1,1))</f>
        <v>524.55238798353344</v>
      </c>
      <c r="CZ48" s="62">
        <f t="shared" si="42"/>
        <v>216.94512104983255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11.642307692307689</v>
      </c>
      <c r="N49" s="14">
        <f>IF('Données projet'!$A$36&gt;35,N48+M49-V48,IF(A49&lt;'Données projet'!$A$36,$K$205^A49,IF(A49='Données projet'!$A$36,'Données projet'!$B$36,N48+M49-V48)))</f>
        <v>261.96153846153828</v>
      </c>
      <c r="O49" s="14">
        <f>N49*VLOOKUP('Données projet'!$B$9,Paramètres!$A$1:$I$89,3,0)*VLOOKUP('Données projet'!$B$9,Paramètres!$A$1:$I$89,5,0)</f>
        <v>156.65299999999991</v>
      </c>
      <c r="P49" s="14">
        <f t="shared" si="33"/>
        <v>40.0866638793565</v>
      </c>
      <c r="Q49" s="22">
        <f t="shared" si="53"/>
        <v>342.65491458987907</v>
      </c>
      <c r="R49" s="62">
        <f t="shared" si="0"/>
        <v>635.98824792321238</v>
      </c>
      <c r="S49" s="62">
        <f ca="1">AVERAGE(OFFSET($R$3,0,0,'Données projet'!$E$9+1,1))-AVERAGE(OFFSET($H$3,0,0,'Données projet'!$E$9+1,1))</f>
        <v>260.01925143568263</v>
      </c>
      <c r="T49" s="62">
        <f t="shared" si="34"/>
        <v>269.95358755269427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11.861538461538462</v>
      </c>
      <c r="AI49" s="14">
        <f>IF('Données projet'!$A$62&gt;35,AI48+AH49-AQ48,IF(A49&lt;'Données projet'!$A$62,$AF$205^A49,IF(A49='Données projet'!$A$62,'Données projet'!$B$62,AI48+AH49-AQ48)))</f>
        <v>243.63846153846148</v>
      </c>
      <c r="AJ49" s="14">
        <f>AI49*VLOOKUP('Données projet'!$B$10,Paramètres!$A$1:$I$89,3,0)*VLOOKUP('Données projet'!$B$10,Paramètres!$A$1:$I$89,5,0)</f>
        <v>145.69579999999996</v>
      </c>
      <c r="AK49" s="14">
        <f t="shared" si="35"/>
        <v>37.598789481990465</v>
      </c>
      <c r="AL49" s="22">
        <f t="shared" si="4"/>
        <v>319.23807668113335</v>
      </c>
      <c r="AM49" s="62">
        <f t="shared" si="5"/>
        <v>612.57141001446666</v>
      </c>
      <c r="AN49" s="62">
        <f ca="1">AVERAGE(OFFSET($AM$3,0,0,'Données projet'!$E$10+1,1))-AVERAGE(OFFSET($H$3,0,0,'Données projet'!$E$10+1,1))</f>
        <v>289.24721145176682</v>
      </c>
      <c r="AO49" s="62">
        <f t="shared" si="36"/>
        <v>229.06617320689003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>
        <f>VLOOKUP(A49,'Données projet'!$A$87:$I$107,2,0)</f>
        <v>324.57692307692304</v>
      </c>
      <c r="BB49" s="13">
        <f>VLOOKUP(A49,'Données projet'!$A$87:$I$107,9,0)</f>
        <v>12.053846153846152</v>
      </c>
      <c r="BC49" s="13">
        <f t="array" ref="BC49">INDEX(BB:BB,MIN(IF(ISNUMBER(BB49:BB245),ROW(BB49:BB245),"")))</f>
        <v>12.053846153846152</v>
      </c>
      <c r="BD49" s="13">
        <f>IF('Données projet'!$A$88&gt;35,BD48+BC49-BL48,IF(A49&lt;'Données projet'!$A$88,$BA$205^A49,IF(A49='Données projet'!$A$88,'Données projet'!$B$88,BD48+BC49-BL48)))</f>
        <v>324.57692307692315</v>
      </c>
      <c r="BE49" s="14">
        <f>BD49*VLOOKUP('Données projet'!$B$11,Paramètres!$A$1:$I$89,3,0)*VLOOKUP('Données projet'!$B$11,Paramètres!$A$1:$I$89,5,0)</f>
        <v>151.90200000000004</v>
      </c>
      <c r="BF49" s="14">
        <f t="shared" si="37"/>
        <v>39.010504461024027</v>
      </c>
      <c r="BG49" s="22">
        <f t="shared" si="7"/>
        <v>332.50594526961692</v>
      </c>
      <c r="BH49" s="62">
        <f t="shared" si="8"/>
        <v>625.83927860295023</v>
      </c>
      <c r="BI49" s="62">
        <f ca="1">AVERAGE(OFFSET($BH$3,0,0,'Données projet'!$E$11+1,1))-AVERAGE(OFFSET($H$3,0,0,'Données projet'!$E$11+1,1))</f>
        <v>284.72381074796073</v>
      </c>
      <c r="BJ49" s="62">
        <f t="shared" si="38"/>
        <v>190.4880882944471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7.1434294871794854</v>
      </c>
      <c r="BY49" s="13">
        <f>IF('Données projet'!$A$114&gt;35,BY48+BX49-CG48,IF(A49&lt;'Données projet'!$A$114,$BV$205^A49,IF(A49='Données projet'!$A$114,'Données projet'!$B$114,BY48+BX49-CG48)))</f>
        <v>130.98397435897436</v>
      </c>
      <c r="BZ49" s="14">
        <f>BY49*VLOOKUP('Données projet'!$B$12,Paramètres!$A$1:$I$89,3,0)*VLOOKUP('Données projet'!$B$12,Paramètres!$A$1:$I$89,5,0)</f>
        <v>132.81775000000002</v>
      </c>
      <c r="CA49" s="14">
        <f t="shared" si="39"/>
        <v>34.646643824232086</v>
      </c>
      <c r="CB49" s="22">
        <f t="shared" si="10"/>
        <v>291.66715257720426</v>
      </c>
      <c r="CC49" s="62">
        <f t="shared" si="11"/>
        <v>585.00048591053758</v>
      </c>
      <c r="CD49" s="62">
        <f ca="1">AVERAGE(OFFSET($CC$3,0,0,'Données projet'!$E$12+1,1))-AVERAGE(OFFSET($H$3,0,0,'Données projet'!$E$12+1,1))</f>
        <v>496.71400086768705</v>
      </c>
      <c r="CE49" s="62">
        <f t="shared" si="40"/>
        <v>206.75063396134982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7.1434294871794854</v>
      </c>
      <c r="CT49" s="13">
        <f>IF('Données projet'!$A$140&gt;35,CT48+CS49-DB48,IF(A49&lt;'Données projet'!$A$140,$CQ$205^A49,IF(A49='Données projet'!$A$140,'Données projet'!$B$140,CT48+CS49-DB48)))</f>
        <v>130.98397435897436</v>
      </c>
      <c r="CU49" s="18">
        <f>CT49*VLOOKUP('Données projet'!$B$13,Paramètres!$A$1:$I$89,3,0)*VLOOKUP('Données projet'!$B$13,Paramètres!$A$1:$I$89,5,0)</f>
        <v>140.99115</v>
      </c>
      <c r="CV49" s="14">
        <f t="shared" si="41"/>
        <v>36.523970731266324</v>
      </c>
      <c r="CW49" s="22">
        <f t="shared" si="13"/>
        <v>309.17216860695549</v>
      </c>
      <c r="CX49" s="62">
        <f t="shared" si="14"/>
        <v>602.50550194028881</v>
      </c>
      <c r="CY49" s="62">
        <f ca="1">AVERAGE(OFFSET($CX$3,0,0,'Données projet'!$E$13+1,1))-AVERAGE(OFFSET($H$3,0,0,'Données projet'!$E$13+1,1))</f>
        <v>524.55238798353344</v>
      </c>
      <c r="CZ49" s="62">
        <f t="shared" si="42"/>
        <v>216.94512104983255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11.642307692307689</v>
      </c>
      <c r="N50" s="14">
        <f>IF('Données projet'!$A$36&gt;35,N49+M50-V49,IF(A50&lt;'Données projet'!$A$36,$K$205^A50,IF(A50='Données projet'!$A$36,'Données projet'!$B$36,N49+M50-V49)))</f>
        <v>273.60384615384595</v>
      </c>
      <c r="O50" s="14">
        <f>N50*VLOOKUP('Données projet'!$B$9,Paramètres!$A$1:$I$89,3,0)*VLOOKUP('Données projet'!$B$9,Paramètres!$A$1:$I$89,5,0)</f>
        <v>163.61509999999987</v>
      </c>
      <c r="P50" s="14">
        <f t="shared" si="33"/>
        <v>41.656847972292006</v>
      </c>
      <c r="Q50" s="22">
        <f t="shared" si="53"/>
        <v>357.515309385075</v>
      </c>
      <c r="R50" s="62">
        <f t="shared" si="0"/>
        <v>650.84864271840831</v>
      </c>
      <c r="S50" s="62">
        <f ca="1">AVERAGE(OFFSET($R$3,0,0,'Données projet'!$E$9+1,1))-AVERAGE(OFFSET($H$3,0,0,'Données projet'!$E$9+1,1))</f>
        <v>260.01925143568263</v>
      </c>
      <c r="T50" s="62">
        <f t="shared" si="34"/>
        <v>269.95358755269427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11.861538461538462</v>
      </c>
      <c r="AI50" s="14">
        <f>IF('Données projet'!$A$62&gt;35,AI49+AH50-AQ49,IF(A50&lt;'Données projet'!$A$62,$AF$205^A50,IF(A50='Données projet'!$A$62,'Données projet'!$B$62,AI49+AH50-AQ49)))</f>
        <v>255.49999999999994</v>
      </c>
      <c r="AJ50" s="14">
        <f>AI50*VLOOKUP('Données projet'!$B$10,Paramètres!$A$1:$I$89,3,0)*VLOOKUP('Données projet'!$B$10,Paramètres!$A$1:$I$89,5,0)</f>
        <v>152.78899999999996</v>
      </c>
      <c r="AK50" s="14">
        <f t="shared" si="35"/>
        <v>39.211714711932316</v>
      </c>
      <c r="AL50" s="22">
        <f t="shared" si="4"/>
        <v>334.40124478994869</v>
      </c>
      <c r="AM50" s="62">
        <f t="shared" si="5"/>
        <v>627.73457812328206</v>
      </c>
      <c r="AN50" s="62">
        <f ca="1">AVERAGE(OFFSET($AM$3,0,0,'Données projet'!$E$10+1,1))-AVERAGE(OFFSET($H$3,0,0,'Données projet'!$E$10+1,1))</f>
        <v>289.24721145176682</v>
      </c>
      <c r="AO50" s="62">
        <f t="shared" si="36"/>
        <v>229.06617320689003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12.598461538461539</v>
      </c>
      <c r="BD50" s="13">
        <f>IF('Données projet'!$A$88&gt;35,BD49+BC50-BL49,IF(A50&lt;'Données projet'!$A$88,$BA$205^A50,IF(A50='Données projet'!$A$88,'Données projet'!$B$88,BD49+BC50-BL49)))</f>
        <v>337.1753846153847</v>
      </c>
      <c r="BE50" s="14">
        <f>BD50*VLOOKUP('Données projet'!$B$11,Paramètres!$A$1:$I$89,3,0)*VLOOKUP('Données projet'!$B$11,Paramètres!$A$1:$I$89,5,0)</f>
        <v>157.79808000000006</v>
      </c>
      <c r="BF50" s="14">
        <f t="shared" si="37"/>
        <v>40.345466361853134</v>
      </c>
      <c r="BG50" s="22">
        <f t="shared" si="7"/>
        <v>345.100009913561</v>
      </c>
      <c r="BH50" s="62">
        <f t="shared" si="8"/>
        <v>638.43334324689431</v>
      </c>
      <c r="BI50" s="62">
        <f ca="1">AVERAGE(OFFSET($BH$3,0,0,'Données projet'!$E$11+1,1))-AVERAGE(OFFSET($H$3,0,0,'Données projet'!$E$11+1,1))</f>
        <v>284.72381074796073</v>
      </c>
      <c r="BJ50" s="62">
        <f t="shared" si="38"/>
        <v>190.4880882944471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7.1434294871794854</v>
      </c>
      <c r="BY50" s="13">
        <f>IF('Données projet'!$A$114&gt;35,BY49+BX50-CG49,IF(A50&lt;'Données projet'!$A$114,$BV$205^A50,IF(A50='Données projet'!$A$114,'Données projet'!$B$114,BY49+BX50-CG49)))</f>
        <v>138.12740384615384</v>
      </c>
      <c r="BZ50" s="14">
        <f>BY50*VLOOKUP('Données projet'!$B$12,Paramètres!$A$1:$I$89,3,0)*VLOOKUP('Données projet'!$B$12,Paramètres!$A$1:$I$89,5,0)</f>
        <v>140.06118750000002</v>
      </c>
      <c r="CA50" s="14">
        <f t="shared" si="39"/>
        <v>36.31102233554418</v>
      </c>
      <c r="CB50" s="22">
        <f t="shared" si="10"/>
        <v>307.18159879690614</v>
      </c>
      <c r="CC50" s="62">
        <f t="shared" si="11"/>
        <v>600.51493213023946</v>
      </c>
      <c r="CD50" s="62">
        <f ca="1">AVERAGE(OFFSET($CC$3,0,0,'Données projet'!$E$12+1,1))-AVERAGE(OFFSET($H$3,0,0,'Données projet'!$E$12+1,1))</f>
        <v>496.71400086768705</v>
      </c>
      <c r="CE50" s="62">
        <f t="shared" si="40"/>
        <v>206.75063396134982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7.1434294871794854</v>
      </c>
      <c r="CT50" s="13">
        <f>IF('Données projet'!$A$140&gt;35,CT49+CS50-DB49,IF(A50&lt;'Données projet'!$A$140,$CQ$205^A50,IF(A50='Données projet'!$A$140,'Données projet'!$B$140,CT49+CS50-DB49)))</f>
        <v>138.12740384615384</v>
      </c>
      <c r="CU50" s="18">
        <f>CT50*VLOOKUP('Données projet'!$B$13,Paramètres!$A$1:$I$89,3,0)*VLOOKUP('Données projet'!$B$13,Paramètres!$A$1:$I$89,5,0)</f>
        <v>148.68033749999998</v>
      </c>
      <c r="CV50" s="14">
        <f t="shared" si="41"/>
        <v>38.27853352070435</v>
      </c>
      <c r="CW50" s="22">
        <f t="shared" si="13"/>
        <v>325.62003369439333</v>
      </c>
      <c r="CX50" s="62">
        <f t="shared" si="14"/>
        <v>618.9533670277267</v>
      </c>
      <c r="CY50" s="62">
        <f ca="1">AVERAGE(OFFSET($CX$3,0,0,'Données projet'!$E$13+1,1))-AVERAGE(OFFSET($H$3,0,0,'Données projet'!$E$13+1,1))</f>
        <v>524.55238798353344</v>
      </c>
      <c r="CZ50" s="62">
        <f t="shared" si="42"/>
        <v>216.94512104983255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11.642307692307689</v>
      </c>
      <c r="N51" s="14">
        <f>IF('Données projet'!$A$36&gt;35,N50+M51-V50,IF(A51&lt;'Données projet'!$A$36,$K$205^A51,IF(A51='Données projet'!$A$36,'Données projet'!$B$36,N50+M51-V50)))</f>
        <v>285.24615384615362</v>
      </c>
      <c r="O51" s="14">
        <f>N51*VLOOKUP('Données projet'!$B$9,Paramètres!$A$1:$I$89,3,0)*VLOOKUP('Données projet'!$B$9,Paramètres!$A$1:$I$89,5,0)</f>
        <v>170.57719999999989</v>
      </c>
      <c r="P51" s="14">
        <f t="shared" si="33"/>
        <v>43.219271671345155</v>
      </c>
      <c r="Q51" s="22">
        <f t="shared" si="53"/>
        <v>372.36218816092588</v>
      </c>
      <c r="R51" s="62">
        <f t="shared" si="0"/>
        <v>665.6955214942592</v>
      </c>
      <c r="S51" s="62">
        <f ca="1">AVERAGE(OFFSET($R$3,0,0,'Données projet'!$E$9+1,1))-AVERAGE(OFFSET($H$3,0,0,'Données projet'!$E$9+1,1))</f>
        <v>260.01925143568263</v>
      </c>
      <c r="T51" s="62">
        <f t="shared" si="34"/>
        <v>269.95358755269427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11.861538461538462</v>
      </c>
      <c r="AI51" s="14">
        <f>IF('Données projet'!$A$62&gt;35,AI50+AH51-AQ50,IF(A51&lt;'Données projet'!$A$62,$AF$205^A51,IF(A51='Données projet'!$A$62,'Données projet'!$B$62,AI50+AH51-AQ50)))</f>
        <v>267.36153846153843</v>
      </c>
      <c r="AJ51" s="14">
        <f>AI51*VLOOKUP('Données projet'!$B$10,Paramètres!$A$1:$I$89,3,0)*VLOOKUP('Données projet'!$B$10,Paramètres!$A$1:$I$89,5,0)</f>
        <v>159.88219999999998</v>
      </c>
      <c r="AK51" s="14">
        <f t="shared" si="35"/>
        <v>40.815944149041762</v>
      </c>
      <c r="AL51" s="22">
        <f t="shared" si="4"/>
        <v>349.54926772624771</v>
      </c>
      <c r="AM51" s="62">
        <f t="shared" si="5"/>
        <v>642.88260105958102</v>
      </c>
      <c r="AN51" s="62">
        <f ca="1">AVERAGE(OFFSET($AM$3,0,0,'Données projet'!$E$10+1,1))-AVERAGE(OFFSET($H$3,0,0,'Données projet'!$E$10+1,1))</f>
        <v>289.24721145176682</v>
      </c>
      <c r="AO51" s="62">
        <f t="shared" si="36"/>
        <v>229.06617320689003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12.598461538461539</v>
      </c>
      <c r="BD51" s="13">
        <f>IF('Données projet'!$A$88&gt;35,BD50+BC51-BL50,IF(A51&lt;'Données projet'!$A$88,$BA$205^A51,IF(A51='Données projet'!$A$88,'Données projet'!$B$88,BD50+BC51-BL50)))</f>
        <v>349.77384615384625</v>
      </c>
      <c r="BE51" s="14">
        <f>BD51*VLOOKUP('Données projet'!$B$11,Paramètres!$A$1:$I$89,3,0)*VLOOKUP('Données projet'!$B$11,Paramètres!$A$1:$I$89,5,0)</f>
        <v>163.69416000000004</v>
      </c>
      <c r="BF51" s="14">
        <f t="shared" si="37"/>
        <v>41.674633359671937</v>
      </c>
      <c r="BG51" s="22">
        <f t="shared" si="7"/>
        <v>357.68398176809529</v>
      </c>
      <c r="BH51" s="62">
        <f t="shared" si="8"/>
        <v>651.01731510142861</v>
      </c>
      <c r="BI51" s="62">
        <f ca="1">AVERAGE(OFFSET($BH$3,0,0,'Données projet'!$E$11+1,1))-AVERAGE(OFFSET($H$3,0,0,'Données projet'!$E$11+1,1))</f>
        <v>284.72381074796073</v>
      </c>
      <c r="BJ51" s="62">
        <f t="shared" si="38"/>
        <v>190.4880882944471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7.1434294871794854</v>
      </c>
      <c r="BY51" s="13">
        <f>IF('Données projet'!$A$114&gt;35,BY50+BX51-CG50,IF(A51&lt;'Données projet'!$A$114,$BV$205^A51,IF(A51='Données projet'!$A$114,'Données projet'!$B$114,BY50+BX51-CG50)))</f>
        <v>145.27083333333331</v>
      </c>
      <c r="BZ51" s="14">
        <f>BY51*VLOOKUP('Données projet'!$B$12,Paramètres!$A$1:$I$89,3,0)*VLOOKUP('Données projet'!$B$12,Paramètres!$A$1:$I$89,5,0)</f>
        <v>147.30462499999999</v>
      </c>
      <c r="CA51" s="14">
        <f t="shared" si="39"/>
        <v>37.965407064294062</v>
      </c>
      <c r="CB51" s="22">
        <f t="shared" si="10"/>
        <v>322.67863917864548</v>
      </c>
      <c r="CC51" s="62">
        <f t="shared" si="11"/>
        <v>616.0119725119788</v>
      </c>
      <c r="CD51" s="62">
        <f ca="1">AVERAGE(OFFSET($CC$3,0,0,'Données projet'!$E$12+1,1))-AVERAGE(OFFSET($H$3,0,0,'Données projet'!$E$12+1,1))</f>
        <v>496.71400086768705</v>
      </c>
      <c r="CE51" s="62">
        <f t="shared" si="40"/>
        <v>206.75063396134982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7.1434294871794854</v>
      </c>
      <c r="CT51" s="13">
        <f>IF('Données projet'!$A$140&gt;35,CT50+CS51-DB50,IF(A51&lt;'Données projet'!$A$140,$CQ$205^A51,IF(A51='Données projet'!$A$140,'Données projet'!$B$140,CT50+CS51-DB50)))</f>
        <v>145.27083333333331</v>
      </c>
      <c r="CU51" s="18">
        <f>CT51*VLOOKUP('Données projet'!$B$13,Paramètres!$A$1:$I$89,3,0)*VLOOKUP('Données projet'!$B$13,Paramètres!$A$1:$I$89,5,0)</f>
        <v>156.36952499999998</v>
      </c>
      <c r="CV51" s="14">
        <f t="shared" si="41"/>
        <v>40.022561014901441</v>
      </c>
      <c r="CW51" s="22">
        <f t="shared" si="13"/>
        <v>342.04954980928665</v>
      </c>
      <c r="CX51" s="62">
        <f t="shared" si="14"/>
        <v>635.3828831426199</v>
      </c>
      <c r="CY51" s="62">
        <f ca="1">AVERAGE(OFFSET($CX$3,0,0,'Données projet'!$E$13+1,1))-AVERAGE(OFFSET($H$3,0,0,'Données projet'!$E$13+1,1))</f>
        <v>524.55238798353344</v>
      </c>
      <c r="CZ51" s="62">
        <f t="shared" si="42"/>
        <v>216.94512104983255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11.642307692307689</v>
      </c>
      <c r="N52" s="14">
        <f>IF('Données projet'!$A$36&gt;35,N51+M52-V51,IF(A52&lt;'Données projet'!$A$36,$K$205^A52,IF(A52='Données projet'!$A$36,'Données projet'!$B$36,N51+M52-V51)))</f>
        <v>296.88846153846129</v>
      </c>
      <c r="O52" s="14">
        <f>N52*VLOOKUP('Données projet'!$B$9,Paramètres!$A$1:$I$89,3,0)*VLOOKUP('Données projet'!$B$9,Paramètres!$A$1:$I$89,5,0)</f>
        <v>177.53929999999988</v>
      </c>
      <c r="P52" s="14">
        <f t="shared" si="33"/>
        <v>44.774287946301975</v>
      </c>
      <c r="Q52" s="22">
        <f t="shared" si="53"/>
        <v>387.19616567314239</v>
      </c>
      <c r="R52" s="62">
        <f t="shared" si="0"/>
        <v>680.5294990064757</v>
      </c>
      <c r="S52" s="62">
        <f ca="1">AVERAGE(OFFSET($R$3,0,0,'Données projet'!$E$9+1,1))-AVERAGE(OFFSET($H$3,0,0,'Données projet'!$E$9+1,1))</f>
        <v>260.01925143568263</v>
      </c>
      <c r="T52" s="62">
        <f t="shared" si="34"/>
        <v>269.95358755269427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11.861538461538462</v>
      </c>
      <c r="AI52" s="14">
        <f>IF('Données projet'!$A$62&gt;35,AI51+AH52-AQ51,IF(A52&lt;'Données projet'!$A$62,$AF$205^A52,IF(A52='Données projet'!$A$62,'Données projet'!$B$62,AI51+AH52-AQ51)))</f>
        <v>279.22307692307692</v>
      </c>
      <c r="AJ52" s="14">
        <f>AI52*VLOOKUP('Données projet'!$B$10,Paramètres!$A$1:$I$89,3,0)*VLOOKUP('Données projet'!$B$10,Paramètres!$A$1:$I$89,5,0)</f>
        <v>166.97540000000001</v>
      </c>
      <c r="AK52" s="14">
        <f t="shared" si="35"/>
        <v>42.411907667415186</v>
      </c>
      <c r="AL52" s="22">
        <f t="shared" si="4"/>
        <v>364.68289418741483</v>
      </c>
      <c r="AM52" s="62">
        <f t="shared" si="5"/>
        <v>658.01622752074809</v>
      </c>
      <c r="AN52" s="62">
        <f ca="1">AVERAGE(OFFSET($AM$3,0,0,'Données projet'!$E$10+1,1))-AVERAGE(OFFSET($H$3,0,0,'Données projet'!$E$10+1,1))</f>
        <v>289.24721145176682</v>
      </c>
      <c r="AO52" s="62">
        <f t="shared" si="36"/>
        <v>229.06617320689003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12.598461538461539</v>
      </c>
      <c r="BD52" s="13">
        <f>IF('Données projet'!$A$88&gt;35,BD51+BC52-BL51,IF(A52&lt;'Données projet'!$A$88,$BA$205^A52,IF(A52='Données projet'!$A$88,'Données projet'!$B$88,BD51+BC52-BL51)))</f>
        <v>362.3723076923078</v>
      </c>
      <c r="BE52" s="14">
        <f>BD52*VLOOKUP('Données projet'!$B$11,Paramètres!$A$1:$I$89,3,0)*VLOOKUP('Données projet'!$B$11,Paramètres!$A$1:$I$89,5,0)</f>
        <v>169.59024000000005</v>
      </c>
      <c r="BF52" s="14">
        <f t="shared" si="37"/>
        <v>42.998238090586462</v>
      </c>
      <c r="BG52" s="22">
        <f t="shared" si="7"/>
        <v>370.25826600777145</v>
      </c>
      <c r="BH52" s="62">
        <f t="shared" si="8"/>
        <v>663.59159934110471</v>
      </c>
      <c r="BI52" s="62">
        <f ca="1">AVERAGE(OFFSET($BH$3,0,0,'Données projet'!$E$11+1,1))-AVERAGE(OFFSET($H$3,0,0,'Données projet'!$E$11+1,1))</f>
        <v>284.72381074796073</v>
      </c>
      <c r="BJ52" s="62">
        <f t="shared" si="38"/>
        <v>190.4880882944471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7.1434294871794854</v>
      </c>
      <c r="BY52" s="13">
        <f>IF('Données projet'!$A$114&gt;35,BY51+BX52-CG51,IF(A52&lt;'Données projet'!$A$114,$BV$205^A52,IF(A52='Données projet'!$A$114,'Données projet'!$B$114,BY51+BX52-CG51)))</f>
        <v>152.41426282051279</v>
      </c>
      <c r="BZ52" s="14">
        <f>BY52*VLOOKUP('Données projet'!$B$12,Paramètres!$A$1:$I$89,3,0)*VLOOKUP('Données projet'!$B$12,Paramètres!$A$1:$I$89,5,0)</f>
        <v>154.54806249999999</v>
      </c>
      <c r="CA52" s="14">
        <f t="shared" si="39"/>
        <v>39.610345523215855</v>
      </c>
      <c r="CB52" s="22">
        <f t="shared" si="10"/>
        <v>338.15922730710088</v>
      </c>
      <c r="CC52" s="62">
        <f t="shared" si="11"/>
        <v>631.49256064043425</v>
      </c>
      <c r="CD52" s="62">
        <f ca="1">AVERAGE(OFFSET($CC$3,0,0,'Données projet'!$E$12+1,1))-AVERAGE(OFFSET($H$3,0,0,'Données projet'!$E$12+1,1))</f>
        <v>496.71400086768705</v>
      </c>
      <c r="CE52" s="62">
        <f t="shared" si="40"/>
        <v>206.75063396134982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7.1434294871794854</v>
      </c>
      <c r="CT52" s="13">
        <f>IF('Données projet'!$A$140&gt;35,CT51+CS52-DB51,IF(A52&lt;'Données projet'!$A$140,$CQ$205^A52,IF(A52='Données projet'!$A$140,'Données projet'!$B$140,CT51+CS52-DB51)))</f>
        <v>152.41426282051279</v>
      </c>
      <c r="CU52" s="18">
        <f>CT52*VLOOKUP('Données projet'!$B$13,Paramètres!$A$1:$I$89,3,0)*VLOOKUP('Données projet'!$B$13,Paramètres!$A$1:$I$89,5,0)</f>
        <v>164.05871249999996</v>
      </c>
      <c r="CV52" s="14">
        <f t="shared" si="41"/>
        <v>41.756630393545663</v>
      </c>
      <c r="CW52" s="22">
        <f t="shared" si="13"/>
        <v>358.46172220625863</v>
      </c>
      <c r="CX52" s="62">
        <f t="shared" si="14"/>
        <v>651.79505553959189</v>
      </c>
      <c r="CY52" s="62">
        <f ca="1">AVERAGE(OFFSET($CX$3,0,0,'Données projet'!$E$13+1,1))-AVERAGE(OFFSET($H$3,0,0,'Données projet'!$E$13+1,1))</f>
        <v>524.55238798353344</v>
      </c>
      <c r="CZ52" s="62">
        <f t="shared" si="42"/>
        <v>216.94512104983255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11.642307692307689</v>
      </c>
      <c r="N53" s="14">
        <f>IF('Données projet'!$A$36&gt;35,N52+M53-V52,IF(A53&lt;'Données projet'!$A$36,$K$205^A53,IF(A53='Données projet'!$A$36,'Données projet'!$B$36,N52+M53-V52)))</f>
        <v>308.53076923076895</v>
      </c>
      <c r="O53" s="14">
        <f>N53*VLOOKUP('Données projet'!$B$9,Paramètres!$A$1:$I$89,3,0)*VLOOKUP('Données projet'!$B$9,Paramètres!$A$1:$I$89,5,0)</f>
        <v>184.50139999999985</v>
      </c>
      <c r="P53" s="14">
        <f t="shared" si="33"/>
        <v>46.322220516606542</v>
      </c>
      <c r="Q53" s="22">
        <f t="shared" si="53"/>
        <v>402.01780573308946</v>
      </c>
      <c r="R53" s="62">
        <f t="shared" si="0"/>
        <v>695.35113906642277</v>
      </c>
      <c r="S53" s="62">
        <f ca="1">AVERAGE(OFFSET($R$3,0,0,'Données projet'!$E$9+1,1))-AVERAGE(OFFSET($H$3,0,0,'Données projet'!$E$9+1,1))</f>
        <v>260.01925143568263</v>
      </c>
      <c r="T53" s="62">
        <f t="shared" si="34"/>
        <v>269.95358755269427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291.0846153846154</v>
      </c>
      <c r="AG53" s="13">
        <f>VLOOKUP(A53,'Données projet'!$A$61:$I$81,9,0)</f>
        <v>11.861538461538462</v>
      </c>
      <c r="AH53" s="13">
        <f t="array" ref="AH53">INDEX(AG:AG,MIN(IF(ISNUMBER(AG53:AG249),ROW(AG53:AG249),"")))</f>
        <v>11.861538461538462</v>
      </c>
      <c r="AI53" s="14">
        <f>IF('Données projet'!$A$62&gt;35,AI52+AH53-AQ52,IF(A53&lt;'Données projet'!$A$62,$AF$205^A53,IF(A53='Données projet'!$A$62,'Données projet'!$B$62,AI52+AH53-AQ52)))</f>
        <v>291.0846153846154</v>
      </c>
      <c r="AJ53" s="14">
        <f>AI53*VLOOKUP('Données projet'!$B$10,Paramètres!$A$1:$I$89,3,0)*VLOOKUP('Données projet'!$B$10,Paramètres!$A$1:$I$89,5,0)</f>
        <v>174.06860000000003</v>
      </c>
      <c r="AK53" s="14">
        <f t="shared" si="35"/>
        <v>43.999996552753835</v>
      </c>
      <c r="AL53" s="22">
        <f t="shared" si="4"/>
        <v>379.80280566271296</v>
      </c>
      <c r="AM53" s="62">
        <f t="shared" si="5"/>
        <v>673.13613899604627</v>
      </c>
      <c r="AN53" s="62">
        <f ca="1">AVERAGE(OFFSET($AM$3,0,0,'Données projet'!$E$10+1,1))-AVERAGE(OFFSET($H$3,0,0,'Données projet'!$E$10+1,1))</f>
        <v>289.24721145176682</v>
      </c>
      <c r="AO53" s="62">
        <f t="shared" si="36"/>
        <v>229.06617320689003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55.292307692307688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12.598461538461539</v>
      </c>
      <c r="BD53" s="13">
        <f>IF('Données projet'!$A$88&gt;35,BD52+BC53-BL52,IF(A53&lt;'Données projet'!$A$88,$BA$205^A53,IF(A53='Données projet'!$A$88,'Données projet'!$B$88,BD52+BC53-BL52)))</f>
        <v>374.97076923076935</v>
      </c>
      <c r="BE53" s="14">
        <f>BD53*VLOOKUP('Données projet'!$B$11,Paramètres!$A$1:$I$89,3,0)*VLOOKUP('Données projet'!$B$11,Paramètres!$A$1:$I$89,5,0)</f>
        <v>175.48632000000003</v>
      </c>
      <c r="BF53" s="14">
        <f t="shared" si="37"/>
        <v>44.316496097421073</v>
      </c>
      <c r="BG53" s="22">
        <f t="shared" si="7"/>
        <v>382.82323803634176</v>
      </c>
      <c r="BH53" s="62">
        <f t="shared" si="8"/>
        <v>676.15657136967502</v>
      </c>
      <c r="BI53" s="62">
        <f ca="1">AVERAGE(OFFSET($BH$3,0,0,'Données projet'!$E$11+1,1))-AVERAGE(OFFSET($H$3,0,0,'Données projet'!$E$11+1,1))</f>
        <v>284.72381074796073</v>
      </c>
      <c r="BJ53" s="62">
        <f t="shared" si="38"/>
        <v>190.4880882944471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159.55769230769229</v>
      </c>
      <c r="BW53" s="13">
        <f>VLOOKUP(A53,'Données projet'!$A$113:$I$133,9,0)</f>
        <v>7.1434294871794854</v>
      </c>
      <c r="BX53" s="13">
        <f t="array" ref="BX53">INDEX(BW:BW,MIN(IF(ISNUMBER(BW53:BW249),ROW(BW53:BW249),"")))</f>
        <v>7.1434294871794854</v>
      </c>
      <c r="BY53" s="13">
        <f>IF('Données projet'!$A$114&gt;35,BY52+BX53-CG52,IF(A53&lt;'Données projet'!$A$114,$BV$205^A53,IF(A53='Données projet'!$A$114,'Données projet'!$B$114,BY52+BX53-CG52)))</f>
        <v>159.55769230769226</v>
      </c>
      <c r="BZ53" s="14">
        <f>BY53*VLOOKUP('Données projet'!$B$12,Paramètres!$A$1:$I$89,3,0)*VLOOKUP('Données projet'!$B$12,Paramètres!$A$1:$I$89,5,0)</f>
        <v>161.79149999999996</v>
      </c>
      <c r="CA53" s="14">
        <f t="shared" si="39"/>
        <v>41.246331002502437</v>
      </c>
      <c r="CB53" s="22">
        <f t="shared" si="10"/>
        <v>353.62422232935836</v>
      </c>
      <c r="CC53" s="62">
        <f t="shared" si="11"/>
        <v>646.95755566269168</v>
      </c>
      <c r="CD53" s="62">
        <f ca="1">AVERAGE(OFFSET($CC$3,0,0,'Données projet'!$E$12+1,1))-AVERAGE(OFFSET($H$3,0,0,'Données projet'!$E$12+1,1))</f>
        <v>496.71400086768705</v>
      </c>
      <c r="CE53" s="62">
        <f t="shared" si="40"/>
        <v>206.75063396134982</v>
      </c>
      <c r="CF53" s="16">
        <f>IF(ISNA(VLOOKUP(A53,'Données projet'!$A$113:$I$133,3,0)),0,VLOOKUP(A53,'Données projet'!$A$113:$I$133,3,0))</f>
        <v>2</v>
      </c>
      <c r="CG53" s="16">
        <f>IF(ISNA(VLOOKUP(A53,'Données projet'!$A$113:$I$133,4,0)),0,VLOOKUP(A53,'Données projet'!$A$113:$I$133,4,0))</f>
        <v>29.416666666666664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159.55769230769229</v>
      </c>
      <c r="CR53" s="13">
        <f>VLOOKUP(A53,'Données projet'!$A$139:$I$159,9,0)</f>
        <v>7.1434294871794854</v>
      </c>
      <c r="CS53" s="13">
        <f t="array" ref="CS53">INDEX(CR:CR,MIN(IF(ISNUMBER(CR53:CR249),ROW(CR53:CR249),"")))</f>
        <v>7.1434294871794854</v>
      </c>
      <c r="CT53" s="13">
        <f>IF('Données projet'!$A$140&gt;35,CT52+CS53-DB52,IF(A53&lt;'Données projet'!$A$140,$CQ$205^A53,IF(A53='Données projet'!$A$140,'Données projet'!$B$140,CT52+CS53-DB52)))</f>
        <v>159.55769230769226</v>
      </c>
      <c r="CU53" s="18">
        <f>CT53*VLOOKUP('Données projet'!$B$13,Paramètres!$A$1:$I$89,3,0)*VLOOKUP('Données projet'!$B$13,Paramètres!$A$1:$I$89,5,0)</f>
        <v>171.74789999999996</v>
      </c>
      <c r="CV53" s="14">
        <f t="shared" si="41"/>
        <v>43.481261675737841</v>
      </c>
      <c r="CW53" s="22">
        <f t="shared" si="13"/>
        <v>374.85745658524337</v>
      </c>
      <c r="CX53" s="62">
        <f t="shared" si="14"/>
        <v>668.19078991857668</v>
      </c>
      <c r="CY53" s="62">
        <f ca="1">AVERAGE(OFFSET($CX$3,0,0,'Données projet'!$E$13+1,1))-AVERAGE(OFFSET($H$3,0,0,'Données projet'!$E$13+1,1))</f>
        <v>524.55238798353344</v>
      </c>
      <c r="CZ53" s="62">
        <f t="shared" si="42"/>
        <v>216.94512104983255</v>
      </c>
      <c r="DA53" s="16">
        <f>IF(ISNA(VLOOKUP(A53,'Données projet'!$A$139:$I$159,3,0)),0,VLOOKUP(A53,'Données projet'!$A$139:$I$159,3,0))</f>
        <v>2</v>
      </c>
      <c r="DB53" s="16">
        <f>IF(ISNA(VLOOKUP(A53,'Données projet'!$A$139:$I$159,4,0)),0,VLOOKUP(A53,'Données projet'!$A$139:$I$159,4,0))</f>
        <v>29.416666666666664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11.642307692307689</v>
      </c>
      <c r="N54" s="14">
        <f>IF('Données projet'!$A$36&gt;35,N53+M54-V53,IF(A54&lt;'Données projet'!$A$36,$K$205^A54,IF(A54='Données projet'!$A$36,'Données projet'!$B$36,N53+M54-V53)))</f>
        <v>320.17307692307662</v>
      </c>
      <c r="O54" s="14">
        <f>N54*VLOOKUP('Données projet'!$B$9,Paramètres!$A$1:$I$89,3,0)*VLOOKUP('Données projet'!$B$9,Paramètres!$A$1:$I$89,5,0)</f>
        <v>191.46349999999984</v>
      </c>
      <c r="P54" s="14">
        <f t="shared" si="33"/>
        <v>47.863367286908044</v>
      </c>
      <c r="Q54" s="22">
        <f t="shared" si="53"/>
        <v>416.82762719136457</v>
      </c>
      <c r="R54" s="62">
        <f t="shared" si="0"/>
        <v>710.16096052469788</v>
      </c>
      <c r="S54" s="62">
        <f ca="1">AVERAGE(OFFSET($R$3,0,0,'Données projet'!$E$9+1,1))-AVERAGE(OFFSET($H$3,0,0,'Données projet'!$E$9+1,1))</f>
        <v>260.01925143568263</v>
      </c>
      <c r="T54" s="62">
        <f t="shared" si="34"/>
        <v>269.95358755269427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10.66307692307692</v>
      </c>
      <c r="AI54" s="14">
        <f>IF('Données projet'!$A$62&gt;35,AI53+AH54-AQ53,IF(A54&lt;'Données projet'!$A$62,$AF$205^A54,IF(A54='Données projet'!$A$62,'Données projet'!$B$62,AI53+AH54-AQ53)))</f>
        <v>246.45538461538462</v>
      </c>
      <c r="AJ54" s="14">
        <f>AI54*VLOOKUP('Données projet'!$B$10,Paramètres!$A$1:$I$89,3,0)*VLOOKUP('Données projet'!$B$10,Paramètres!$A$1:$I$89,5,0)</f>
        <v>147.38032000000001</v>
      </c>
      <c r="AK54" s="14">
        <f t="shared" si="35"/>
        <v>37.982644854557613</v>
      </c>
      <c r="AL54" s="22">
        <f t="shared" si="4"/>
        <v>322.84049712168786</v>
      </c>
      <c r="AM54" s="62">
        <f t="shared" si="5"/>
        <v>616.17383045502118</v>
      </c>
      <c r="AN54" s="62">
        <f ca="1">AVERAGE(OFFSET($AM$3,0,0,'Données projet'!$E$10+1,1))-AVERAGE(OFFSET($H$3,0,0,'Données projet'!$E$10+1,1))</f>
        <v>289.24721145176682</v>
      </c>
      <c r="AO54" s="62">
        <f t="shared" si="36"/>
        <v>229.06617320689003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>
        <f>VLOOKUP(A54,'Données projet'!$A$87:$I$107,2,0)</f>
        <v>387.56923076923073</v>
      </c>
      <c r="BB54" s="13">
        <f>VLOOKUP(A54,'Données projet'!$A$87:$I$107,9,0)</f>
        <v>12.598461538461539</v>
      </c>
      <c r="BC54" s="13">
        <f t="array" ref="BC54">INDEX(BB:BB,MIN(IF(ISNUMBER(BB54:BB250),ROW(BB54:BB250),"")))</f>
        <v>12.598461538461539</v>
      </c>
      <c r="BD54" s="13">
        <f>IF('Données projet'!$A$88&gt;35,BD53+BC54-BL53,IF(A54&lt;'Données projet'!$A$88,$BA$205^A54,IF(A54='Données projet'!$A$88,'Données projet'!$B$88,BD53+BC54-BL53)))</f>
        <v>387.5692307692309</v>
      </c>
      <c r="BE54" s="14">
        <f>BD54*VLOOKUP('Données projet'!$B$11,Paramètres!$A$1:$I$89,3,0)*VLOOKUP('Données projet'!$B$11,Paramètres!$A$1:$I$89,5,0)</f>
        <v>181.38240000000008</v>
      </c>
      <c r="BF54" s="14">
        <f t="shared" si="37"/>
        <v>45.629607617375228</v>
      </c>
      <c r="BG54" s="22">
        <f t="shared" si="7"/>
        <v>395.37924660026198</v>
      </c>
      <c r="BH54" s="62">
        <f t="shared" si="8"/>
        <v>688.71257993359529</v>
      </c>
      <c r="BI54" s="62">
        <f ca="1">AVERAGE(OFFSET($BH$3,0,0,'Données projet'!$E$11+1,1))-AVERAGE(OFFSET($H$3,0,0,'Données projet'!$E$11+1,1))</f>
        <v>284.72381074796073</v>
      </c>
      <c r="BJ54" s="62">
        <f t="shared" si="38"/>
        <v>190.4880882944471</v>
      </c>
      <c r="BK54" s="16">
        <f>IF(ISNA(VLOOKUP(A54,'Données projet'!$A$87:$I$107,3,0)),0,VLOOKUP(A54,'Données projet'!$A$87:$I$107,3,0))</f>
        <v>1</v>
      </c>
      <c r="BL54" s="16">
        <f>IF(ISNA(VLOOKUP(A54,'Données projet'!$A$87:$I$107,4,0)),0,VLOOKUP(A54,'Données projet'!$A$87:$I$107,4,0))</f>
        <v>170.16153846153847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7.2307692307692299</v>
      </c>
      <c r="BY54" s="13">
        <f>IF('Données projet'!$A$114&gt;35,BY53+BX54-CG53,IF(A54&lt;'Données projet'!$A$114,$BV$205^A54,IF(A54='Données projet'!$A$114,'Données projet'!$B$114,BY53+BX54-CG53)))</f>
        <v>137.37179487179483</v>
      </c>
      <c r="BZ54" s="14">
        <f>BY54*VLOOKUP('Données projet'!$B$12,Paramètres!$A$1:$I$89,3,0)*VLOOKUP('Données projet'!$B$12,Paramètres!$A$1:$I$89,5,0)</f>
        <v>139.29499999999996</v>
      </c>
      <c r="CA54" s="14">
        <f t="shared" si="39"/>
        <v>36.135452472174158</v>
      </c>
      <c r="CB54" s="22">
        <f t="shared" si="10"/>
        <v>305.54137138903656</v>
      </c>
      <c r="CC54" s="62">
        <f t="shared" si="11"/>
        <v>598.87470472236987</v>
      </c>
      <c r="CD54" s="62">
        <f ca="1">AVERAGE(OFFSET($CC$3,0,0,'Données projet'!$E$12+1,1))-AVERAGE(OFFSET($H$3,0,0,'Données projet'!$E$12+1,1))</f>
        <v>496.71400086768705</v>
      </c>
      <c r="CE54" s="62">
        <f t="shared" si="40"/>
        <v>206.75063396134982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7.2307692307692299</v>
      </c>
      <c r="CT54" s="13">
        <f>IF('Données projet'!$A$140&gt;35,CT53+CS54-DB53,IF(A54&lt;'Données projet'!$A$140,$CQ$205^A54,IF(A54='Données projet'!$A$140,'Données projet'!$B$140,CT53+CS54-DB53)))</f>
        <v>137.37179487179483</v>
      </c>
      <c r="CU54" s="18">
        <f>CT54*VLOOKUP('Données projet'!$B$13,Paramètres!$A$1:$I$89,3,0)*VLOOKUP('Données projet'!$B$13,Paramètres!$A$1:$I$89,5,0)</f>
        <v>147.86699999999996</v>
      </c>
      <c r="CV54" s="14">
        <f t="shared" si="41"/>
        <v>38.093450411830929</v>
      </c>
      <c r="CW54" s="22">
        <f t="shared" si="13"/>
        <v>323.88111780060541</v>
      </c>
      <c r="CX54" s="62">
        <f t="shared" si="14"/>
        <v>617.21445113393872</v>
      </c>
      <c r="CY54" s="62">
        <f ca="1">AVERAGE(OFFSET($CX$3,0,0,'Données projet'!$E$13+1,1))-AVERAGE(OFFSET($H$3,0,0,'Données projet'!$E$13+1,1))</f>
        <v>524.55238798353344</v>
      </c>
      <c r="CZ54" s="62">
        <f t="shared" si="42"/>
        <v>216.94512104983255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331.81538461538463</v>
      </c>
      <c r="L55" s="13">
        <f>VLOOKUP(A55,'Données projet'!$A$35:$I$55,9,0)</f>
        <v>11.642307692307689</v>
      </c>
      <c r="M55" s="13">
        <f t="array" ref="M55">INDEX(L:L,MIN(IF(ISNUMBER(L55:L251),ROW(L55:L251),"")))</f>
        <v>11.642307692307689</v>
      </c>
      <c r="N55" s="14">
        <f>IF('Données projet'!$A$36&gt;35,N54+M55-V54,IF(A55&lt;'Données projet'!$A$36,$K$205^A55,IF(A55='Données projet'!$A$36,'Données projet'!$B$36,N54+M55-V54)))</f>
        <v>331.81538461538429</v>
      </c>
      <c r="O55" s="14">
        <f>N55*VLOOKUP('Données projet'!$B$9,Paramètres!$A$1:$I$89,3,0)*VLOOKUP('Données projet'!$B$9,Paramètres!$A$1:$I$89,5,0)</f>
        <v>198.42559999999983</v>
      </c>
      <c r="P55" s="14">
        <f t="shared" si="33"/>
        <v>49.398003268862617</v>
      </c>
      <c r="Q55" s="22">
        <f t="shared" si="53"/>
        <v>431.62610902660208</v>
      </c>
      <c r="R55" s="62">
        <f t="shared" si="0"/>
        <v>724.95944235993534</v>
      </c>
      <c r="S55" s="62">
        <f ca="1">AVERAGE(OFFSET($R$3,0,0,'Données projet'!$E$9+1,1))-AVERAGE(OFFSET($H$3,0,0,'Données projet'!$E$9+1,1))</f>
        <v>260.01925143568263</v>
      </c>
      <c r="T55" s="62">
        <f t="shared" si="34"/>
        <v>269.95358755269427</v>
      </c>
      <c r="U55" s="16">
        <f>IF(ISNA(VLOOKUP(A55,'Données projet'!$A$35:$I$55,3,0)),0,VLOOKUP(A55,'Données projet'!$A$35:$I$55,3,0))</f>
        <v>6</v>
      </c>
      <c r="V55" s="16">
        <f>IF(ISNA(VLOOKUP(A55,'Données projet'!$A$35:$I$55,4,0)),0,VLOOKUP(A55,'Données projet'!$A$35:$I$55,4,0))</f>
        <v>61.784615384615378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10.66307692307692</v>
      </c>
      <c r="AI55" s="14">
        <f>IF('Données projet'!$A$62&gt;35,AI54+AH55-AQ54,IF(A55&lt;'Données projet'!$A$62,$AF$205^A55,IF(A55='Données projet'!$A$62,'Données projet'!$B$62,AI54+AH55-AQ54)))</f>
        <v>257.11846153846153</v>
      </c>
      <c r="AJ55" s="14">
        <f>AI55*VLOOKUP('Données projet'!$B$10,Paramètres!$A$1:$I$89,3,0)*VLOOKUP('Données projet'!$B$10,Paramètres!$A$1:$I$89,5,0)</f>
        <v>153.75684000000001</v>
      </c>
      <c r="AK55" s="14">
        <f t="shared" si="35"/>
        <v>39.431107959482766</v>
      </c>
      <c r="AL55" s="22">
        <f t="shared" si="4"/>
        <v>336.4690093627658</v>
      </c>
      <c r="AM55" s="62">
        <f t="shared" si="5"/>
        <v>629.80234269609912</v>
      </c>
      <c r="AN55" s="62">
        <f ca="1">AVERAGE(OFFSET($AM$3,0,0,'Données projet'!$E$10+1,1))-AVERAGE(OFFSET($H$3,0,0,'Données projet'!$E$10+1,1))</f>
        <v>289.24721145176682</v>
      </c>
      <c r="AO55" s="62">
        <f t="shared" si="36"/>
        <v>229.06617320689003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11.264615384615393</v>
      </c>
      <c r="BD55" s="13">
        <f>IF('Données projet'!$A$88&gt;35,BD54+BC55-BL54,IF(A55&lt;'Données projet'!$A$88,$BA$205^A55,IF(A55='Données projet'!$A$88,'Données projet'!$B$88,BD54+BC55-BL54)))</f>
        <v>228.67230769230784</v>
      </c>
      <c r="BE55" s="14">
        <f>BD55*VLOOKUP('Données projet'!$B$11,Paramètres!$A$1:$I$89,3,0)*VLOOKUP('Données projet'!$B$11,Paramètres!$A$1:$I$89,5,0)</f>
        <v>107.01864000000008</v>
      </c>
      <c r="BF55" s="14">
        <f t="shared" si="37"/>
        <v>28.6274335411624</v>
      </c>
      <c r="BG55" s="22">
        <f t="shared" si="7"/>
        <v>236.25024475085797</v>
      </c>
      <c r="BH55" s="62">
        <f t="shared" si="8"/>
        <v>529.58357808419123</v>
      </c>
      <c r="BI55" s="62">
        <f ca="1">AVERAGE(OFFSET($BH$3,0,0,'Données projet'!$E$11+1,1))-AVERAGE(OFFSET($H$3,0,0,'Données projet'!$E$11+1,1))</f>
        <v>284.72381074796073</v>
      </c>
      <c r="BJ55" s="62">
        <f t="shared" si="38"/>
        <v>190.4880882944471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7.2307692307692299</v>
      </c>
      <c r="BY55" s="13">
        <f>IF('Données projet'!$A$114&gt;35,BY54+BX55-CG54,IF(A55&lt;'Données projet'!$A$114,$BV$205^A55,IF(A55='Données projet'!$A$114,'Données projet'!$B$114,BY54+BX55-CG54)))</f>
        <v>144.60256410256406</v>
      </c>
      <c r="BZ55" s="14">
        <f>BY55*VLOOKUP('Données projet'!$B$12,Paramètres!$A$1:$I$89,3,0)*VLOOKUP('Données projet'!$B$12,Paramètres!$A$1:$I$89,5,0)</f>
        <v>146.62699999999998</v>
      </c>
      <c r="CA55" s="14">
        <f t="shared" si="39"/>
        <v>37.811047599991873</v>
      </c>
      <c r="CB55" s="22">
        <f t="shared" si="10"/>
        <v>321.22959956998579</v>
      </c>
      <c r="CC55" s="62">
        <f t="shared" si="11"/>
        <v>614.56293290331905</v>
      </c>
      <c r="CD55" s="62">
        <f ca="1">AVERAGE(OFFSET($CC$3,0,0,'Données projet'!$E$12+1,1))-AVERAGE(OFFSET($H$3,0,0,'Données projet'!$E$12+1,1))</f>
        <v>496.71400086768705</v>
      </c>
      <c r="CE55" s="62">
        <f t="shared" si="40"/>
        <v>206.75063396134982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7.2307692307692299</v>
      </c>
      <c r="CT55" s="13">
        <f>IF('Données projet'!$A$140&gt;35,CT54+CS55-DB54,IF(A55&lt;'Données projet'!$A$140,$CQ$205^A55,IF(A55='Données projet'!$A$140,'Données projet'!$B$140,CT54+CS55-DB54)))</f>
        <v>144.60256410256406</v>
      </c>
      <c r="CU55" s="18">
        <f>CT55*VLOOKUP('Données projet'!$B$13,Paramètres!$A$1:$I$89,3,0)*VLOOKUP('Données projet'!$B$13,Paramètres!$A$1:$I$89,5,0)</f>
        <v>155.65019999999996</v>
      </c>
      <c r="CV55" s="14">
        <f t="shared" si="41"/>
        <v>39.859837589658042</v>
      </c>
      <c r="CW55" s="22">
        <f t="shared" si="13"/>
        <v>340.51331546865435</v>
      </c>
      <c r="CX55" s="62">
        <f t="shared" si="14"/>
        <v>633.84664880198761</v>
      </c>
      <c r="CY55" s="62">
        <f ca="1">AVERAGE(OFFSET($CX$3,0,0,'Données projet'!$E$13+1,1))-AVERAGE(OFFSET($H$3,0,0,'Données projet'!$E$13+1,1))</f>
        <v>524.55238798353344</v>
      </c>
      <c r="CZ55" s="62">
        <f t="shared" si="42"/>
        <v>216.94512104983255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10.433653846153845</v>
      </c>
      <c r="N56" s="14">
        <f>IF('Données projet'!$A$36&gt;35,N55+M56-V55,IF(A56&lt;'Données projet'!$A$36,$K$205^A56,IF(A56='Données projet'!$A$36,'Données projet'!$B$36,N55+M56-V55)))</f>
        <v>280.46442307692274</v>
      </c>
      <c r="O56" s="14">
        <f>N56*VLOOKUP('Données projet'!$B$9,Paramètres!$A$1:$I$89,3,0)*VLOOKUP('Données projet'!$B$9,Paramètres!$A$1:$I$89,5,0)</f>
        <v>167.7177249999998</v>
      </c>
      <c r="P56" s="14">
        <f t="shared" si="33"/>
        <v>42.578468510426148</v>
      </c>
      <c r="Q56" s="22">
        <f t="shared" si="53"/>
        <v>366.26587036399184</v>
      </c>
      <c r="R56" s="62">
        <f t="shared" si="0"/>
        <v>659.59920369732515</v>
      </c>
      <c r="S56" s="62">
        <f ca="1">AVERAGE(OFFSET($R$3,0,0,'Données projet'!$E$9+1,1))-AVERAGE(OFFSET($H$3,0,0,'Données projet'!$E$9+1,1))</f>
        <v>260.01925143568263</v>
      </c>
      <c r="T56" s="62">
        <f t="shared" si="34"/>
        <v>269.95358755269427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10.66307692307692</v>
      </c>
      <c r="AI56" s="14">
        <f>IF('Données projet'!$A$62&gt;35,AI55+AH56-AQ55,IF(A56&lt;'Données projet'!$A$62,$AF$205^A56,IF(A56='Données projet'!$A$62,'Données projet'!$B$62,AI55+AH56-AQ55)))</f>
        <v>267.78153846153845</v>
      </c>
      <c r="AJ56" s="14">
        <f>AI56*VLOOKUP('Données projet'!$B$10,Paramètres!$A$1:$I$89,3,0)*VLOOKUP('Données projet'!$B$10,Paramètres!$A$1:$I$89,5,0)</f>
        <v>160.13336000000001</v>
      </c>
      <c r="AK56" s="14">
        <f t="shared" si="35"/>
        <v>40.872593668242253</v>
      </c>
      <c r="AL56" s="22">
        <f t="shared" si="4"/>
        <v>350.08536930552191</v>
      </c>
      <c r="AM56" s="62">
        <f t="shared" si="5"/>
        <v>643.41870263885517</v>
      </c>
      <c r="AN56" s="62">
        <f ca="1">AVERAGE(OFFSET($AM$3,0,0,'Données projet'!$E$10+1,1))-AVERAGE(OFFSET($H$3,0,0,'Données projet'!$E$10+1,1))</f>
        <v>289.24721145176682</v>
      </c>
      <c r="AO56" s="62">
        <f t="shared" si="36"/>
        <v>229.06617320689003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11.264615384615393</v>
      </c>
      <c r="BD56" s="13">
        <f>IF('Données projet'!$A$88&gt;35,BD55+BC56-BL55,IF(A56&lt;'Données projet'!$A$88,$BA$205^A56,IF(A56='Données projet'!$A$88,'Données projet'!$B$88,BD55+BC56-BL55)))</f>
        <v>239.93692307692322</v>
      </c>
      <c r="BE56" s="14">
        <f>BD56*VLOOKUP('Données projet'!$B$11,Paramètres!$A$1:$I$89,3,0)*VLOOKUP('Données projet'!$B$11,Paramètres!$A$1:$I$89,5,0)</f>
        <v>112.29048000000007</v>
      </c>
      <c r="BF56" s="14">
        <f t="shared" si="37"/>
        <v>29.869990545356057</v>
      </c>
      <c r="BG56" s="22">
        <f t="shared" si="7"/>
        <v>247.59615286649523</v>
      </c>
      <c r="BH56" s="62">
        <f t="shared" si="8"/>
        <v>540.92948619982849</v>
      </c>
      <c r="BI56" s="62">
        <f ca="1">AVERAGE(OFFSET($BH$3,0,0,'Données projet'!$E$11+1,1))-AVERAGE(OFFSET($H$3,0,0,'Données projet'!$E$11+1,1))</f>
        <v>284.72381074796073</v>
      </c>
      <c r="BJ56" s="62">
        <f t="shared" si="38"/>
        <v>190.4880882944471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7.2307692307692299</v>
      </c>
      <c r="BY56" s="13">
        <f>IF('Données projet'!$A$114&gt;35,BY55+BX56-CG55,IF(A56&lt;'Données projet'!$A$114,$BV$205^A56,IF(A56='Données projet'!$A$114,'Données projet'!$B$114,BY55+BX56-CG55)))</f>
        <v>151.83333333333329</v>
      </c>
      <c r="BZ56" s="14">
        <f>BY56*VLOOKUP('Données projet'!$B$12,Paramètres!$A$1:$I$89,3,0)*VLOOKUP('Données projet'!$B$12,Paramètres!$A$1:$I$89,5,0)</f>
        <v>153.95899999999995</v>
      </c>
      <c r="CA56" s="14">
        <f t="shared" si="39"/>
        <v>39.47691394734742</v>
      </c>
      <c r="CB56" s="22">
        <f t="shared" si="10"/>
        <v>336.90088345829662</v>
      </c>
      <c r="CC56" s="62">
        <f t="shared" si="11"/>
        <v>630.23421679162993</v>
      </c>
      <c r="CD56" s="62">
        <f ca="1">AVERAGE(OFFSET($CC$3,0,0,'Données projet'!$E$12+1,1))-AVERAGE(OFFSET($H$3,0,0,'Données projet'!$E$12+1,1))</f>
        <v>496.71400086768705</v>
      </c>
      <c r="CE56" s="62">
        <f t="shared" si="40"/>
        <v>206.75063396134982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7.2307692307692299</v>
      </c>
      <c r="CT56" s="13">
        <f>IF('Données projet'!$A$140&gt;35,CT55+CS56-DB55,IF(A56&lt;'Données projet'!$A$140,$CQ$205^A56,IF(A56='Données projet'!$A$140,'Données projet'!$B$140,CT55+CS56-DB55)))</f>
        <v>151.83333333333329</v>
      </c>
      <c r="CU56" s="18">
        <f>CT56*VLOOKUP('Données projet'!$B$13,Paramètres!$A$1:$I$89,3,0)*VLOOKUP('Données projet'!$B$13,Paramètres!$A$1:$I$89,5,0)</f>
        <v>163.43339999999995</v>
      </c>
      <c r="CV56" s="14">
        <f t="shared" si="41"/>
        <v>41.615968833471683</v>
      </c>
      <c r="CW56" s="22">
        <f t="shared" si="13"/>
        <v>357.12765071829648</v>
      </c>
      <c r="CX56" s="62">
        <f t="shared" si="14"/>
        <v>650.46098405162979</v>
      </c>
      <c r="CY56" s="62">
        <f ca="1">AVERAGE(OFFSET($CX$3,0,0,'Données projet'!$E$13+1,1))-AVERAGE(OFFSET($H$3,0,0,'Données projet'!$E$13+1,1))</f>
        <v>524.55238798353344</v>
      </c>
      <c r="CZ56" s="62">
        <f t="shared" si="42"/>
        <v>216.94512104983255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10.433653846153845</v>
      </c>
      <c r="N57" s="14">
        <f>IF('Données projet'!$A$36&gt;35,N56+M57-V56,IF(A57&lt;'Données projet'!$A$36,$K$205^A57,IF(A57='Données projet'!$A$36,'Données projet'!$B$36,N56+M57-V56)))</f>
        <v>290.89807692307659</v>
      </c>
      <c r="O57" s="14">
        <f>N57*VLOOKUP('Données projet'!$B$9,Paramètres!$A$1:$I$89,3,0)*VLOOKUP('Données projet'!$B$9,Paramètres!$A$1:$I$89,5,0)</f>
        <v>173.95704999999981</v>
      </c>
      <c r="P57" s="14">
        <f t="shared" si="33"/>
        <v>43.975080818549252</v>
      </c>
      <c r="Q57" s="22">
        <f t="shared" si="53"/>
        <v>379.56512784230631</v>
      </c>
      <c r="R57" s="62">
        <f t="shared" si="0"/>
        <v>672.89846117563957</v>
      </c>
      <c r="S57" s="62">
        <f ca="1">AVERAGE(OFFSET($R$3,0,0,'Données projet'!$E$9+1,1))-AVERAGE(OFFSET($H$3,0,0,'Données projet'!$E$9+1,1))</f>
        <v>260.01925143568263</v>
      </c>
      <c r="T57" s="62">
        <f t="shared" si="34"/>
        <v>269.95358755269427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10.66307692307692</v>
      </c>
      <c r="AI57" s="14">
        <f>IF('Données projet'!$A$62&gt;35,AI56+AH57-AQ56,IF(A57&lt;'Données projet'!$A$62,$AF$205^A57,IF(A57='Données projet'!$A$62,'Données projet'!$B$62,AI56+AH57-AQ56)))</f>
        <v>278.44461538461536</v>
      </c>
      <c r="AJ57" s="14">
        <f>AI57*VLOOKUP('Données projet'!$B$10,Paramètres!$A$1:$I$89,3,0)*VLOOKUP('Données projet'!$B$10,Paramètres!$A$1:$I$89,5,0)</f>
        <v>166.50987999999998</v>
      </c>
      <c r="AK57" s="14">
        <f t="shared" si="35"/>
        <v>42.307411610776938</v>
      </c>
      <c r="AL57" s="22">
        <f t="shared" si="4"/>
        <v>363.69011622210314</v>
      </c>
      <c r="AM57" s="62">
        <f t="shared" si="5"/>
        <v>657.0234495554364</v>
      </c>
      <c r="AN57" s="62">
        <f ca="1">AVERAGE(OFFSET($AM$3,0,0,'Données projet'!$E$10+1,1))-AVERAGE(OFFSET($H$3,0,0,'Données projet'!$E$10+1,1))</f>
        <v>289.24721145176682</v>
      </c>
      <c r="AO57" s="62">
        <f t="shared" si="36"/>
        <v>229.06617320689003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11.264615384615393</v>
      </c>
      <c r="BD57" s="13">
        <f>IF('Données projet'!$A$88&gt;35,BD56+BC57-BL56,IF(A57&lt;'Données projet'!$A$88,$BA$205^A57,IF(A57='Données projet'!$A$88,'Données projet'!$B$88,BD56+BC57-BL56)))</f>
        <v>251.2015384615386</v>
      </c>
      <c r="BE57" s="14">
        <f>BD57*VLOOKUP('Données projet'!$B$11,Paramètres!$A$1:$I$89,3,0)*VLOOKUP('Données projet'!$B$11,Paramètres!$A$1:$I$89,5,0)</f>
        <v>117.56232000000007</v>
      </c>
      <c r="BF57" s="14">
        <f t="shared" si="37"/>
        <v>31.105773147740869</v>
      </c>
      <c r="BG57" s="22">
        <f t="shared" si="7"/>
        <v>258.93026223231544</v>
      </c>
      <c r="BH57" s="62">
        <f t="shared" si="8"/>
        <v>552.26359556564876</v>
      </c>
      <c r="BI57" s="62">
        <f ca="1">AVERAGE(OFFSET($BH$3,0,0,'Données projet'!$E$11+1,1))-AVERAGE(OFFSET($H$3,0,0,'Données projet'!$E$11+1,1))</f>
        <v>284.72381074796073</v>
      </c>
      <c r="BJ57" s="62">
        <f t="shared" si="38"/>
        <v>190.4880882944471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7.2307692307692299</v>
      </c>
      <c r="BY57" s="13">
        <f>IF('Données projet'!$A$114&gt;35,BY56+BX57-CG56,IF(A57&lt;'Données projet'!$A$114,$BV$205^A57,IF(A57='Données projet'!$A$114,'Données projet'!$B$114,BY56+BX57-CG56)))</f>
        <v>159.06410256410251</v>
      </c>
      <c r="BZ57" s="14">
        <f>BY57*VLOOKUP('Données projet'!$B$12,Paramètres!$A$1:$I$89,3,0)*VLOOKUP('Données projet'!$B$12,Paramètres!$A$1:$I$89,5,0)</f>
        <v>161.29099999999997</v>
      </c>
      <c r="CA57" s="14">
        <f t="shared" si="39"/>
        <v>41.133567726597647</v>
      </c>
      <c r="CB57" s="22">
        <f t="shared" si="10"/>
        <v>352.5561221238242</v>
      </c>
      <c r="CC57" s="62">
        <f t="shared" si="11"/>
        <v>645.88945545715751</v>
      </c>
      <c r="CD57" s="62">
        <f ca="1">AVERAGE(OFFSET($CC$3,0,0,'Données projet'!$E$12+1,1))-AVERAGE(OFFSET($H$3,0,0,'Données projet'!$E$12+1,1))</f>
        <v>496.71400086768705</v>
      </c>
      <c r="CE57" s="62">
        <f t="shared" si="40"/>
        <v>206.75063396134982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7.2307692307692299</v>
      </c>
      <c r="CT57" s="13">
        <f>IF('Données projet'!$A$140&gt;35,CT56+CS57-DB56,IF(A57&lt;'Données projet'!$A$140,$CQ$205^A57,IF(A57='Données projet'!$A$140,'Données projet'!$B$140,CT56+CS57-DB56)))</f>
        <v>159.06410256410251</v>
      </c>
      <c r="CU57" s="18">
        <f>CT57*VLOOKUP('Données projet'!$B$13,Paramètres!$A$1:$I$89,3,0)*VLOOKUP('Données projet'!$B$13,Paramètres!$A$1:$I$89,5,0)</f>
        <v>171.21659999999994</v>
      </c>
      <c r="CV57" s="14">
        <f t="shared" si="41"/>
        <v>43.362388326572948</v>
      </c>
      <c r="CW57" s="22">
        <f t="shared" si="13"/>
        <v>373.72507133544781</v>
      </c>
      <c r="CX57" s="62">
        <f t="shared" si="14"/>
        <v>667.05840466878112</v>
      </c>
      <c r="CY57" s="62">
        <f ca="1">AVERAGE(OFFSET($CX$3,0,0,'Données projet'!$E$13+1,1))-AVERAGE(OFFSET($H$3,0,0,'Données projet'!$E$13+1,1))</f>
        <v>524.55238798353344</v>
      </c>
      <c r="CZ57" s="62">
        <f t="shared" si="42"/>
        <v>216.94512104983255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10.433653846153845</v>
      </c>
      <c r="N58" s="14">
        <f>IF('Données projet'!$A$36&gt;35,N57+M58-V57,IF(A58&lt;'Données projet'!$A$36,$K$205^A58,IF(A58='Données projet'!$A$36,'Données projet'!$B$36,N57+M58-V57)))</f>
        <v>301.33173076923043</v>
      </c>
      <c r="O58" s="14">
        <f>N58*VLOOKUP('Données projet'!$B$9,Paramètres!$A$1:$I$89,3,0)*VLOOKUP('Données projet'!$B$9,Paramètres!$A$1:$I$89,5,0)</f>
        <v>180.19637499999982</v>
      </c>
      <c r="P58" s="14">
        <f t="shared" si="33"/>
        <v>45.365873213127962</v>
      </c>
      <c r="Q58" s="22">
        <f t="shared" si="53"/>
        <v>392.85424897119748</v>
      </c>
      <c r="R58" s="62">
        <f t="shared" si="0"/>
        <v>686.18758230453079</v>
      </c>
      <c r="S58" s="62">
        <f ca="1">AVERAGE(OFFSET($R$3,0,0,'Données projet'!$E$9+1,1))-AVERAGE(OFFSET($H$3,0,0,'Données projet'!$E$9+1,1))</f>
        <v>260.01925143568263</v>
      </c>
      <c r="T58" s="62">
        <f t="shared" si="34"/>
        <v>269.95358755269427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10.66307692307692</v>
      </c>
      <c r="AI58" s="14">
        <f>IF('Données projet'!$A$62&gt;35,AI57+AH58-AQ57,IF(A58&lt;'Données projet'!$A$62,$AF$205^A58,IF(A58='Données projet'!$A$62,'Données projet'!$B$62,AI57+AH58-AQ57)))</f>
        <v>289.10769230769228</v>
      </c>
      <c r="AJ58" s="14">
        <f>AI58*VLOOKUP('Données projet'!$B$10,Paramètres!$A$1:$I$89,3,0)*VLOOKUP('Données projet'!$B$10,Paramètres!$A$1:$I$89,5,0)</f>
        <v>172.88639999999998</v>
      </c>
      <c r="AK58" s="14">
        <f t="shared" si="35"/>
        <v>43.735846359314316</v>
      </c>
      <c r="AL58" s="22">
        <f t="shared" si="4"/>
        <v>377.28374574247232</v>
      </c>
      <c r="AM58" s="62">
        <f t="shared" si="5"/>
        <v>670.61707907580558</v>
      </c>
      <c r="AN58" s="62">
        <f ca="1">AVERAGE(OFFSET($AM$3,0,0,'Données projet'!$E$10+1,1))-AVERAGE(OFFSET($H$3,0,0,'Données projet'!$E$10+1,1))</f>
        <v>289.24721145176682</v>
      </c>
      <c r="AO58" s="62">
        <f t="shared" si="36"/>
        <v>229.06617320689003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11.264615384615393</v>
      </c>
      <c r="BD58" s="13">
        <f>IF('Données projet'!$A$88&gt;35,BD57+BC58-BL57,IF(A58&lt;'Données projet'!$A$88,$BA$205^A58,IF(A58='Données projet'!$A$88,'Données projet'!$B$88,BD57+BC58-BL57)))</f>
        <v>262.46615384615399</v>
      </c>
      <c r="BE58" s="14">
        <f>BD58*VLOOKUP('Données projet'!$B$11,Paramètres!$A$1:$I$89,3,0)*VLOOKUP('Données projet'!$B$11,Paramètres!$A$1:$I$89,5,0)</f>
        <v>122.83416000000007</v>
      </c>
      <c r="BF58" s="14">
        <f t="shared" si="37"/>
        <v>32.335119841040878</v>
      </c>
      <c r="BG58" s="22">
        <f t="shared" si="7"/>
        <v>270.25316238981299</v>
      </c>
      <c r="BH58" s="62">
        <f t="shared" si="8"/>
        <v>563.5864957231463</v>
      </c>
      <c r="BI58" s="62">
        <f ca="1">AVERAGE(OFFSET($BH$3,0,0,'Données projet'!$E$11+1,1))-AVERAGE(OFFSET($H$3,0,0,'Données projet'!$E$11+1,1))</f>
        <v>284.72381074796073</v>
      </c>
      <c r="BJ58" s="62">
        <f t="shared" si="38"/>
        <v>190.4880882944471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7.2307692307692299</v>
      </c>
      <c r="BY58" s="13">
        <f>IF('Données projet'!$A$114&gt;35,BY57+BX58-CG57,IF(A58&lt;'Données projet'!$A$114,$BV$205^A58,IF(A58='Données projet'!$A$114,'Données projet'!$B$114,BY57+BX58-CG57)))</f>
        <v>166.29487179487174</v>
      </c>
      <c r="BZ58" s="14">
        <f>BY58*VLOOKUP('Données projet'!$B$12,Paramètres!$A$1:$I$89,3,0)*VLOOKUP('Données projet'!$B$12,Paramètres!$A$1:$I$89,5,0)</f>
        <v>168.62299999999996</v>
      </c>
      <c r="CA58" s="14">
        <f t="shared" si="39"/>
        <v>42.781475565021637</v>
      </c>
      <c r="CB58" s="22">
        <f t="shared" si="10"/>
        <v>368.19612827574588</v>
      </c>
      <c r="CC58" s="62">
        <f t="shared" si="11"/>
        <v>661.52946160907914</v>
      </c>
      <c r="CD58" s="62">
        <f ca="1">AVERAGE(OFFSET($CC$3,0,0,'Données projet'!$E$12+1,1))-AVERAGE(OFFSET($H$3,0,0,'Données projet'!$E$12+1,1))</f>
        <v>496.71400086768705</v>
      </c>
      <c r="CE58" s="62">
        <f t="shared" si="40"/>
        <v>206.75063396134982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7.2307692307692299</v>
      </c>
      <c r="CT58" s="13">
        <f>IF('Données projet'!$A$140&gt;35,CT57+CS58-DB57,IF(A58&lt;'Données projet'!$A$140,$CQ$205^A58,IF(A58='Données projet'!$A$140,'Données projet'!$B$140,CT57+CS58-DB57)))</f>
        <v>166.29487179487174</v>
      </c>
      <c r="CU58" s="18">
        <f>CT58*VLOOKUP('Données projet'!$B$13,Paramètres!$A$1:$I$89,3,0)*VLOOKUP('Données projet'!$B$13,Paramètres!$A$1:$I$89,5,0)</f>
        <v>178.99979999999994</v>
      </c>
      <c r="CV58" s="14">
        <f t="shared" si="41"/>
        <v>45.099587980420118</v>
      </c>
      <c r="CW58" s="22">
        <f t="shared" si="13"/>
        <v>390.3064340658982</v>
      </c>
      <c r="CX58" s="62">
        <f t="shared" si="14"/>
        <v>683.63976739923146</v>
      </c>
      <c r="CY58" s="62">
        <f ca="1">AVERAGE(OFFSET($CX$3,0,0,'Données projet'!$E$13+1,1))-AVERAGE(OFFSET($H$3,0,0,'Données projet'!$E$13+1,1))</f>
        <v>524.55238798353344</v>
      </c>
      <c r="CZ58" s="62">
        <f t="shared" si="42"/>
        <v>216.94512104983255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10.433653846153845</v>
      </c>
      <c r="N59" s="14">
        <f>IF('Données projet'!$A$36&gt;35,N58+M59-V58,IF(A59&lt;'Données projet'!$A$36,$K$205^A59,IF(A59='Données projet'!$A$36,'Données projet'!$B$36,N58+M59-V58)))</f>
        <v>311.76538461538428</v>
      </c>
      <c r="O59" s="14">
        <f>N59*VLOOKUP('Données projet'!$B$9,Paramètres!$A$1:$I$89,3,0)*VLOOKUP('Données projet'!$B$9,Paramètres!$A$1:$I$89,5,0)</f>
        <v>186.4356999999998</v>
      </c>
      <c r="P59" s="14">
        <f t="shared" si="33"/>
        <v>46.751070304344353</v>
      </c>
      <c r="Q59" s="22">
        <f t="shared" si="53"/>
        <v>406.13362494673265</v>
      </c>
      <c r="R59" s="62">
        <f t="shared" si="0"/>
        <v>699.46695828006591</v>
      </c>
      <c r="S59" s="62">
        <f ca="1">AVERAGE(OFFSET($R$3,0,0,'Données projet'!$E$9+1,1))-AVERAGE(OFFSET($H$3,0,0,'Données projet'!$E$9+1,1))</f>
        <v>260.01925143568263</v>
      </c>
      <c r="T59" s="62">
        <f t="shared" si="34"/>
        <v>269.95358755269427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10.66307692307692</v>
      </c>
      <c r="AI59" s="14">
        <f>IF('Données projet'!$A$62&gt;35,AI58+AH59-AQ58,IF(A59&lt;'Données projet'!$A$62,$AF$205^A59,IF(A59='Données projet'!$A$62,'Données projet'!$B$62,AI58+AH59-AQ58)))</f>
        <v>299.77076923076919</v>
      </c>
      <c r="AJ59" s="14">
        <f>AI59*VLOOKUP('Données projet'!$B$10,Paramètres!$A$1:$I$89,3,0)*VLOOKUP('Données projet'!$B$10,Paramètres!$A$1:$I$89,5,0)</f>
        <v>179.26291999999998</v>
      </c>
      <c r="AK59" s="14">
        <f t="shared" si="35"/>
        <v>45.158160305042841</v>
      </c>
      <c r="AL59" s="22">
        <f t="shared" si="4"/>
        <v>390.8667148646162</v>
      </c>
      <c r="AM59" s="62">
        <f t="shared" si="5"/>
        <v>684.20004819794951</v>
      </c>
      <c r="AN59" s="62">
        <f ca="1">AVERAGE(OFFSET($AM$3,0,0,'Données projet'!$E$10+1,1))-AVERAGE(OFFSET($H$3,0,0,'Données projet'!$E$10+1,1))</f>
        <v>289.24721145176682</v>
      </c>
      <c r="AO59" s="62">
        <f t="shared" si="36"/>
        <v>229.06617320689003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273.73076923076923</v>
      </c>
      <c r="BB59" s="13">
        <f>VLOOKUP(A59,'Données projet'!$A$87:$I$107,9,0)</f>
        <v>11.264615384615393</v>
      </c>
      <c r="BC59" s="13">
        <f t="array" ref="BC59">INDEX(BB:BB,MIN(IF(ISNUMBER(BB59:BB255),ROW(BB59:BB255),"")))</f>
        <v>11.264615384615393</v>
      </c>
      <c r="BD59" s="13">
        <f>IF('Données projet'!$A$88&gt;35,BD58+BC59-BL58,IF(A59&lt;'Données projet'!$A$88,$BA$205^A59,IF(A59='Données projet'!$A$88,'Données projet'!$B$88,BD58+BC59-BL58)))</f>
        <v>273.7307692307694</v>
      </c>
      <c r="BE59" s="14">
        <f>BD59*VLOOKUP('Données projet'!$B$11,Paramètres!$A$1:$I$89,3,0)*VLOOKUP('Données projet'!$B$11,Paramètres!$A$1:$I$89,5,0)</f>
        <v>128.10600000000008</v>
      </c>
      <c r="BF59" s="14">
        <f t="shared" si="37"/>
        <v>33.558338419591216</v>
      </c>
      <c r="BG59" s="22">
        <f t="shared" si="7"/>
        <v>281.56538941412151</v>
      </c>
      <c r="BH59" s="62">
        <f t="shared" si="8"/>
        <v>574.89872274745483</v>
      </c>
      <c r="BI59" s="62">
        <f ca="1">AVERAGE(OFFSET($BH$3,0,0,'Données projet'!$E$11+1,1))-AVERAGE(OFFSET($H$3,0,0,'Données projet'!$E$11+1,1))</f>
        <v>284.72381074796073</v>
      </c>
      <c r="BJ59" s="62">
        <f t="shared" si="38"/>
        <v>190.4880882944471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7.2307692307692299</v>
      </c>
      <c r="BY59" s="13">
        <f>IF('Données projet'!$A$114&gt;35,BY58+BX59-CG58,IF(A59&lt;'Données projet'!$A$114,$BV$205^A59,IF(A59='Données projet'!$A$114,'Données projet'!$B$114,BY58+BX59-CG58)))</f>
        <v>173.52564102564097</v>
      </c>
      <c r="BZ59" s="14">
        <f>BY59*VLOOKUP('Données projet'!$B$12,Paramètres!$A$1:$I$89,3,0)*VLOOKUP('Données projet'!$B$12,Paramètres!$A$1:$I$89,5,0)</f>
        <v>175.95499999999996</v>
      </c>
      <c r="CA59" s="14">
        <f t="shared" si="39"/>
        <v>44.421061215719348</v>
      </c>
      <c r="CB59" s="22">
        <f t="shared" si="10"/>
        <v>383.82163995071102</v>
      </c>
      <c r="CC59" s="62">
        <f t="shared" si="11"/>
        <v>677.15497328404433</v>
      </c>
      <c r="CD59" s="62">
        <f ca="1">AVERAGE(OFFSET($CC$3,0,0,'Données projet'!$E$12+1,1))-AVERAGE(OFFSET($H$3,0,0,'Données projet'!$E$12+1,1))</f>
        <v>496.71400086768705</v>
      </c>
      <c r="CE59" s="62">
        <f t="shared" si="40"/>
        <v>206.75063396134982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7.2307692307692299</v>
      </c>
      <c r="CT59" s="13">
        <f>IF('Données projet'!$A$140&gt;35,CT58+CS59-DB58,IF(A59&lt;'Données projet'!$A$140,$CQ$205^A59,IF(A59='Données projet'!$A$140,'Données projet'!$B$140,CT58+CS59-DB58)))</f>
        <v>173.52564102564097</v>
      </c>
      <c r="CU59" s="18">
        <f>CT59*VLOOKUP('Données projet'!$B$13,Paramètres!$A$1:$I$89,3,0)*VLOOKUP('Données projet'!$B$13,Paramètres!$A$1:$I$89,5,0)</f>
        <v>186.78299999999993</v>
      </c>
      <c r="CV59" s="14">
        <f t="shared" si="41"/>
        <v>46.828014509156624</v>
      </c>
      <c r="CW59" s="22">
        <f t="shared" si="13"/>
        <v>406.87251693678098</v>
      </c>
      <c r="CX59" s="62">
        <f t="shared" si="14"/>
        <v>700.2058502701143</v>
      </c>
      <c r="CY59" s="62">
        <f ca="1">AVERAGE(OFFSET($CX$3,0,0,'Données projet'!$E$13+1,1))-AVERAGE(OFFSET($H$3,0,0,'Données projet'!$E$13+1,1))</f>
        <v>524.55238798353344</v>
      </c>
      <c r="CZ59" s="62">
        <f t="shared" si="42"/>
        <v>216.94512104983255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10.433653846153845</v>
      </c>
      <c r="N60" s="14">
        <f>IF('Données projet'!$A$36&gt;35,N59+M60-V59,IF(A60&lt;'Données projet'!$A$36,$K$205^A60,IF(A60='Données projet'!$A$36,'Données projet'!$B$36,N59+M60-V59)))</f>
        <v>322.19903846153812</v>
      </c>
      <c r="O60" s="14">
        <f>N60*VLOOKUP('Données projet'!$B$9,Paramètres!$A$1:$I$89,3,0)*VLOOKUP('Données projet'!$B$9,Paramètres!$A$1:$I$89,5,0)</f>
        <v>192.67502499999981</v>
      </c>
      <c r="P60" s="14">
        <f t="shared" si="33"/>
        <v>48.130880815569739</v>
      </c>
      <c r="Q60" s="22">
        <f t="shared" si="53"/>
        <v>419.40361929545026</v>
      </c>
      <c r="R60" s="62">
        <f t="shared" si="0"/>
        <v>712.73695262878357</v>
      </c>
      <c r="S60" s="62">
        <f ca="1">AVERAGE(OFFSET($R$3,0,0,'Données projet'!$E$9+1,1))-AVERAGE(OFFSET($H$3,0,0,'Données projet'!$E$9+1,1))</f>
        <v>260.01925143568263</v>
      </c>
      <c r="T60" s="62">
        <f t="shared" si="34"/>
        <v>269.95358755269427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10.66307692307692</v>
      </c>
      <c r="AI60" s="14">
        <f>IF('Données projet'!$A$62&gt;35,AI59+AH60-AQ59,IF(A60&lt;'Données projet'!$A$62,$AF$205^A60,IF(A60='Données projet'!$A$62,'Données projet'!$B$62,AI59+AH60-AQ59)))</f>
        <v>310.4338461538461</v>
      </c>
      <c r="AJ60" s="14">
        <f>AI60*VLOOKUP('Données projet'!$B$10,Paramètres!$A$1:$I$89,3,0)*VLOOKUP('Données projet'!$B$10,Paramètres!$A$1:$I$89,5,0)</f>
        <v>185.63943999999998</v>
      </c>
      <c r="AK60" s="14">
        <f t="shared" si="35"/>
        <v>46.574596113982338</v>
      </c>
      <c r="AL60" s="22">
        <f t="shared" si="4"/>
        <v>404.43944623185251</v>
      </c>
      <c r="AM60" s="62">
        <f t="shared" si="5"/>
        <v>697.77277956518583</v>
      </c>
      <c r="AN60" s="62">
        <f ca="1">AVERAGE(OFFSET($AM$3,0,0,'Données projet'!$E$10+1,1))-AVERAGE(OFFSET($H$3,0,0,'Données projet'!$E$10+1,1))</f>
        <v>289.24721145176682</v>
      </c>
      <c r="AO60" s="62">
        <f t="shared" si="36"/>
        <v>229.06617320689003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11.076923076923084</v>
      </c>
      <c r="BD60" s="13">
        <f>IF('Données projet'!$A$88&gt;35,BD59+BC60-BL59,IF(A60&lt;'Données projet'!$A$88,$BA$205^A60,IF(A60='Données projet'!$A$88,'Données projet'!$B$88,BD59+BC60-BL59)))</f>
        <v>284.80769230769249</v>
      </c>
      <c r="BE60" s="14">
        <f>BD60*VLOOKUP('Données projet'!$B$11,Paramètres!$A$1:$I$89,3,0)*VLOOKUP('Données projet'!$B$11,Paramètres!$A$1:$I$89,5,0)</f>
        <v>133.29000000000008</v>
      </c>
      <c r="BF60" s="14">
        <f t="shared" si="37"/>
        <v>34.755472404632187</v>
      </c>
      <c r="BG60" s="22">
        <f t="shared" si="7"/>
        <v>292.67919777140122</v>
      </c>
      <c r="BH60" s="62">
        <f t="shared" si="8"/>
        <v>586.01253110473453</v>
      </c>
      <c r="BI60" s="62">
        <f ca="1">AVERAGE(OFFSET($BH$3,0,0,'Données projet'!$E$11+1,1))-AVERAGE(OFFSET($H$3,0,0,'Données projet'!$E$11+1,1))</f>
        <v>284.72381074796073</v>
      </c>
      <c r="BJ60" s="62">
        <f t="shared" si="38"/>
        <v>190.4880882944471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7.2307692307692299</v>
      </c>
      <c r="BY60" s="13">
        <f>IF('Données projet'!$A$114&gt;35,BY59+BX60-CG59,IF(A60&lt;'Données projet'!$A$114,$BV$205^A60,IF(A60='Données projet'!$A$114,'Données projet'!$B$114,BY59+BX60-CG59)))</f>
        <v>180.75641025641019</v>
      </c>
      <c r="BZ60" s="14">
        <f>BY60*VLOOKUP('Données projet'!$B$12,Paramètres!$A$1:$I$89,3,0)*VLOOKUP('Données projet'!$B$12,Paramètres!$A$1:$I$89,5,0)</f>
        <v>183.28699999999995</v>
      </c>
      <c r="CA60" s="14">
        <f t="shared" si="39"/>
        <v>46.052711118425229</v>
      </c>
      <c r="CB60" s="22">
        <f t="shared" si="10"/>
        <v>399.43333019792385</v>
      </c>
      <c r="CC60" s="62">
        <f t="shared" si="11"/>
        <v>692.76666353125711</v>
      </c>
      <c r="CD60" s="62">
        <f ca="1">AVERAGE(OFFSET($CC$3,0,0,'Données projet'!$E$12+1,1))-AVERAGE(OFFSET($H$3,0,0,'Données projet'!$E$12+1,1))</f>
        <v>496.71400086768705</v>
      </c>
      <c r="CE60" s="62">
        <f t="shared" si="40"/>
        <v>206.75063396134982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7.2307692307692299</v>
      </c>
      <c r="CT60" s="13">
        <f>IF('Données projet'!$A$140&gt;35,CT59+CS60-DB59,IF(A60&lt;'Données projet'!$A$140,$CQ$205^A60,IF(A60='Données projet'!$A$140,'Données projet'!$B$140,CT59+CS60-DB59)))</f>
        <v>180.75641025641019</v>
      </c>
      <c r="CU60" s="18">
        <f>CT60*VLOOKUP('Données projet'!$B$13,Paramètres!$A$1:$I$89,3,0)*VLOOKUP('Données projet'!$B$13,Paramètres!$A$1:$I$89,5,0)</f>
        <v>194.56619999999992</v>
      </c>
      <c r="CV60" s="14">
        <f t="shared" si="41"/>
        <v>48.548075291737312</v>
      </c>
      <c r="CW60" s="22">
        <f t="shared" si="13"/>
        <v>423.42402946644233</v>
      </c>
      <c r="CX60" s="62">
        <f t="shared" si="14"/>
        <v>716.75736279977559</v>
      </c>
      <c r="CY60" s="62">
        <f ca="1">AVERAGE(OFFSET($CX$3,0,0,'Données projet'!$E$13+1,1))-AVERAGE(OFFSET($H$3,0,0,'Données projet'!$E$13+1,1))</f>
        <v>524.55238798353344</v>
      </c>
      <c r="CZ60" s="62">
        <f t="shared" si="42"/>
        <v>216.94512104983255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10.433653846153845</v>
      </c>
      <c r="N61" s="14">
        <f>IF('Données projet'!$A$36&gt;35,N60+M61-V60,IF(A61&lt;'Données projet'!$A$36,$K$205^A61,IF(A61='Données projet'!$A$36,'Données projet'!$B$36,N60+M61-V60)))</f>
        <v>332.63269230769197</v>
      </c>
      <c r="O61" s="14">
        <f>N61*VLOOKUP('Données projet'!$B$9,Paramètres!$A$1:$I$89,3,0)*VLOOKUP('Données projet'!$B$9,Paramètres!$A$1:$I$89,5,0)</f>
        <v>198.91434999999981</v>
      </c>
      <c r="P61" s="14">
        <f t="shared" si="33"/>
        <v>49.505499184742547</v>
      </c>
      <c r="Q61" s="22">
        <f t="shared" si="53"/>
        <v>432.66457066342628</v>
      </c>
      <c r="R61" s="62">
        <f t="shared" si="0"/>
        <v>725.99790399675953</v>
      </c>
      <c r="S61" s="62">
        <f ca="1">AVERAGE(OFFSET($R$3,0,0,'Données projet'!$E$9+1,1))-AVERAGE(OFFSET($H$3,0,0,'Données projet'!$E$9+1,1))</f>
        <v>260.01925143568263</v>
      </c>
      <c r="T61" s="62">
        <f t="shared" si="34"/>
        <v>269.95358755269427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10.66307692307692</v>
      </c>
      <c r="AI61" s="14">
        <f>IF('Données projet'!$A$62&gt;35,AI60+AH61-AQ60,IF(A61&lt;'Données projet'!$A$62,$AF$205^A61,IF(A61='Données projet'!$A$62,'Données projet'!$B$62,AI60+AH61-AQ60)))</f>
        <v>321.09692307692302</v>
      </c>
      <c r="AJ61" s="14">
        <f>AI61*VLOOKUP('Données projet'!$B$10,Paramètres!$A$1:$I$89,3,0)*VLOOKUP('Données projet'!$B$10,Paramètres!$A$1:$I$89,5,0)</f>
        <v>192.01595999999998</v>
      </c>
      <c r="AK61" s="14">
        <f t="shared" si="35"/>
        <v>47.985378835949042</v>
      </c>
      <c r="AL61" s="22">
        <f t="shared" si="4"/>
        <v>418.00233180594455</v>
      </c>
      <c r="AM61" s="62">
        <f t="shared" si="5"/>
        <v>711.33566513927781</v>
      </c>
      <c r="AN61" s="62">
        <f ca="1">AVERAGE(OFFSET($AM$3,0,0,'Données projet'!$E$10+1,1))-AVERAGE(OFFSET($H$3,0,0,'Données projet'!$E$10+1,1))</f>
        <v>289.24721145176682</v>
      </c>
      <c r="AO61" s="62">
        <f t="shared" si="36"/>
        <v>229.06617320689003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11.076923076923084</v>
      </c>
      <c r="BD61" s="13">
        <f>IF('Données projet'!$A$88&gt;35,BD60+BC61-BL60,IF(A61&lt;'Données projet'!$A$88,$BA$205^A61,IF(A61='Données projet'!$A$88,'Données projet'!$B$88,BD60+BC61-BL60)))</f>
        <v>295.88461538461559</v>
      </c>
      <c r="BE61" s="14">
        <f>BD61*VLOOKUP('Données projet'!$B$11,Paramètres!$A$1:$I$89,3,0)*VLOOKUP('Données projet'!$B$11,Paramètres!$A$1:$I$89,5,0)</f>
        <v>138.4740000000001</v>
      </c>
      <c r="BF61" s="14">
        <f t="shared" si="37"/>
        <v>35.947197649185291</v>
      </c>
      <c r="BG61" s="22">
        <f t="shared" si="7"/>
        <v>303.78358590566455</v>
      </c>
      <c r="BH61" s="62">
        <f t="shared" si="8"/>
        <v>597.11691923899787</v>
      </c>
      <c r="BI61" s="62">
        <f ca="1">AVERAGE(OFFSET($BH$3,0,0,'Données projet'!$E$11+1,1))-AVERAGE(OFFSET($H$3,0,0,'Données projet'!$E$11+1,1))</f>
        <v>284.72381074796073</v>
      </c>
      <c r="BJ61" s="62">
        <f t="shared" si="38"/>
        <v>190.4880882944471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>
        <f>VLOOKUP(A61,'Données projet'!$A$113:$I$133,2,0)</f>
        <v>187.98717948717947</v>
      </c>
      <c r="BW61" s="13">
        <f>VLOOKUP(A61,'Données projet'!$A$113:$I$133,9,0)</f>
        <v>7.2307692307692299</v>
      </c>
      <c r="BX61" s="13">
        <f t="array" ref="BX61">INDEX(BW:BW,MIN(IF(ISNUMBER(BW61:BW257),ROW(BW61:BW257),"")))</f>
        <v>7.2307692307692299</v>
      </c>
      <c r="BY61" s="13">
        <f>IF('Données projet'!$A$114&gt;35,BY60+BX61-CG60,IF(A61&lt;'Données projet'!$A$114,$BV$205^A61,IF(A61='Données projet'!$A$114,'Données projet'!$B$114,BY60+BX61-CG60)))</f>
        <v>187.98717948717942</v>
      </c>
      <c r="BZ61" s="14">
        <f>BY61*VLOOKUP('Données projet'!$B$12,Paramètres!$A$1:$I$89,3,0)*VLOOKUP('Données projet'!$B$12,Paramètres!$A$1:$I$89,5,0)</f>
        <v>190.61899999999994</v>
      </c>
      <c r="CA61" s="14">
        <f t="shared" si="39"/>
        <v>47.676779045481801</v>
      </c>
      <c r="CB61" s="22">
        <f t="shared" si="10"/>
        <v>415.03181517088069</v>
      </c>
      <c r="CC61" s="62">
        <f t="shared" si="11"/>
        <v>708.36514850421395</v>
      </c>
      <c r="CD61" s="62">
        <f ca="1">AVERAGE(OFFSET($CC$3,0,0,'Données projet'!$E$12+1,1))-AVERAGE(OFFSET($H$3,0,0,'Données projet'!$E$12+1,1))</f>
        <v>496.71400086768705</v>
      </c>
      <c r="CE61" s="62">
        <f t="shared" si="40"/>
        <v>206.75063396134982</v>
      </c>
      <c r="CF61" s="16">
        <f>IF(ISNA(VLOOKUP(A61,'Données projet'!$A$113:$I$133,3,0)),0,VLOOKUP(A61,'Données projet'!$A$113:$I$133,3,0))</f>
        <v>3</v>
      </c>
      <c r="CG61" s="16">
        <f>IF(ISNA(VLOOKUP(A61,'Données projet'!$A$113:$I$133,4,0)),0,VLOOKUP(A61,'Données projet'!$A$113:$I$133,4,0))</f>
        <v>35.88461538461538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>
        <f>VLOOKUP(A61,'Données projet'!$A$139:$I$159,2,0)</f>
        <v>187.98717948717947</v>
      </c>
      <c r="CR61" s="13">
        <f>VLOOKUP(A61,'Données projet'!$A$139:$I$159,9,0)</f>
        <v>7.2307692307692299</v>
      </c>
      <c r="CS61" s="13">
        <f t="array" ref="CS61">INDEX(CR:CR,MIN(IF(ISNUMBER(CR61:CR257),ROW(CR61:CR257),"")))</f>
        <v>7.2307692307692299</v>
      </c>
      <c r="CT61" s="13">
        <f>IF('Données projet'!$A$140&gt;35,CT60+CS61-DB60,IF(A61&lt;'Données projet'!$A$140,$CQ$205^A61,IF(A61='Données projet'!$A$140,'Données projet'!$B$140,CT60+CS61-DB60)))</f>
        <v>187.98717948717942</v>
      </c>
      <c r="CU61" s="18">
        <f>CT61*VLOOKUP('Données projet'!$B$13,Paramètres!$A$1:$I$89,3,0)*VLOOKUP('Données projet'!$B$13,Paramètres!$A$1:$I$89,5,0)</f>
        <v>202.34939999999992</v>
      </c>
      <c r="CV61" s="14">
        <f t="shared" si="41"/>
        <v>50.260143269643891</v>
      </c>
      <c r="CW61" s="22">
        <f t="shared" si="13"/>
        <v>439.96162119462957</v>
      </c>
      <c r="CX61" s="62">
        <f t="shared" si="14"/>
        <v>733.29495452796289</v>
      </c>
      <c r="CY61" s="62">
        <f ca="1">AVERAGE(OFFSET($CX$3,0,0,'Données projet'!$E$13+1,1))-AVERAGE(OFFSET($H$3,0,0,'Données projet'!$E$13+1,1))</f>
        <v>524.55238798353344</v>
      </c>
      <c r="CZ61" s="62">
        <f t="shared" si="42"/>
        <v>216.94512104983255</v>
      </c>
      <c r="DA61" s="16">
        <f>IF(ISNA(VLOOKUP(A61,'Données projet'!$A$139:$I$159,3,0)),0,VLOOKUP(A61,'Données projet'!$A$139:$I$159,3,0))</f>
        <v>3</v>
      </c>
      <c r="DB61" s="16">
        <f>IF(ISNA(VLOOKUP(A61,'Données projet'!$A$139:$I$159,4,0)),0,VLOOKUP(A61,'Données projet'!$A$139:$I$159,4,0))</f>
        <v>35.88461538461538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10.433653846153845</v>
      </c>
      <c r="N62" s="14">
        <f>IF('Données projet'!$A$36&gt;35,N61+M62-V61,IF(A62&lt;'Données projet'!$A$36,$K$205^A62,IF(A62='Données projet'!$A$36,'Données projet'!$B$36,N61+M62-V61)))</f>
        <v>343.06634615384581</v>
      </c>
      <c r="O62" s="14">
        <f>N62*VLOOKUP('Données projet'!$B$9,Paramètres!$A$1:$I$89,3,0)*VLOOKUP('Données projet'!$B$9,Paramètres!$A$1:$I$89,5,0)</f>
        <v>205.15367499999979</v>
      </c>
      <c r="P62" s="14">
        <f t="shared" si="33"/>
        <v>50.875106959180371</v>
      </c>
      <c r="Q62" s="22">
        <f t="shared" si="53"/>
        <v>445.91679524557208</v>
      </c>
      <c r="R62" s="62">
        <f t="shared" si="0"/>
        <v>739.25012857890533</v>
      </c>
      <c r="S62" s="62">
        <f ca="1">AVERAGE(OFFSET($R$3,0,0,'Données projet'!$E$9+1,1))-AVERAGE(OFFSET($H$3,0,0,'Données projet'!$E$9+1,1))</f>
        <v>260.01925143568263</v>
      </c>
      <c r="T62" s="62">
        <f t="shared" si="34"/>
        <v>269.95358755269427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10.66307692307692</v>
      </c>
      <c r="AI62" s="14">
        <f>IF('Données projet'!$A$62&gt;35,AI61+AH62-AQ61,IF(A62&lt;'Données projet'!$A$62,$AF$205^A62,IF(A62='Données projet'!$A$62,'Données projet'!$B$62,AI61+AH62-AQ61)))</f>
        <v>331.75999999999993</v>
      </c>
      <c r="AJ62" s="14">
        <f>AI62*VLOOKUP('Données projet'!$B$10,Paramètres!$A$1:$I$89,3,0)*VLOOKUP('Données projet'!$B$10,Paramètres!$A$1:$I$89,5,0)</f>
        <v>198.39247999999998</v>
      </c>
      <c r="AK62" s="14">
        <f t="shared" si="35"/>
        <v>49.39071772551025</v>
      </c>
      <c r="AL62" s="22">
        <f t="shared" si="4"/>
        <v>431.55573603859693</v>
      </c>
      <c r="AM62" s="62">
        <f t="shared" si="5"/>
        <v>724.88906937193019</v>
      </c>
      <c r="AN62" s="62">
        <f ca="1">AVERAGE(OFFSET($AM$3,0,0,'Données projet'!$E$10+1,1))-AVERAGE(OFFSET($H$3,0,0,'Données projet'!$E$10+1,1))</f>
        <v>289.24721145176682</v>
      </c>
      <c r="AO62" s="62">
        <f t="shared" si="36"/>
        <v>229.06617320689003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11.076923076923084</v>
      </c>
      <c r="BD62" s="13">
        <f>IF('Données projet'!$A$88&gt;35,BD61+BC62-BL61,IF(A62&lt;'Données projet'!$A$88,$BA$205^A62,IF(A62='Données projet'!$A$88,'Données projet'!$B$88,BD61+BC62-BL61)))</f>
        <v>306.96153846153868</v>
      </c>
      <c r="BE62" s="14">
        <f>BD62*VLOOKUP('Données projet'!$B$11,Paramètres!$A$1:$I$89,3,0)*VLOOKUP('Données projet'!$B$11,Paramètres!$A$1:$I$89,5,0)</f>
        <v>143.6580000000001</v>
      </c>
      <c r="BF62" s="14">
        <f t="shared" si="37"/>
        <v>37.133739822996041</v>
      </c>
      <c r="BG62" s="22">
        <f t="shared" si="7"/>
        <v>314.87894685838495</v>
      </c>
      <c r="BH62" s="62">
        <f t="shared" si="8"/>
        <v>608.21228019171826</v>
      </c>
      <c r="BI62" s="62">
        <f ca="1">AVERAGE(OFFSET($BH$3,0,0,'Données projet'!$E$11+1,1))-AVERAGE(OFFSET($H$3,0,0,'Données projet'!$E$11+1,1))</f>
        <v>284.72381074796073</v>
      </c>
      <c r="BJ62" s="62">
        <f t="shared" si="38"/>
        <v>190.4880882944471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6.9975961538461569</v>
      </c>
      <c r="BY62" s="13">
        <f>IF('Données projet'!$A$114&gt;35,BY61+BX62-CG61,IF(A62&lt;'Données projet'!$A$114,$BV$205^A62,IF(A62='Données projet'!$A$114,'Données projet'!$B$114,BY61+BX62-CG61)))</f>
        <v>159.10016025641019</v>
      </c>
      <c r="BZ62" s="14">
        <f>BY62*VLOOKUP('Données projet'!$B$12,Paramètres!$A$1:$I$89,3,0)*VLOOKUP('Données projet'!$B$12,Paramètres!$A$1:$I$89,5,0)</f>
        <v>161.32756249999994</v>
      </c>
      <c r="CA62" s="14">
        <f t="shared" si="39"/>
        <v>41.141806681137702</v>
      </c>
      <c r="CB62" s="22">
        <f t="shared" si="10"/>
        <v>352.63415132381471</v>
      </c>
      <c r="CC62" s="62">
        <f t="shared" si="11"/>
        <v>645.96748465714802</v>
      </c>
      <c r="CD62" s="62">
        <f ca="1">AVERAGE(OFFSET($CC$3,0,0,'Données projet'!$E$12+1,1))-AVERAGE(OFFSET($H$3,0,0,'Données projet'!$E$12+1,1))</f>
        <v>496.71400086768705</v>
      </c>
      <c r="CE62" s="62">
        <f t="shared" si="40"/>
        <v>206.75063396134982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6.9975961538461569</v>
      </c>
      <c r="CT62" s="13">
        <f>IF('Données projet'!$A$140&gt;35,CT61+CS62-DB61,IF(A62&lt;'Données projet'!$A$140,$CQ$205^A62,IF(A62='Données projet'!$A$140,'Données projet'!$B$140,CT61+CS62-DB61)))</f>
        <v>159.10016025641019</v>
      </c>
      <c r="CU62" s="18">
        <f>CT62*VLOOKUP('Données projet'!$B$13,Paramètres!$A$1:$I$89,3,0)*VLOOKUP('Données projet'!$B$13,Paramètres!$A$1:$I$89,5,0)</f>
        <v>171.25541249999992</v>
      </c>
      <c r="CV62" s="14">
        <f t="shared" si="41"/>
        <v>43.371073708510771</v>
      </c>
      <c r="CW62" s="22">
        <f t="shared" si="13"/>
        <v>373.80779681315607</v>
      </c>
      <c r="CX62" s="62">
        <f t="shared" si="14"/>
        <v>667.14113014648933</v>
      </c>
      <c r="CY62" s="62">
        <f ca="1">AVERAGE(OFFSET($CX$3,0,0,'Données projet'!$E$13+1,1))-AVERAGE(OFFSET($H$3,0,0,'Données projet'!$E$13+1,1))</f>
        <v>524.55238798353344</v>
      </c>
      <c r="CZ62" s="62">
        <f t="shared" si="42"/>
        <v>216.94512104983255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353.5</v>
      </c>
      <c r="L63" s="13">
        <f>VLOOKUP(A63,'Données projet'!$A$35:$I$55,9,0)</f>
        <v>10.433653846153845</v>
      </c>
      <c r="M63" s="13">
        <f t="array" ref="M63">INDEX(L:L,MIN(IF(ISNUMBER(L63:L259),ROW(L63:L259),"")))</f>
        <v>10.433653846153845</v>
      </c>
      <c r="N63" s="14">
        <f>IF('Données projet'!$A$36&gt;35,N62+M63-V62,IF(A63&lt;'Données projet'!$A$36,$K$205^A63,IF(A63='Données projet'!$A$36,'Données projet'!$B$36,N62+M63-V62)))</f>
        <v>353.49999999999966</v>
      </c>
      <c r="O63" s="14">
        <f>N63*VLOOKUP('Données projet'!$B$9,Paramètres!$A$1:$I$89,3,0)*VLOOKUP('Données projet'!$B$9,Paramètres!$A$1:$I$89,5,0)</f>
        <v>211.3929999999998</v>
      </c>
      <c r="P63" s="14">
        <f t="shared" si="33"/>
        <v>52.239874015944039</v>
      </c>
      <c r="Q63" s="22">
        <f t="shared" si="53"/>
        <v>459.1605889111022</v>
      </c>
      <c r="R63" s="62">
        <f t="shared" si="0"/>
        <v>752.49392224443545</v>
      </c>
      <c r="S63" s="62">
        <f ca="1">AVERAGE(OFFSET($R$3,0,0,'Données projet'!$E$9+1,1))-AVERAGE(OFFSET($H$3,0,0,'Données projet'!$E$9+1,1))</f>
        <v>260.01925143568263</v>
      </c>
      <c r="T63" s="62">
        <f t="shared" si="34"/>
        <v>269.95358755269427</v>
      </c>
      <c r="U63" s="16">
        <f>IF(ISNA(VLOOKUP(A63,'Données projet'!$A$35:$I$55,3,0)),0,VLOOKUP(A63,'Données projet'!$A$35:$I$55,3,0))</f>
        <v>7</v>
      </c>
      <c r="V63" s="16">
        <f>IF(ISNA(VLOOKUP(A63,'Données projet'!$A$35:$I$55,4,0)),0,VLOOKUP(A63,'Données projet'!$A$35:$I$55,4,0))</f>
        <v>353.5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342.42307692307691</v>
      </c>
      <c r="AG63" s="13">
        <f>VLOOKUP(A63,'Données projet'!$A$61:$I$81,9,0)</f>
        <v>10.66307692307692</v>
      </c>
      <c r="AH63" s="13">
        <f t="array" ref="AH63">INDEX(AG:AG,MIN(IF(ISNUMBER(AG63:AG259),ROW(AG63:AG259),"")))</f>
        <v>10.66307692307692</v>
      </c>
      <c r="AI63" s="14">
        <f>IF('Données projet'!$A$62&gt;35,AI62+AH63-AQ62,IF(A63&lt;'Données projet'!$A$62,$AF$205^A63,IF(A63='Données projet'!$A$62,'Données projet'!$B$62,AI62+AH63-AQ62)))</f>
        <v>342.42307692307685</v>
      </c>
      <c r="AJ63" s="14">
        <f>AI63*VLOOKUP('Données projet'!$B$10,Paramètres!$A$1:$I$89,3,0)*VLOOKUP('Données projet'!$B$10,Paramètres!$A$1:$I$89,5,0)</f>
        <v>204.76899999999998</v>
      </c>
      <c r="AK63" s="14">
        <f t="shared" si="35"/>
        <v>50.790807822253974</v>
      </c>
      <c r="AL63" s="22">
        <f t="shared" si="4"/>
        <v>445.09999862375895</v>
      </c>
      <c r="AM63" s="62">
        <f t="shared" si="5"/>
        <v>738.43333195709226</v>
      </c>
      <c r="AN63" s="62">
        <f ca="1">AVERAGE(OFFSET($AM$3,0,0,'Données projet'!$E$10+1,1))-AVERAGE(OFFSET($H$3,0,0,'Données projet'!$E$10+1,1))</f>
        <v>289.24721145176682</v>
      </c>
      <c r="AO63" s="62">
        <f t="shared" si="36"/>
        <v>229.06617320689003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54.261538461538464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11.076923076923084</v>
      </c>
      <c r="BD63" s="13">
        <f>IF('Données projet'!$A$88&gt;35,BD62+BC63-BL62,IF(A63&lt;'Données projet'!$A$88,$BA$205^A63,IF(A63='Données projet'!$A$88,'Données projet'!$B$88,BD62+BC63-BL62)))</f>
        <v>318.03846153846177</v>
      </c>
      <c r="BE63" s="14">
        <f>BD63*VLOOKUP('Données projet'!$B$11,Paramètres!$A$1:$I$89,3,0)*VLOOKUP('Données projet'!$B$11,Paramètres!$A$1:$I$89,5,0)</f>
        <v>148.8420000000001</v>
      </c>
      <c r="BF63" s="14">
        <f t="shared" si="37"/>
        <v>38.315307385764029</v>
      </c>
      <c r="BG63" s="22">
        <f t="shared" si="7"/>
        <v>325.96564369687246</v>
      </c>
      <c r="BH63" s="62">
        <f t="shared" si="8"/>
        <v>619.29897703020583</v>
      </c>
      <c r="BI63" s="62">
        <f ca="1">AVERAGE(OFFSET($BH$3,0,0,'Données projet'!$E$11+1,1))-AVERAGE(OFFSET($H$3,0,0,'Données projet'!$E$11+1,1))</f>
        <v>284.72381074796073</v>
      </c>
      <c r="BJ63" s="62">
        <f t="shared" si="38"/>
        <v>190.4880882944471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6.9975961538461569</v>
      </c>
      <c r="BY63" s="13">
        <f>IF('Données projet'!$A$114&gt;35,BY62+BX63-CG62,IF(A63&lt;'Données projet'!$A$114,$BV$205^A63,IF(A63='Données projet'!$A$114,'Données projet'!$B$114,BY62+BX63-CG62)))</f>
        <v>166.09775641025635</v>
      </c>
      <c r="BZ63" s="14">
        <f>BY63*VLOOKUP('Données projet'!$B$12,Paramètres!$A$1:$I$89,3,0)*VLOOKUP('Données projet'!$B$12,Paramètres!$A$1:$I$89,5,0)</f>
        <v>168.42312499999994</v>
      </c>
      <c r="CA63" s="14">
        <f t="shared" si="39"/>
        <v>42.736664723000288</v>
      </c>
      <c r="CB63" s="22">
        <f t="shared" si="10"/>
        <v>367.76996710089202</v>
      </c>
      <c r="CC63" s="62">
        <f t="shared" si="11"/>
        <v>661.10330043422528</v>
      </c>
      <c r="CD63" s="62">
        <f ca="1">AVERAGE(OFFSET($CC$3,0,0,'Données projet'!$E$12+1,1))-AVERAGE(OFFSET($H$3,0,0,'Données projet'!$E$12+1,1))</f>
        <v>496.71400086768705</v>
      </c>
      <c r="CE63" s="62">
        <f t="shared" si="40"/>
        <v>206.75063396134982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6.9975961538461569</v>
      </c>
      <c r="CT63" s="13">
        <f>IF('Données projet'!$A$140&gt;35,CT62+CS63-DB62,IF(A63&lt;'Données projet'!$A$140,$CQ$205^A63,IF(A63='Données projet'!$A$140,'Données projet'!$B$140,CT62+CS63-DB62)))</f>
        <v>166.09775641025635</v>
      </c>
      <c r="CU63" s="18">
        <f>CT63*VLOOKUP('Données projet'!$B$13,Paramètres!$A$1:$I$89,3,0)*VLOOKUP('Données projet'!$B$13,Paramètres!$A$1:$I$89,5,0)</f>
        <v>178.78762499999993</v>
      </c>
      <c r="CV63" s="14">
        <f t="shared" si="41"/>
        <v>45.052349064849125</v>
      </c>
      <c r="CW63" s="22">
        <f t="shared" si="13"/>
        <v>389.85462149627875</v>
      </c>
      <c r="CX63" s="62">
        <f t="shared" si="14"/>
        <v>683.18795482961207</v>
      </c>
      <c r="CY63" s="62">
        <f ca="1">AVERAGE(OFFSET($CX$3,0,0,'Données projet'!$E$13+1,1))-AVERAGE(OFFSET($H$3,0,0,'Données projet'!$E$13+1,1))</f>
        <v>524.55238798353344</v>
      </c>
      <c r="CZ63" s="62">
        <f t="shared" si="42"/>
        <v>216.94512104983255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-3.4106051316484809E-13</v>
      </c>
      <c r="O64" s="14">
        <f>N64*VLOOKUP('Données projet'!$B$9,Paramètres!$A$1:$I$89,3,0)*VLOOKUP('Données projet'!$B$9,Paramètres!$A$1:$I$89,5,0)</f>
        <v>-2.0395418687257919E-13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260.01925143568263</v>
      </c>
      <c r="T64" s="62">
        <f t="shared" si="34"/>
        <v>269.95358755269427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9.1830769230769249</v>
      </c>
      <c r="AI64" s="14">
        <f>IF('Données projet'!$A$62&gt;35,AI63+AH64-AQ63,IF(A64&lt;'Données projet'!$A$62,$AF$205^A64,IF(A64='Données projet'!$A$62,'Données projet'!$B$62,AI63+AH64-AQ63)))</f>
        <v>297.34461538461534</v>
      </c>
      <c r="AJ64" s="14">
        <f>AI64*VLOOKUP('Données projet'!$B$10,Paramètres!$A$1:$I$89,3,0)*VLOOKUP('Données projet'!$B$10,Paramètres!$A$1:$I$89,5,0)</f>
        <v>177.81207999999998</v>
      </c>
      <c r="AK64" s="14">
        <f t="shared" si="35"/>
        <v>44.835068353066951</v>
      </c>
      <c r="AL64" s="22">
        <f t="shared" si="4"/>
        <v>387.77711671492489</v>
      </c>
      <c r="AM64" s="62">
        <f t="shared" si="5"/>
        <v>681.11045004825814</v>
      </c>
      <c r="AN64" s="62">
        <f ca="1">AVERAGE(OFFSET($AM$3,0,0,'Données projet'!$E$10+1,1))-AVERAGE(OFFSET($H$3,0,0,'Données projet'!$E$10+1,1))</f>
        <v>289.24721145176682</v>
      </c>
      <c r="AO64" s="62">
        <f t="shared" si="36"/>
        <v>229.06617320689003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>
        <f>VLOOKUP(A64,'Données projet'!$A$87:$I$107,2,0)</f>
        <v>329.11538461538464</v>
      </c>
      <c r="BB64" s="13">
        <f>VLOOKUP(A64,'Données projet'!$A$87:$I$107,9,0)</f>
        <v>11.076923076923084</v>
      </c>
      <c r="BC64" s="13">
        <f t="array" ref="BC64">INDEX(BB:BB,MIN(IF(ISNUMBER(BB64:BB260),ROW(BB64:BB260),"")))</f>
        <v>11.076923076923084</v>
      </c>
      <c r="BD64" s="13">
        <f>IF('Données projet'!$A$88&gt;35,BD63+BC64-BL63,IF(A64&lt;'Données projet'!$A$88,$BA$205^A64,IF(A64='Données projet'!$A$88,'Données projet'!$B$88,BD63+BC64-BL63)))</f>
        <v>329.11538461538487</v>
      </c>
      <c r="BE64" s="14">
        <f>BD64*VLOOKUP('Données projet'!$B$11,Paramètres!$A$1:$I$89,3,0)*VLOOKUP('Données projet'!$B$11,Paramètres!$A$1:$I$89,5,0)</f>
        <v>154.02600000000012</v>
      </c>
      <c r="BF64" s="14">
        <f t="shared" si="37"/>
        <v>39.49209345289831</v>
      </c>
      <c r="BG64" s="22">
        <f t="shared" si="7"/>
        <v>337.04401276379809</v>
      </c>
      <c r="BH64" s="62">
        <f t="shared" si="8"/>
        <v>630.37734609713141</v>
      </c>
      <c r="BI64" s="62">
        <f ca="1">AVERAGE(OFFSET($BH$3,0,0,'Données projet'!$E$11+1,1))-AVERAGE(OFFSET($H$3,0,0,'Données projet'!$E$11+1,1))</f>
        <v>284.72381074796073</v>
      </c>
      <c r="BJ64" s="62">
        <f t="shared" si="38"/>
        <v>190.4880882944471</v>
      </c>
      <c r="BK64" s="16">
        <f>IF(ISNA(VLOOKUP(A64,'Données projet'!$A$87:$I$107,3,0)),0,VLOOKUP(A64,'Données projet'!$A$87:$I$107,3,0))</f>
        <v>2</v>
      </c>
      <c r="BL64" s="16">
        <f>IF(ISNA(VLOOKUP(A64,'Données projet'!$A$87:$I$107,4,0)),0,VLOOKUP(A64,'Données projet'!$A$87:$I$107,4,0))</f>
        <v>94.76153846153845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6.9975961538461569</v>
      </c>
      <c r="BY64" s="13">
        <f>IF('Données projet'!$A$114&gt;35,BY63+BX64-CG63,IF(A64&lt;'Données projet'!$A$114,$BV$205^A64,IF(A64='Données projet'!$A$114,'Données projet'!$B$114,BY63+BX64-CG63)))</f>
        <v>173.09535256410251</v>
      </c>
      <c r="BZ64" s="14">
        <f>BY64*VLOOKUP('Données projet'!$B$12,Paramètres!$A$1:$I$89,3,0)*VLOOKUP('Données projet'!$B$12,Paramètres!$A$1:$I$89,5,0)</f>
        <v>175.51868749999994</v>
      </c>
      <c r="CA64" s="14">
        <f t="shared" si="39"/>
        <v>44.323718510947643</v>
      </c>
      <c r="CB64" s="22">
        <f t="shared" si="10"/>
        <v>382.89219046906697</v>
      </c>
      <c r="CC64" s="62">
        <f t="shared" si="11"/>
        <v>676.22552380240029</v>
      </c>
      <c r="CD64" s="62">
        <f ca="1">AVERAGE(OFFSET($CC$3,0,0,'Données projet'!$E$12+1,1))-AVERAGE(OFFSET($H$3,0,0,'Données projet'!$E$12+1,1))</f>
        <v>496.71400086768705</v>
      </c>
      <c r="CE64" s="62">
        <f t="shared" si="40"/>
        <v>206.75063396134982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6.9975961538461569</v>
      </c>
      <c r="CT64" s="13">
        <f>IF('Données projet'!$A$140&gt;35,CT63+CS64-DB63,IF(A64&lt;'Données projet'!$A$140,$CQ$205^A64,IF(A64='Données projet'!$A$140,'Données projet'!$B$140,CT63+CS64-DB63)))</f>
        <v>173.09535256410251</v>
      </c>
      <c r="CU64" s="18">
        <f>CT64*VLOOKUP('Données projet'!$B$13,Paramètres!$A$1:$I$89,3,0)*VLOOKUP('Données projet'!$B$13,Paramètres!$A$1:$I$89,5,0)</f>
        <v>186.31983749999995</v>
      </c>
      <c r="CV64" s="14">
        <f t="shared" si="41"/>
        <v>46.725397294109158</v>
      </c>
      <c r="CW64" s="22">
        <f t="shared" si="13"/>
        <v>405.88711726640668</v>
      </c>
      <c r="CX64" s="62">
        <f t="shared" si="14"/>
        <v>699.22045059973993</v>
      </c>
      <c r="CY64" s="62">
        <f ca="1">AVERAGE(OFFSET($CX$3,0,0,'Données projet'!$E$13+1,1))-AVERAGE(OFFSET($H$3,0,0,'Données projet'!$E$13+1,1))</f>
        <v>524.55238798353344</v>
      </c>
      <c r="CZ64" s="62">
        <f t="shared" si="42"/>
        <v>216.94512104983255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-3.4106051316484809E-13</v>
      </c>
      <c r="O65" s="14">
        <f>N65*VLOOKUP('Données projet'!$B$9,Paramètres!$A$1:$I$89,3,0)*VLOOKUP('Données projet'!$B$9,Paramètres!$A$1:$I$89,5,0)</f>
        <v>-2.0395418687257919E-13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260.01925143568263</v>
      </c>
      <c r="T65" s="62">
        <f t="shared" si="34"/>
        <v>269.95358755269427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9.1830769230769249</v>
      </c>
      <c r="AI65" s="14">
        <f>IF('Données projet'!$A$62&gt;35,AI64+AH65-AQ64,IF(A65&lt;'Données projet'!$A$62,$AF$205^A65,IF(A65='Données projet'!$A$62,'Données projet'!$B$62,AI64+AH65-AQ64)))</f>
        <v>306.52769230769229</v>
      </c>
      <c r="AJ65" s="14">
        <f>AI65*VLOOKUP('Données projet'!$B$10,Paramètres!$A$1:$I$89,3,0)*VLOOKUP('Données projet'!$B$10,Paramètres!$A$1:$I$89,5,0)</f>
        <v>183.30356</v>
      </c>
      <c r="AK65" s="14">
        <f t="shared" si="35"/>
        <v>46.056387641494027</v>
      </c>
      <c r="AL65" s="22">
        <f t="shared" si="4"/>
        <v>399.46857547560211</v>
      </c>
      <c r="AM65" s="62">
        <f t="shared" si="5"/>
        <v>692.80190880893542</v>
      </c>
      <c r="AN65" s="62">
        <f ca="1">AVERAGE(OFFSET($AM$3,0,0,'Données projet'!$E$10+1,1))-AVERAGE(OFFSET($H$3,0,0,'Données projet'!$E$10+1,1))</f>
        <v>289.24721145176682</v>
      </c>
      <c r="AO65" s="62">
        <f t="shared" si="36"/>
        <v>229.06617320689003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10.171794871794864</v>
      </c>
      <c r="BD65" s="13">
        <f>IF('Données projet'!$A$88&gt;35,BD64+BC65-BL64,IF(A65&lt;'Données projet'!$A$88,$BA$205^A65,IF(A65='Données projet'!$A$88,'Données projet'!$B$88,BD64+BC65-BL64)))</f>
        <v>244.52564102564128</v>
      </c>
      <c r="BE65" s="14">
        <f>BD65*VLOOKUP('Données projet'!$B$11,Paramètres!$A$1:$I$89,3,0)*VLOOKUP('Données projet'!$B$11,Paramètres!$A$1:$I$89,5,0)</f>
        <v>114.4380000000001</v>
      </c>
      <c r="BF65" s="14">
        <f t="shared" si="37"/>
        <v>30.374192839349661</v>
      </c>
      <c r="BG65" s="22">
        <f t="shared" si="7"/>
        <v>252.21456919520082</v>
      </c>
      <c r="BH65" s="62">
        <f t="shared" si="8"/>
        <v>545.54790252853411</v>
      </c>
      <c r="BI65" s="62">
        <f ca="1">AVERAGE(OFFSET($BH$3,0,0,'Données projet'!$E$11+1,1))-AVERAGE(OFFSET($H$3,0,0,'Données projet'!$E$11+1,1))</f>
        <v>284.72381074796073</v>
      </c>
      <c r="BJ65" s="62">
        <f t="shared" si="38"/>
        <v>190.4880882944471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6.9975961538461569</v>
      </c>
      <c r="BY65" s="13">
        <f>IF('Données projet'!$A$114&gt;35,BY64+BX65-CG64,IF(A65&lt;'Données projet'!$A$114,$BV$205^A65,IF(A65='Données projet'!$A$114,'Données projet'!$B$114,BY64+BX65-CG64)))</f>
        <v>180.09294871794867</v>
      </c>
      <c r="BZ65" s="14">
        <f>BY65*VLOOKUP('Données projet'!$B$12,Paramètres!$A$1:$I$89,3,0)*VLOOKUP('Données projet'!$B$12,Paramètres!$A$1:$I$89,5,0)</f>
        <v>182.61424999999997</v>
      </c>
      <c r="CA65" s="14">
        <f t="shared" si="39"/>
        <v>45.903319633314453</v>
      </c>
      <c r="CB65" s="22">
        <f t="shared" si="10"/>
        <v>398.0014337780226</v>
      </c>
      <c r="CC65" s="62">
        <f t="shared" si="11"/>
        <v>691.33476711135586</v>
      </c>
      <c r="CD65" s="62">
        <f ca="1">AVERAGE(OFFSET($CC$3,0,0,'Données projet'!$E$12+1,1))-AVERAGE(OFFSET($H$3,0,0,'Données projet'!$E$12+1,1))</f>
        <v>496.71400086768705</v>
      </c>
      <c r="CE65" s="62">
        <f t="shared" si="40"/>
        <v>206.75063396134982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6.9975961538461569</v>
      </c>
      <c r="CT65" s="13">
        <f>IF('Données projet'!$A$140&gt;35,CT64+CS65-DB64,IF(A65&lt;'Données projet'!$A$140,$CQ$205^A65,IF(A65='Données projet'!$A$140,'Données projet'!$B$140,CT64+CS65-DB64)))</f>
        <v>180.09294871794867</v>
      </c>
      <c r="CU65" s="18">
        <f>CT65*VLOOKUP('Données projet'!$B$13,Paramètres!$A$1:$I$89,3,0)*VLOOKUP('Données projet'!$B$13,Paramètres!$A$1:$I$89,5,0)</f>
        <v>193.85204999999993</v>
      </c>
      <c r="CV65" s="14">
        <f t="shared" si="41"/>
        <v>48.390589035424362</v>
      </c>
      <c r="CW65" s="22">
        <f t="shared" si="13"/>
        <v>421.90592965336396</v>
      </c>
      <c r="CX65" s="62">
        <f t="shared" si="14"/>
        <v>715.23926298669721</v>
      </c>
      <c r="CY65" s="62">
        <f ca="1">AVERAGE(OFFSET($CX$3,0,0,'Données projet'!$E$13+1,1))-AVERAGE(OFFSET($H$3,0,0,'Données projet'!$E$13+1,1))</f>
        <v>524.55238798353344</v>
      </c>
      <c r="CZ65" s="62">
        <f t="shared" si="42"/>
        <v>216.94512104983255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-3.4106051316484809E-13</v>
      </c>
      <c r="O66" s="14">
        <f>N66*VLOOKUP('Données projet'!$B$9,Paramètres!$A$1:$I$89,3,0)*VLOOKUP('Données projet'!$B$9,Paramètres!$A$1:$I$89,5,0)</f>
        <v>-2.0395418687257919E-13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260.01925143568263</v>
      </c>
      <c r="T66" s="62">
        <f t="shared" si="34"/>
        <v>269.95358755269427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9.1830769230769249</v>
      </c>
      <c r="AI66" s="14">
        <f>IF('Données projet'!$A$62&gt;35,AI65+AH66-AQ65,IF(A66&lt;'Données projet'!$A$62,$AF$205^A66,IF(A66='Données projet'!$A$62,'Données projet'!$B$62,AI65+AH66-AQ65)))</f>
        <v>315.71076923076919</v>
      </c>
      <c r="AJ66" s="14">
        <f>AI66*VLOOKUP('Données projet'!$B$10,Paramètres!$A$1:$I$89,3,0)*VLOOKUP('Données projet'!$B$10,Paramètres!$A$1:$I$89,5,0)</f>
        <v>188.79504</v>
      </c>
      <c r="AK66" s="14">
        <f t="shared" si="35"/>
        <v>47.273454743056831</v>
      </c>
      <c r="AL66" s="22">
        <f t="shared" si="4"/>
        <v>411.15262834415722</v>
      </c>
      <c r="AM66" s="62">
        <f t="shared" si="5"/>
        <v>704.48596167749054</v>
      </c>
      <c r="AN66" s="62">
        <f ca="1">AVERAGE(OFFSET($AM$3,0,0,'Données projet'!$E$10+1,1))-AVERAGE(OFFSET($H$3,0,0,'Données projet'!$E$10+1,1))</f>
        <v>289.24721145176682</v>
      </c>
      <c r="AO66" s="62">
        <f t="shared" si="36"/>
        <v>229.06617320689003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10.171794871794864</v>
      </c>
      <c r="BD66" s="13">
        <f>IF('Données projet'!$A$88&gt;35,BD65+BC66-BL65,IF(A66&lt;'Données projet'!$A$88,$BA$205^A66,IF(A66='Données projet'!$A$88,'Données projet'!$B$88,BD65+BC66-BL65)))</f>
        <v>254.69743589743615</v>
      </c>
      <c r="BE66" s="14">
        <f>BD66*VLOOKUP('Données projet'!$B$11,Paramètres!$A$1:$I$89,3,0)*VLOOKUP('Données projet'!$B$11,Paramètres!$A$1:$I$89,5,0)</f>
        <v>119.19840000000011</v>
      </c>
      <c r="BF66" s="14">
        <f t="shared" si="37"/>
        <v>31.487966390987658</v>
      </c>
      <c r="BG66" s="22">
        <f t="shared" si="7"/>
        <v>262.44542146430371</v>
      </c>
      <c r="BH66" s="62">
        <f t="shared" si="8"/>
        <v>555.77875479763702</v>
      </c>
      <c r="BI66" s="62">
        <f ca="1">AVERAGE(OFFSET($BH$3,0,0,'Données projet'!$E$11+1,1))-AVERAGE(OFFSET($H$3,0,0,'Données projet'!$E$11+1,1))</f>
        <v>284.72381074796073</v>
      </c>
      <c r="BJ66" s="62">
        <f t="shared" si="38"/>
        <v>190.4880882944471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6.9975961538461569</v>
      </c>
      <c r="BY66" s="13">
        <f>IF('Données projet'!$A$114&gt;35,BY65+BX66-CG65,IF(A66&lt;'Données projet'!$A$114,$BV$205^A66,IF(A66='Données projet'!$A$114,'Données projet'!$B$114,BY65+BX66-CG65)))</f>
        <v>187.09054487179483</v>
      </c>
      <c r="BZ66" s="14">
        <f>BY66*VLOOKUP('Données projet'!$B$12,Paramètres!$A$1:$I$89,3,0)*VLOOKUP('Données projet'!$B$12,Paramètres!$A$1:$I$89,5,0)</f>
        <v>189.70981249999997</v>
      </c>
      <c r="CA66" s="14">
        <f t="shared" si="39"/>
        <v>47.475790809084941</v>
      </c>
      <c r="CB66" s="22">
        <f t="shared" si="10"/>
        <v>413.09825909665619</v>
      </c>
      <c r="CC66" s="62">
        <f t="shared" si="11"/>
        <v>706.43159242998945</v>
      </c>
      <c r="CD66" s="62">
        <f ca="1">AVERAGE(OFFSET($CC$3,0,0,'Données projet'!$E$12+1,1))-AVERAGE(OFFSET($H$3,0,0,'Données projet'!$E$12+1,1))</f>
        <v>496.71400086768705</v>
      </c>
      <c r="CE66" s="62">
        <f t="shared" si="40"/>
        <v>206.75063396134982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6.9975961538461569</v>
      </c>
      <c r="CT66" s="13">
        <f>IF('Données projet'!$A$140&gt;35,CT65+CS66-DB65,IF(A66&lt;'Données projet'!$A$140,$CQ$205^A66,IF(A66='Données projet'!$A$140,'Données projet'!$B$140,CT65+CS66-DB65)))</f>
        <v>187.09054487179483</v>
      </c>
      <c r="CU66" s="18">
        <f>CT66*VLOOKUP('Données projet'!$B$13,Paramètres!$A$1:$I$89,3,0)*VLOOKUP('Données projet'!$B$13,Paramètres!$A$1:$I$89,5,0)</f>
        <v>201.38426249999992</v>
      </c>
      <c r="CV66" s="14">
        <f t="shared" si="41"/>
        <v>50.048264494293299</v>
      </c>
      <c r="CW66" s="22">
        <f t="shared" si="13"/>
        <v>437.91165118172734</v>
      </c>
      <c r="CX66" s="62">
        <f t="shared" si="14"/>
        <v>731.24498451506065</v>
      </c>
      <c r="CY66" s="62">
        <f ca="1">AVERAGE(OFFSET($CX$3,0,0,'Données projet'!$E$13+1,1))-AVERAGE(OFFSET($H$3,0,0,'Données projet'!$E$13+1,1))</f>
        <v>524.55238798353344</v>
      </c>
      <c r="CZ66" s="62">
        <f t="shared" si="42"/>
        <v>216.94512104983255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-3.4106051316484809E-13</v>
      </c>
      <c r="O67" s="14">
        <f>N67*VLOOKUP('Données projet'!$B$9,Paramètres!$A$1:$I$89,3,0)*VLOOKUP('Données projet'!$B$9,Paramètres!$A$1:$I$89,5,0)</f>
        <v>-2.0395418687257919E-13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260.01925143568263</v>
      </c>
      <c r="T67" s="62">
        <f t="shared" si="34"/>
        <v>269.95358755269427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9.1830769230769249</v>
      </c>
      <c r="AI67" s="14">
        <f>IF('Données projet'!$A$62&gt;35,AI66+AH67-AQ66,IF(A67&lt;'Données projet'!$A$62,$AF$205^A67,IF(A67='Données projet'!$A$62,'Données projet'!$B$62,AI66+AH67-AQ66)))</f>
        <v>324.89384615384608</v>
      </c>
      <c r="AJ67" s="14">
        <f>AI67*VLOOKUP('Données projet'!$B$10,Paramètres!$A$1:$I$89,3,0)*VLOOKUP('Données projet'!$B$10,Paramètres!$A$1:$I$89,5,0)</f>
        <v>194.28651999999997</v>
      </c>
      <c r="AK67" s="14">
        <f t="shared" si="35"/>
        <v>48.486407543748122</v>
      </c>
      <c r="AL67" s="22">
        <f t="shared" si="4"/>
        <v>422.82951547202788</v>
      </c>
      <c r="AM67" s="62">
        <f t="shared" si="5"/>
        <v>716.16284880536114</v>
      </c>
      <c r="AN67" s="62">
        <f ca="1">AVERAGE(OFFSET($AM$3,0,0,'Données projet'!$E$10+1,1))-AVERAGE(OFFSET($H$3,0,0,'Données projet'!$E$10+1,1))</f>
        <v>289.24721145176682</v>
      </c>
      <c r="AO67" s="62">
        <f t="shared" si="36"/>
        <v>229.06617320689003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10.171794871794864</v>
      </c>
      <c r="BD67" s="13">
        <f>IF('Données projet'!$A$88&gt;35,BD66+BC67-BL66,IF(A67&lt;'Données projet'!$A$88,$BA$205^A67,IF(A67='Données projet'!$A$88,'Données projet'!$B$88,BD66+BC67-BL66)))</f>
        <v>264.86923076923102</v>
      </c>
      <c r="BE67" s="14">
        <f>BD67*VLOOKUP('Données projet'!$B$11,Paramètres!$A$1:$I$89,3,0)*VLOOKUP('Données projet'!$B$11,Paramètres!$A$1:$I$89,5,0)</f>
        <v>123.95880000000011</v>
      </c>
      <c r="BF67" s="14">
        <f t="shared" si="37"/>
        <v>32.596572974307541</v>
      </c>
      <c r="BG67" s="22">
        <f t="shared" si="7"/>
        <v>272.66727459691919</v>
      </c>
      <c r="BH67" s="62">
        <f t="shared" si="8"/>
        <v>566.0006079302525</v>
      </c>
      <c r="BI67" s="62">
        <f ca="1">AVERAGE(OFFSET($BH$3,0,0,'Données projet'!$E$11+1,1))-AVERAGE(OFFSET($H$3,0,0,'Données projet'!$E$11+1,1))</f>
        <v>284.72381074796073</v>
      </c>
      <c r="BJ67" s="62">
        <f t="shared" si="38"/>
        <v>190.4880882944471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6.9975961538461569</v>
      </c>
      <c r="BY67" s="13">
        <f>IF('Données projet'!$A$114&gt;35,BY66+BX67-CG66,IF(A67&lt;'Données projet'!$A$114,$BV$205^A67,IF(A67='Données projet'!$A$114,'Données projet'!$B$114,BY66+BX67-CG66)))</f>
        <v>194.08814102564099</v>
      </c>
      <c r="BZ67" s="14">
        <f>BY67*VLOOKUP('Données projet'!$B$12,Paramètres!$A$1:$I$89,3,0)*VLOOKUP('Données projet'!$B$12,Paramètres!$A$1:$I$89,5,0)</f>
        <v>196.80537499999997</v>
      </c>
      <c r="CA67" s="14">
        <f t="shared" si="39"/>
        <v>49.041429248820386</v>
      </c>
      <c r="CB67" s="22">
        <f t="shared" si="10"/>
        <v>428.18318406669545</v>
      </c>
      <c r="CC67" s="62">
        <f t="shared" si="11"/>
        <v>721.51651740002876</v>
      </c>
      <c r="CD67" s="62">
        <f ca="1">AVERAGE(OFFSET($CC$3,0,0,'Données projet'!$E$12+1,1))-AVERAGE(OFFSET($H$3,0,0,'Données projet'!$E$12+1,1))</f>
        <v>496.71400086768705</v>
      </c>
      <c r="CE67" s="62">
        <f t="shared" si="40"/>
        <v>206.75063396134982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6.9975961538461569</v>
      </c>
      <c r="CT67" s="13">
        <f>IF('Données projet'!$A$140&gt;35,CT66+CS67-DB66,IF(A67&lt;'Données projet'!$A$140,$CQ$205^A67,IF(A67='Données projet'!$A$140,'Données projet'!$B$140,CT66+CS67-DB66)))</f>
        <v>194.08814102564099</v>
      </c>
      <c r="CU67" s="18">
        <f>CT67*VLOOKUP('Données projet'!$B$13,Paramètres!$A$1:$I$89,3,0)*VLOOKUP('Données projet'!$B$13,Paramètres!$A$1:$I$89,5,0)</f>
        <v>208.91647499999999</v>
      </c>
      <c r="CV67" s="14">
        <f t="shared" si="41"/>
        <v>51.698736985618623</v>
      </c>
      <c r="CW67" s="22">
        <f t="shared" si="13"/>
        <v>453.904827541619</v>
      </c>
      <c r="CX67" s="62">
        <f t="shared" si="14"/>
        <v>747.23816087495231</v>
      </c>
      <c r="CY67" s="62">
        <f ca="1">AVERAGE(OFFSET($CX$3,0,0,'Données projet'!$E$13+1,1))-AVERAGE(OFFSET($H$3,0,0,'Données projet'!$E$13+1,1))</f>
        <v>524.55238798353344</v>
      </c>
      <c r="CZ67" s="62">
        <f t="shared" si="42"/>
        <v>216.94512104983255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-3.4106051316484809E-13</v>
      </c>
      <c r="O68" s="14">
        <f>N68*VLOOKUP('Données projet'!$B$9,Paramètres!$A$1:$I$89,3,0)*VLOOKUP('Données projet'!$B$9,Paramètres!$A$1:$I$89,5,0)</f>
        <v>-2.0395418687257919E-13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260.01925143568263</v>
      </c>
      <c r="T68" s="62">
        <f t="shared" si="34"/>
        <v>269.95358755269427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9.1830769230769249</v>
      </c>
      <c r="AI68" s="14">
        <f>IF('Données projet'!$A$62&gt;35,AI67+AH68-AQ67,IF(A68&lt;'Données projet'!$A$62,$AF$205^A68,IF(A68='Données projet'!$A$62,'Données projet'!$B$62,AI67+AH68-AQ67)))</f>
        <v>334.07692307692298</v>
      </c>
      <c r="AJ68" s="14">
        <f>AI68*VLOOKUP('Données projet'!$B$10,Paramètres!$A$1:$I$89,3,0)*VLOOKUP('Données projet'!$B$10,Paramètres!$A$1:$I$89,5,0)</f>
        <v>199.77799999999996</v>
      </c>
      <c r="AK68" s="14">
        <f t="shared" si="35"/>
        <v>49.695375691492842</v>
      </c>
      <c r="AL68" s="22">
        <f t="shared" ref="AL68:AL131" si="58">(AJ68+AK68)*0.475*44/12</f>
        <v>434.4994626626833</v>
      </c>
      <c r="AM68" s="62">
        <f t="shared" ref="AM68:AM131" si="59">AL68+(AD68+AE68)*44/12</f>
        <v>727.83279599601656</v>
      </c>
      <c r="AN68" s="62">
        <f ca="1">AVERAGE(OFFSET($AM$3,0,0,'Données projet'!$E$10+1,1))-AVERAGE(OFFSET($H$3,0,0,'Données projet'!$E$10+1,1))</f>
        <v>289.24721145176682</v>
      </c>
      <c r="AO68" s="62">
        <f t="shared" si="36"/>
        <v>229.06617320689003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10.171794871794864</v>
      </c>
      <c r="BD68" s="13">
        <f>IF('Données projet'!$A$88&gt;35,BD67+BC68-BL67,IF(A68&lt;'Données projet'!$A$88,$BA$205^A68,IF(A68='Données projet'!$A$88,'Données projet'!$B$88,BD67+BC68-BL67)))</f>
        <v>275.0410256410259</v>
      </c>
      <c r="BE68" s="14">
        <f>BD68*VLOOKUP('Données projet'!$B$11,Paramètres!$A$1:$I$89,3,0)*VLOOKUP('Données projet'!$B$11,Paramètres!$A$1:$I$89,5,0)</f>
        <v>128.71920000000011</v>
      </c>
      <c r="BF68" s="14">
        <f t="shared" si="37"/>
        <v>33.700233730079596</v>
      </c>
      <c r="BG68" s="22">
        <f t="shared" ref="BG68:BG131" si="61">(BE68+BF68)*0.475*44/12</f>
        <v>282.88051374655544</v>
      </c>
      <c r="BH68" s="62">
        <f t="shared" ref="BH68:BH131" si="62">BG68+(AY68+AZ68)*44/12</f>
        <v>576.21384707988875</v>
      </c>
      <c r="BI68" s="62">
        <f ca="1">AVERAGE(OFFSET($BH$3,0,0,'Données projet'!$E$11+1,1))-AVERAGE(OFFSET($H$3,0,0,'Données projet'!$E$11+1,1))</f>
        <v>284.72381074796073</v>
      </c>
      <c r="BJ68" s="62">
        <f t="shared" si="38"/>
        <v>190.4880882944471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6.9975961538461569</v>
      </c>
      <c r="BY68" s="13">
        <f>IF('Données projet'!$A$114&gt;35,BY67+BX68-CG67,IF(A68&lt;'Données projet'!$A$114,$BV$205^A68,IF(A68='Données projet'!$A$114,'Données projet'!$B$114,BY67+BX68-CG67)))</f>
        <v>201.08573717948715</v>
      </c>
      <c r="BZ68" s="14">
        <f>BY68*VLOOKUP('Données projet'!$B$12,Paramètres!$A$1:$I$89,3,0)*VLOOKUP('Données projet'!$B$12,Paramètres!$A$1:$I$89,5,0)</f>
        <v>203.9009375</v>
      </c>
      <c r="CA68" s="14">
        <f t="shared" si="39"/>
        <v>50.600509517269188</v>
      </c>
      <c r="CB68" s="22">
        <f t="shared" ref="CB68:CB131" si="64">(BZ68+CA68)*0.475*44/12</f>
        <v>443.25668688841051</v>
      </c>
      <c r="CC68" s="62">
        <f t="shared" ref="CC68:CC131" si="65">CB68+(BT68+BU68)*44/12</f>
        <v>736.59002022174377</v>
      </c>
      <c r="CD68" s="62">
        <f ca="1">AVERAGE(OFFSET($CC$3,0,0,'Données projet'!$E$12+1,1))-AVERAGE(OFFSET($H$3,0,0,'Données projet'!$E$12+1,1))</f>
        <v>496.71400086768705</v>
      </c>
      <c r="CE68" s="62">
        <f t="shared" si="40"/>
        <v>206.75063396134982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6.9975961538461569</v>
      </c>
      <c r="CT68" s="13">
        <f>IF('Données projet'!$A$140&gt;35,CT67+CS68-DB67,IF(A68&lt;'Données projet'!$A$140,$CQ$205^A68,IF(A68='Données projet'!$A$140,'Données projet'!$B$140,CT67+CS68-DB67)))</f>
        <v>201.08573717948715</v>
      </c>
      <c r="CU68" s="18">
        <f>CT68*VLOOKUP('Données projet'!$B$13,Paramètres!$A$1:$I$89,3,0)*VLOOKUP('Données projet'!$B$13,Paramètres!$A$1:$I$89,5,0)</f>
        <v>216.44868749999998</v>
      </c>
      <c r="CV68" s="14">
        <f t="shared" si="41"/>
        <v>53.342295951427943</v>
      </c>
      <c r="CW68" s="22">
        <f t="shared" ref="CW68:CW131" si="67">(CU68+CV68)*0.475*44/12</f>
        <v>469.88596284457026</v>
      </c>
      <c r="CX68" s="62">
        <f t="shared" ref="CX68:CX131" si="68">CW68+(CO68+CP68)*44/12</f>
        <v>763.21929617790352</v>
      </c>
      <c r="CY68" s="62">
        <f ca="1">AVERAGE(OFFSET($CX$3,0,0,'Données projet'!$E$13+1,1))-AVERAGE(OFFSET($H$3,0,0,'Données projet'!$E$13+1,1))</f>
        <v>524.55238798353344</v>
      </c>
      <c r="CZ68" s="62">
        <f t="shared" si="42"/>
        <v>216.94512104983255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-3.4106051316484809E-13</v>
      </c>
      <c r="O69" s="14">
        <f>N69*VLOOKUP('Données projet'!$B$9,Paramètres!$A$1:$I$89,3,0)*VLOOKUP('Données projet'!$B$9,Paramètres!$A$1:$I$89,5,0)</f>
        <v>-2.0395418687257919E-13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260.01925143568263</v>
      </c>
      <c r="T69" s="62">
        <f t="shared" ref="T69:T132" si="88">$T$3</f>
        <v>269.95358755269427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9.1830769230769249</v>
      </c>
      <c r="AI69" s="14">
        <f>IF('Données projet'!$A$62&gt;35,AI68+AH69-AQ68,IF(A69&lt;'Données projet'!$A$62,$AF$205^A69,IF(A69='Données projet'!$A$62,'Données projet'!$B$62,AI68+AH69-AQ68)))</f>
        <v>343.25999999999988</v>
      </c>
      <c r="AJ69" s="14">
        <f>AI69*VLOOKUP('Données projet'!$B$10,Paramètres!$A$1:$I$89,3,0)*VLOOKUP('Données projet'!$B$10,Paramètres!$A$1:$I$89,5,0)</f>
        <v>205.26947999999996</v>
      </c>
      <c r="AK69" s="14">
        <f t="shared" ref="AK69:AK132" si="89">EXP(-1.0587+0.8836*LN(AJ69)+0.284)</f>
        <v>50.900481301079942</v>
      </c>
      <c r="AL69" s="22">
        <f t="shared" si="58"/>
        <v>446.16268259938084</v>
      </c>
      <c r="AM69" s="62">
        <f t="shared" si="59"/>
        <v>739.49601593271416</v>
      </c>
      <c r="AN69" s="62">
        <f ca="1">AVERAGE(OFFSET($AM$3,0,0,'Données projet'!$E$10+1,1))-AVERAGE(OFFSET($H$3,0,0,'Données projet'!$E$10+1,1))</f>
        <v>289.24721145176682</v>
      </c>
      <c r="AO69" s="62">
        <f t="shared" ref="AO69:AO132" si="90">$AO$3</f>
        <v>229.06617320689003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10.171794871794864</v>
      </c>
      <c r="BD69" s="13">
        <f>IF('Données projet'!$A$88&gt;35,BD68+BC69-BL68,IF(A69&lt;'Données projet'!$A$88,$BA$205^A69,IF(A69='Données projet'!$A$88,'Données projet'!$B$88,BD68+BC69-BL68)))</f>
        <v>285.21282051282077</v>
      </c>
      <c r="BE69" s="14">
        <f>BD69*VLOOKUP('Données projet'!$B$11,Paramètres!$A$1:$I$89,3,0)*VLOOKUP('Données projet'!$B$11,Paramètres!$A$1:$I$89,5,0)</f>
        <v>133.47960000000012</v>
      </c>
      <c r="BF69" s="14">
        <f t="shared" ref="BF69:BF132" si="91">EXP(-1.0587+0.8836*LN(BE69)+0.284)</f>
        <v>34.799152515460534</v>
      </c>
      <c r="BG69" s="22">
        <f t="shared" si="61"/>
        <v>293.08549396442731</v>
      </c>
      <c r="BH69" s="62">
        <f t="shared" si="62"/>
        <v>586.41882729776057</v>
      </c>
      <c r="BI69" s="62">
        <f ca="1">AVERAGE(OFFSET($BH$3,0,0,'Données projet'!$E$11+1,1))-AVERAGE(OFFSET($H$3,0,0,'Données projet'!$E$11+1,1))</f>
        <v>284.72381074796073</v>
      </c>
      <c r="BJ69" s="62">
        <f t="shared" ref="BJ69:BJ132" si="92">$BJ$3</f>
        <v>190.4880882944471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208.08333333333334</v>
      </c>
      <c r="BW69" s="13">
        <f>VLOOKUP(A69,'Données projet'!$A$113:$I$133,9,0)</f>
        <v>6.9975961538461569</v>
      </c>
      <c r="BX69" s="13">
        <f t="array" ref="BX69">INDEX(BW:BW,MIN(IF(ISNUMBER(BW69:BW265),ROW(BW69:BW265),"")))</f>
        <v>6.9975961538461569</v>
      </c>
      <c r="BY69" s="13">
        <f>IF('Données projet'!$A$114&gt;35,BY68+BX69-CG68,IF(A69&lt;'Données projet'!$A$114,$BV$205^A69,IF(A69='Données projet'!$A$114,'Données projet'!$B$114,BY68+BX69-CG68)))</f>
        <v>208.08333333333331</v>
      </c>
      <c r="BZ69" s="14">
        <f>BY69*VLOOKUP('Données projet'!$B$12,Paramètres!$A$1:$I$89,3,0)*VLOOKUP('Données projet'!$B$12,Paramètres!$A$1:$I$89,5,0)</f>
        <v>210.9965</v>
      </c>
      <c r="CA69" s="14">
        <f t="shared" ref="CA69:CA132" si="93">EXP(-1.0587+0.8836*LN(BZ69)+0.284)</f>
        <v>52.153285986317599</v>
      </c>
      <c r="CB69" s="22">
        <f t="shared" si="64"/>
        <v>458.3192105928365</v>
      </c>
      <c r="CC69" s="62">
        <f t="shared" si="65"/>
        <v>751.65254392616976</v>
      </c>
      <c r="CD69" s="62">
        <f ca="1">AVERAGE(OFFSET($CC$3,0,0,'Données projet'!$E$12+1,1))-AVERAGE(OFFSET($H$3,0,0,'Données projet'!$E$12+1,1))</f>
        <v>496.71400086768705</v>
      </c>
      <c r="CE69" s="62">
        <f t="shared" ref="CE69:CE132" si="94">$CE$3</f>
        <v>206.75063396134982</v>
      </c>
      <c r="CF69" s="16">
        <f>IF(ISNA(VLOOKUP(A69,'Données projet'!$A$113:$I$133,3,0)),0,VLOOKUP(A69,'Données projet'!$A$113:$I$133,3,0))</f>
        <v>4</v>
      </c>
      <c r="CG69" s="16">
        <f>IF(ISNA(VLOOKUP(A69,'Données projet'!$A$113:$I$133,4,0)),0,VLOOKUP(A69,'Données projet'!$A$113:$I$133,4,0))</f>
        <v>39.166666666666664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>
        <f>VLOOKUP(A69,'Données projet'!$A$139:$I$159,2,0)</f>
        <v>208.08333333333334</v>
      </c>
      <c r="CR69" s="13">
        <f>VLOOKUP(A69,'Données projet'!$A$139:$I$159,9,0)</f>
        <v>6.9975961538461569</v>
      </c>
      <c r="CS69" s="13">
        <f t="array" ref="CS69">INDEX(CR:CR,MIN(IF(ISNUMBER(CR69:CR265),ROW(CR69:CR265),"")))</f>
        <v>6.9975961538461569</v>
      </c>
      <c r="CT69" s="13">
        <f>IF('Données projet'!$A$140&gt;35,CT68+CS69-DB68,IF(A69&lt;'Données projet'!$A$140,$CQ$205^A69,IF(A69='Données projet'!$A$140,'Données projet'!$B$140,CT68+CS69-DB68)))</f>
        <v>208.08333333333331</v>
      </c>
      <c r="CU69" s="18">
        <f>CT69*VLOOKUP('Données projet'!$B$13,Paramètres!$A$1:$I$89,3,0)*VLOOKUP('Données projet'!$B$13,Paramètres!$A$1:$I$89,5,0)</f>
        <v>223.98089999999999</v>
      </c>
      <c r="CV69" s="14">
        <f t="shared" ref="CV69:CV132" si="95">EXP(-1.0587+0.8836*LN(CU69)+0.284)</f>
        <v>54.979209546737259</v>
      </c>
      <c r="CW69" s="22">
        <f t="shared" si="67"/>
        <v>485.85552412723405</v>
      </c>
      <c r="CX69" s="62">
        <f t="shared" si="68"/>
        <v>779.18885746056731</v>
      </c>
      <c r="CY69" s="62">
        <f ca="1">AVERAGE(OFFSET($CX$3,0,0,'Données projet'!$E$13+1,1))-AVERAGE(OFFSET($H$3,0,0,'Données projet'!$E$13+1,1))</f>
        <v>524.55238798353344</v>
      </c>
      <c r="CZ69" s="62">
        <f t="shared" ref="CZ69:CZ132" si="96">$CZ$3</f>
        <v>216.94512104983255</v>
      </c>
      <c r="DA69" s="16">
        <f>IF(ISNA(VLOOKUP(A69,'Données projet'!$A$139:$I$159,3,0)),0,VLOOKUP(A69,'Données projet'!$A$139:$I$159,3,0))</f>
        <v>4</v>
      </c>
      <c r="DB69" s="16">
        <f>IF(ISNA(VLOOKUP(A69,'Données projet'!$A$139:$I$159,4,0)),0,VLOOKUP(A69,'Données projet'!$A$139:$I$159,4,0))</f>
        <v>39.166666666666664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-3.4106051316484809E-13</v>
      </c>
      <c r="O70" s="14">
        <f>N70*VLOOKUP('Données projet'!$B$9,Paramètres!$A$1:$I$89,3,0)*VLOOKUP('Données projet'!$B$9,Paramètres!$A$1:$I$89,5,0)</f>
        <v>-2.0395418687257919E-13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260.01925143568263</v>
      </c>
      <c r="T70" s="62">
        <f t="shared" si="88"/>
        <v>269.95358755269427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9.1830769230769249</v>
      </c>
      <c r="AI70" s="14">
        <f>IF('Données projet'!$A$62&gt;35,AI69+AH70-AQ69,IF(A70&lt;'Données projet'!$A$62,$AF$205^A70,IF(A70='Données projet'!$A$62,'Données projet'!$B$62,AI69+AH70-AQ69)))</f>
        <v>352.44307692307677</v>
      </c>
      <c r="AJ70" s="14">
        <f>AI70*VLOOKUP('Données projet'!$B$10,Paramètres!$A$1:$I$89,3,0)*VLOOKUP('Données projet'!$B$10,Paramètres!$A$1:$I$89,5,0)</f>
        <v>210.76095999999993</v>
      </c>
      <c r="AK70" s="14">
        <f t="shared" si="89"/>
        <v>52.101839581538208</v>
      </c>
      <c r="AL70" s="22">
        <f t="shared" si="58"/>
        <v>457.81937593784551</v>
      </c>
      <c r="AM70" s="62">
        <f t="shared" si="59"/>
        <v>751.15270927117876</v>
      </c>
      <c r="AN70" s="62">
        <f ca="1">AVERAGE(OFFSET($AM$3,0,0,'Données projet'!$E$10+1,1))-AVERAGE(OFFSET($H$3,0,0,'Données projet'!$E$10+1,1))</f>
        <v>289.24721145176682</v>
      </c>
      <c r="AO70" s="62">
        <f t="shared" si="90"/>
        <v>229.06617320689003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>
        <f>VLOOKUP(A70,'Données projet'!$A$87:$I$107,2,0)</f>
        <v>295.38461538461536</v>
      </c>
      <c r="BB70" s="13">
        <f>VLOOKUP(A70,'Données projet'!$A$87:$I$107,9,0)</f>
        <v>10.171794871794864</v>
      </c>
      <c r="BC70" s="13">
        <f t="array" ref="BC70">INDEX(BB:BB,MIN(IF(ISNUMBER(BB70:BB266),ROW(BB70:BB266),"")))</f>
        <v>10.171794871794864</v>
      </c>
      <c r="BD70" s="13">
        <f>IF('Données projet'!$A$88&gt;35,BD69+BC70-BL69,IF(A70&lt;'Données projet'!$A$88,$BA$205^A70,IF(A70='Données projet'!$A$88,'Données projet'!$B$88,BD69+BC70-BL69)))</f>
        <v>295.38461538461564</v>
      </c>
      <c r="BE70" s="14">
        <f>BD70*VLOOKUP('Données projet'!$B$11,Paramètres!$A$1:$I$89,3,0)*VLOOKUP('Données projet'!$B$11,Paramètres!$A$1:$I$89,5,0)</f>
        <v>138.24000000000012</v>
      </c>
      <c r="BF70" s="14">
        <f t="shared" si="91"/>
        <v>35.89351782263163</v>
      </c>
      <c r="BG70" s="22">
        <f t="shared" si="61"/>
        <v>303.28254354108361</v>
      </c>
      <c r="BH70" s="62">
        <f t="shared" si="62"/>
        <v>596.61587687441693</v>
      </c>
      <c r="BI70" s="62">
        <f ca="1">AVERAGE(OFFSET($BH$3,0,0,'Données projet'!$E$11+1,1))-AVERAGE(OFFSET($H$3,0,0,'Données projet'!$E$11+1,1))</f>
        <v>284.72381074796073</v>
      </c>
      <c r="BJ70" s="62">
        <f t="shared" si="92"/>
        <v>190.4880882944471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6.6995192307692264</v>
      </c>
      <c r="BY70" s="13">
        <f>IF('Données projet'!$A$114&gt;35,BY69+BX70-CG69,IF(A70&lt;'Données projet'!$A$114,$BV$205^A70,IF(A70='Données projet'!$A$114,'Données projet'!$B$114,BY69+BX70-CG69)))</f>
        <v>175.61618589743588</v>
      </c>
      <c r="BZ70" s="14">
        <f>BY70*VLOOKUP('Données projet'!$B$12,Paramètres!$A$1:$I$89,3,0)*VLOOKUP('Données projet'!$B$12,Paramètres!$A$1:$I$89,5,0)</f>
        <v>178.07481250000001</v>
      </c>
      <c r="CA70" s="14">
        <f t="shared" si="93"/>
        <v>44.893599731366976</v>
      </c>
      <c r="CB70" s="22">
        <f t="shared" si="64"/>
        <v>388.33665130296413</v>
      </c>
      <c r="CC70" s="62">
        <f t="shared" si="65"/>
        <v>681.66998463629739</v>
      </c>
      <c r="CD70" s="62">
        <f ca="1">AVERAGE(OFFSET($CC$3,0,0,'Données projet'!$E$12+1,1))-AVERAGE(OFFSET($H$3,0,0,'Données projet'!$E$12+1,1))</f>
        <v>496.71400086768705</v>
      </c>
      <c r="CE70" s="62">
        <f t="shared" si="94"/>
        <v>206.75063396134982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6.6995192307692264</v>
      </c>
      <c r="CT70" s="13">
        <f>IF('Données projet'!$A$140&gt;35,CT69+CS70-DB69,IF(A70&lt;'Données projet'!$A$140,$CQ$205^A70,IF(A70='Données projet'!$A$140,'Données projet'!$B$140,CT69+CS70-DB69)))</f>
        <v>175.61618589743588</v>
      </c>
      <c r="CU70" s="18">
        <f>CT70*VLOOKUP('Données projet'!$B$13,Paramètres!$A$1:$I$89,3,0)*VLOOKUP('Données projet'!$B$13,Paramètres!$A$1:$I$89,5,0)</f>
        <v>189.03326249999998</v>
      </c>
      <c r="CV70" s="14">
        <f t="shared" si="95"/>
        <v>47.326157503972155</v>
      </c>
      <c r="CW70" s="22">
        <f t="shared" si="67"/>
        <v>411.65932317358482</v>
      </c>
      <c r="CX70" s="62">
        <f t="shared" si="68"/>
        <v>704.99265650691814</v>
      </c>
      <c r="CY70" s="62">
        <f ca="1">AVERAGE(OFFSET($CX$3,0,0,'Données projet'!$E$13+1,1))-AVERAGE(OFFSET($H$3,0,0,'Données projet'!$E$13+1,1))</f>
        <v>524.55238798353344</v>
      </c>
      <c r="CZ70" s="62">
        <f t="shared" si="96"/>
        <v>216.94512104983255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-3.4106051316484809E-13</v>
      </c>
      <c r="O71" s="14">
        <f>N71*VLOOKUP('Données projet'!$B$9,Paramètres!$A$1:$I$89,3,0)*VLOOKUP('Données projet'!$B$9,Paramètres!$A$1:$I$89,5,0)</f>
        <v>-2.0395418687257919E-13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260.01925143568263</v>
      </c>
      <c r="T71" s="62">
        <f t="shared" si="88"/>
        <v>269.95358755269427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9.1830769230769249</v>
      </c>
      <c r="AI71" s="14">
        <f>IF('Données projet'!$A$62&gt;35,AI70+AH71-AQ70,IF(A71&lt;'Données projet'!$A$62,$AF$205^A71,IF(A71='Données projet'!$A$62,'Données projet'!$B$62,AI70+AH71-AQ70)))</f>
        <v>361.62615384615367</v>
      </c>
      <c r="AJ71" s="14">
        <f>AI71*VLOOKUP('Données projet'!$B$10,Paramètres!$A$1:$I$89,3,0)*VLOOKUP('Données projet'!$B$10,Paramètres!$A$1:$I$89,5,0)</f>
        <v>216.25243999999989</v>
      </c>
      <c r="AK71" s="14">
        <f t="shared" si="89"/>
        <v>53.299559396285737</v>
      </c>
      <c r="AL71" s="22">
        <f t="shared" si="58"/>
        <v>469.46973228186403</v>
      </c>
      <c r="AM71" s="62">
        <f t="shared" si="59"/>
        <v>762.80306561519728</v>
      </c>
      <c r="AN71" s="62">
        <f ca="1">AVERAGE(OFFSET($AM$3,0,0,'Données projet'!$E$10+1,1))-AVERAGE(OFFSET($H$3,0,0,'Données projet'!$E$10+1,1))</f>
        <v>289.24721145176682</v>
      </c>
      <c r="AO71" s="62">
        <f t="shared" si="90"/>
        <v>229.06617320689003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10.457692307692307</v>
      </c>
      <c r="BD71" s="13">
        <f>IF('Données projet'!$A$88&gt;35,BD70+BC71-BL70,IF(A71&lt;'Données projet'!$A$88,$BA$205^A71,IF(A71='Données projet'!$A$88,'Données projet'!$B$88,BD70+BC71-BL70)))</f>
        <v>305.84230769230794</v>
      </c>
      <c r="BE71" s="14">
        <f>BD71*VLOOKUP('Données projet'!$B$11,Paramètres!$A$1:$I$89,3,0)*VLOOKUP('Données projet'!$B$11,Paramètres!$A$1:$I$89,5,0)</f>
        <v>143.13420000000011</v>
      </c>
      <c r="BF71" s="14">
        <f t="shared" si="91"/>
        <v>37.014078899239124</v>
      </c>
      <c r="BG71" s="22">
        <f t="shared" si="61"/>
        <v>313.75825241617503</v>
      </c>
      <c r="BH71" s="62">
        <f t="shared" si="62"/>
        <v>607.09158574950834</v>
      </c>
      <c r="BI71" s="62">
        <f ca="1">AVERAGE(OFFSET($BH$3,0,0,'Données projet'!$E$11+1,1))-AVERAGE(OFFSET($H$3,0,0,'Données projet'!$E$11+1,1))</f>
        <v>284.72381074796073</v>
      </c>
      <c r="BJ71" s="62">
        <f t="shared" si="92"/>
        <v>190.4880882944471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6.6995192307692264</v>
      </c>
      <c r="BY71" s="13">
        <f>IF('Données projet'!$A$114&gt;35,BY70+BX71-CG70,IF(A71&lt;'Données projet'!$A$114,$BV$205^A71,IF(A71='Données projet'!$A$114,'Données projet'!$B$114,BY70+BX71-CG70)))</f>
        <v>182.31570512820511</v>
      </c>
      <c r="BZ71" s="14">
        <f>BY71*VLOOKUP('Données projet'!$B$12,Paramètres!$A$1:$I$89,3,0)*VLOOKUP('Données projet'!$B$12,Paramètres!$A$1:$I$89,5,0)</f>
        <v>184.86812499999999</v>
      </c>
      <c r="CA71" s="14">
        <f t="shared" si="93"/>
        <v>46.403566426739673</v>
      </c>
      <c r="CB71" s="22">
        <f t="shared" si="64"/>
        <v>402.79819590157155</v>
      </c>
      <c r="CC71" s="62">
        <f t="shared" si="65"/>
        <v>696.13152923490486</v>
      </c>
      <c r="CD71" s="62">
        <f ca="1">AVERAGE(OFFSET($CC$3,0,0,'Données projet'!$E$12+1,1))-AVERAGE(OFFSET($H$3,0,0,'Données projet'!$E$12+1,1))</f>
        <v>496.71400086768705</v>
      </c>
      <c r="CE71" s="62">
        <f t="shared" si="94"/>
        <v>206.75063396134982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6.6995192307692264</v>
      </c>
      <c r="CT71" s="13">
        <f>IF('Données projet'!$A$140&gt;35,CT70+CS71-DB70,IF(A71&lt;'Données projet'!$A$140,$CQ$205^A71,IF(A71='Données projet'!$A$140,'Données projet'!$B$140,CT70+CS71-DB70)))</f>
        <v>182.31570512820511</v>
      </c>
      <c r="CU71" s="18">
        <f>CT71*VLOOKUP('Données projet'!$B$13,Paramètres!$A$1:$I$89,3,0)*VLOOKUP('Données projet'!$B$13,Paramètres!$A$1:$I$89,5,0)</f>
        <v>196.24462499999996</v>
      </c>
      <c r="CV71" s="14">
        <f t="shared" si="95"/>
        <v>48.917941679858387</v>
      </c>
      <c r="CW71" s="22">
        <f t="shared" si="67"/>
        <v>426.99147030075329</v>
      </c>
      <c r="CX71" s="62">
        <f t="shared" si="68"/>
        <v>720.32480363408661</v>
      </c>
      <c r="CY71" s="62">
        <f ca="1">AVERAGE(OFFSET($CX$3,0,0,'Données projet'!$E$13+1,1))-AVERAGE(OFFSET($H$3,0,0,'Données projet'!$E$13+1,1))</f>
        <v>524.55238798353344</v>
      </c>
      <c r="CZ71" s="62">
        <f t="shared" si="96"/>
        <v>216.94512104983255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-3.4106051316484809E-13</v>
      </c>
      <c r="O72" s="14">
        <f>N72*VLOOKUP('Données projet'!$B$9,Paramètres!$A$1:$I$89,3,0)*VLOOKUP('Données projet'!$B$9,Paramètres!$A$1:$I$89,5,0)</f>
        <v>-2.0395418687257919E-13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260.01925143568263</v>
      </c>
      <c r="T72" s="62">
        <f t="shared" si="88"/>
        <v>269.95358755269427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9.1830769230769249</v>
      </c>
      <c r="AI72" s="14">
        <f>IF('Données projet'!$A$62&gt;35,AI71+AH72-AQ71,IF(A72&lt;'Données projet'!$A$62,$AF$205^A72,IF(A72='Données projet'!$A$62,'Données projet'!$B$62,AI71+AH72-AQ71)))</f>
        <v>370.80923076923057</v>
      </c>
      <c r="AJ72" s="14">
        <f>AI72*VLOOKUP('Données projet'!$B$10,Paramètres!$A$1:$I$89,3,0)*VLOOKUP('Données projet'!$B$10,Paramètres!$A$1:$I$89,5,0)</f>
        <v>221.74391999999989</v>
      </c>
      <c r="AK72" s="14">
        <f t="shared" si="89"/>
        <v>54.493743764780973</v>
      </c>
      <c r="AL72" s="22">
        <f t="shared" si="58"/>
        <v>481.11393105699329</v>
      </c>
      <c r="AM72" s="62">
        <f t="shared" si="59"/>
        <v>774.44726439032661</v>
      </c>
      <c r="AN72" s="62">
        <f ca="1">AVERAGE(OFFSET($AM$3,0,0,'Données projet'!$E$10+1,1))-AVERAGE(OFFSET($H$3,0,0,'Données projet'!$E$10+1,1))</f>
        <v>289.24721145176682</v>
      </c>
      <c r="AO72" s="62">
        <f t="shared" si="90"/>
        <v>229.06617320689003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10.457692307692307</v>
      </c>
      <c r="BD72" s="13">
        <f>IF('Données projet'!$A$88&gt;35,BD71+BC72-BL71,IF(A72&lt;'Données projet'!$A$88,$BA$205^A72,IF(A72='Données projet'!$A$88,'Données projet'!$B$88,BD71+BC72-BL71)))</f>
        <v>316.30000000000024</v>
      </c>
      <c r="BE72" s="14">
        <f>BD72*VLOOKUP('Données projet'!$B$11,Paramètres!$A$1:$I$89,3,0)*VLOOKUP('Données projet'!$B$11,Paramètres!$A$1:$I$89,5,0)</f>
        <v>148.02840000000012</v>
      </c>
      <c r="BF72" s="14">
        <f t="shared" si="91"/>
        <v>38.130188005693384</v>
      </c>
      <c r="BG72" s="22">
        <f t="shared" si="61"/>
        <v>324.22620744324951</v>
      </c>
      <c r="BH72" s="62">
        <f t="shared" si="62"/>
        <v>617.55954077658282</v>
      </c>
      <c r="BI72" s="62">
        <f ca="1">AVERAGE(OFFSET($BH$3,0,0,'Données projet'!$E$11+1,1))-AVERAGE(OFFSET($H$3,0,0,'Données projet'!$E$11+1,1))</f>
        <v>284.72381074796073</v>
      </c>
      <c r="BJ72" s="62">
        <f t="shared" si="92"/>
        <v>190.4880882944471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6.6995192307692264</v>
      </c>
      <c r="BY72" s="13">
        <f>IF('Données projet'!$A$114&gt;35,BY71+BX72-CG71,IF(A72&lt;'Données projet'!$A$114,$BV$205^A72,IF(A72='Données projet'!$A$114,'Données projet'!$B$114,BY71+BX72-CG71)))</f>
        <v>189.01522435897434</v>
      </c>
      <c r="BZ72" s="14">
        <f>BY72*VLOOKUP('Données projet'!$B$12,Paramètres!$A$1:$I$89,3,0)*VLOOKUP('Données projet'!$B$12,Paramètres!$A$1:$I$89,5,0)</f>
        <v>191.66143750000001</v>
      </c>
      <c r="CA72" s="14">
        <f t="shared" si="93"/>
        <v>47.907086760261961</v>
      </c>
      <c r="CB72" s="22">
        <f t="shared" si="64"/>
        <v>417.24851308662295</v>
      </c>
      <c r="CC72" s="62">
        <f t="shared" si="65"/>
        <v>710.58184641995626</v>
      </c>
      <c r="CD72" s="62">
        <f ca="1">AVERAGE(OFFSET($CC$3,0,0,'Données projet'!$E$12+1,1))-AVERAGE(OFFSET($H$3,0,0,'Données projet'!$E$12+1,1))</f>
        <v>496.71400086768705</v>
      </c>
      <c r="CE72" s="62">
        <f t="shared" si="94"/>
        <v>206.75063396134982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6.6995192307692264</v>
      </c>
      <c r="CT72" s="13">
        <f>IF('Données projet'!$A$140&gt;35,CT71+CS72-DB71,IF(A72&lt;'Données projet'!$A$140,$CQ$205^A72,IF(A72='Données projet'!$A$140,'Données projet'!$B$140,CT71+CS72-DB71)))</f>
        <v>189.01522435897434</v>
      </c>
      <c r="CU72" s="18">
        <f>CT72*VLOOKUP('Données projet'!$B$13,Paramètres!$A$1:$I$89,3,0)*VLOOKUP('Données projet'!$B$13,Paramètres!$A$1:$I$89,5,0)</f>
        <v>203.45598749999996</v>
      </c>
      <c r="CV72" s="14">
        <f t="shared" si="95"/>
        <v>50.502930198054322</v>
      </c>
      <c r="CW72" s="22">
        <f t="shared" si="67"/>
        <v>442.3117816574445</v>
      </c>
      <c r="CX72" s="62">
        <f t="shared" si="68"/>
        <v>735.64511499077776</v>
      </c>
      <c r="CY72" s="62">
        <f ca="1">AVERAGE(OFFSET($CX$3,0,0,'Données projet'!$E$13+1,1))-AVERAGE(OFFSET($H$3,0,0,'Données projet'!$E$13+1,1))</f>
        <v>524.55238798353344</v>
      </c>
      <c r="CZ72" s="62">
        <f t="shared" si="96"/>
        <v>216.94512104983255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-3.4106051316484809E-13</v>
      </c>
      <c r="O73" s="14">
        <f>N73*VLOOKUP('Données projet'!$B$9,Paramètres!$A$1:$I$89,3,0)*VLOOKUP('Données projet'!$B$9,Paramètres!$A$1:$I$89,5,0)</f>
        <v>-2.0395418687257919E-13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260.01925143568263</v>
      </c>
      <c r="T73" s="62">
        <f t="shared" si="88"/>
        <v>269.95358755269427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379.99230769230769</v>
      </c>
      <c r="AG73" s="13">
        <f>VLOOKUP(A73,'Données projet'!$A$61:$I$81,9,0)</f>
        <v>9.1830769230769249</v>
      </c>
      <c r="AH73" s="13">
        <f t="array" ref="AH73">INDEX(AG:AG,MIN(IF(ISNUMBER(AG73:AG269),ROW(AG73:AG269),"")))</f>
        <v>9.1830769230769249</v>
      </c>
      <c r="AI73" s="14">
        <f>IF('Données projet'!$A$62&gt;35,AI72+AH73-AQ72,IF(A73&lt;'Données projet'!$A$62,$AF$205^A73,IF(A73='Données projet'!$A$62,'Données projet'!$B$62,AI72+AH73-AQ72)))</f>
        <v>379.99230769230746</v>
      </c>
      <c r="AJ73" s="14">
        <f>AI73*VLOOKUP('Données projet'!$B$10,Paramètres!$A$1:$I$89,3,0)*VLOOKUP('Données projet'!$B$10,Paramètres!$A$1:$I$89,5,0)</f>
        <v>227.23539999999988</v>
      </c>
      <c r="AK73" s="14">
        <f t="shared" si="89"/>
        <v>55.684490313081348</v>
      </c>
      <c r="AL73" s="22">
        <f t="shared" si="58"/>
        <v>492.75214229528314</v>
      </c>
      <c r="AM73" s="62">
        <f t="shared" si="59"/>
        <v>786.08547562861645</v>
      </c>
      <c r="AN73" s="62">
        <f ca="1">AVERAGE(OFFSET($AM$3,0,0,'Données projet'!$E$10+1,1))-AVERAGE(OFFSET($H$3,0,0,'Données projet'!$E$10+1,1))</f>
        <v>289.24721145176682</v>
      </c>
      <c r="AO73" s="62">
        <f t="shared" si="90"/>
        <v>229.06617320689003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52.669230769230765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10.457692307692307</v>
      </c>
      <c r="BD73" s="13">
        <f>IF('Données projet'!$A$88&gt;35,BD72+BC73-BL72,IF(A73&lt;'Données projet'!$A$88,$BA$205^A73,IF(A73='Données projet'!$A$88,'Données projet'!$B$88,BD72+BC73-BL72)))</f>
        <v>326.75769230769254</v>
      </c>
      <c r="BE73" s="14">
        <f>BD73*VLOOKUP('Données projet'!$B$11,Paramètres!$A$1:$I$89,3,0)*VLOOKUP('Données projet'!$B$11,Paramètres!$A$1:$I$89,5,0)</f>
        <v>152.9226000000001</v>
      </c>
      <c r="BF73" s="14">
        <f t="shared" si="91"/>
        <v>39.242009213831622</v>
      </c>
      <c r="BG73" s="22">
        <f t="shared" si="61"/>
        <v>334.68669438075693</v>
      </c>
      <c r="BH73" s="62">
        <f t="shared" si="62"/>
        <v>628.02002771409025</v>
      </c>
      <c r="BI73" s="62">
        <f ca="1">AVERAGE(OFFSET($BH$3,0,0,'Données projet'!$E$11+1,1))-AVERAGE(OFFSET($H$3,0,0,'Données projet'!$E$11+1,1))</f>
        <v>284.72381074796073</v>
      </c>
      <c r="BJ73" s="62">
        <f t="shared" si="92"/>
        <v>190.4880882944471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6.6995192307692264</v>
      </c>
      <c r="BY73" s="13">
        <f>IF('Données projet'!$A$114&gt;35,BY72+BX73-CG72,IF(A73&lt;'Données projet'!$A$114,$BV$205^A73,IF(A73='Données projet'!$A$114,'Données projet'!$B$114,BY72+BX73-CG72)))</f>
        <v>195.71474358974356</v>
      </c>
      <c r="BZ73" s="14">
        <f>BY73*VLOOKUP('Données projet'!$B$12,Paramètres!$A$1:$I$89,3,0)*VLOOKUP('Données projet'!$B$12,Paramètres!$A$1:$I$89,5,0)</f>
        <v>198.45474999999999</v>
      </c>
      <c r="CA73" s="14">
        <f t="shared" si="93"/>
        <v>49.404415397783779</v>
      </c>
      <c r="CB73" s="22">
        <f t="shared" si="64"/>
        <v>431.68804640114007</v>
      </c>
      <c r="CC73" s="62">
        <f t="shared" si="65"/>
        <v>725.02137973447338</v>
      </c>
      <c r="CD73" s="62">
        <f ca="1">AVERAGE(OFFSET($CC$3,0,0,'Données projet'!$E$12+1,1))-AVERAGE(OFFSET($H$3,0,0,'Données projet'!$E$12+1,1))</f>
        <v>496.71400086768705</v>
      </c>
      <c r="CE73" s="62">
        <f t="shared" si="94"/>
        <v>206.75063396134982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6.6995192307692264</v>
      </c>
      <c r="CT73" s="13">
        <f>IF('Données projet'!$A$140&gt;35,CT72+CS73-DB72,IF(A73&lt;'Données projet'!$A$140,$CQ$205^A73,IF(A73='Données projet'!$A$140,'Données projet'!$B$140,CT72+CS73-DB72)))</f>
        <v>195.71474358974356</v>
      </c>
      <c r="CU73" s="18">
        <f>CT73*VLOOKUP('Données projet'!$B$13,Paramètres!$A$1:$I$89,3,0)*VLOOKUP('Données projet'!$B$13,Paramètres!$A$1:$I$89,5,0)</f>
        <v>210.66734999999994</v>
      </c>
      <c r="CV73" s="14">
        <f t="shared" si="95"/>
        <v>52.081391523468014</v>
      </c>
      <c r="CW73" s="22">
        <f t="shared" si="67"/>
        <v>457.62072482004004</v>
      </c>
      <c r="CX73" s="62">
        <f t="shared" si="68"/>
        <v>750.95405815337335</v>
      </c>
      <c r="CY73" s="62">
        <f ca="1">AVERAGE(OFFSET($CX$3,0,0,'Données projet'!$E$13+1,1))-AVERAGE(OFFSET($H$3,0,0,'Données projet'!$E$13+1,1))</f>
        <v>524.55238798353344</v>
      </c>
      <c r="CZ73" s="62">
        <f t="shared" si="96"/>
        <v>216.94512104983255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-3.4106051316484809E-13</v>
      </c>
      <c r="O74" s="14">
        <f>N74*VLOOKUP('Données projet'!$B$9,Paramètres!$A$1:$I$89,3,0)*VLOOKUP('Données projet'!$B$9,Paramètres!$A$1:$I$89,5,0)</f>
        <v>-2.0395418687257919E-13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260.01925143568263</v>
      </c>
      <c r="T74" s="62">
        <f t="shared" si="88"/>
        <v>269.95358755269427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7.5584615384615343</v>
      </c>
      <c r="AI74" s="14">
        <f>IF('Données projet'!$A$62&gt;35,AI73+AH74-AQ73,IF(A74&lt;'Données projet'!$A$62,$AF$205^A74,IF(A74='Données projet'!$A$62,'Données projet'!$B$62,AI73+AH74-AQ73)))</f>
        <v>334.88153846153824</v>
      </c>
      <c r="AJ74" s="14">
        <f>AI74*VLOOKUP('Données projet'!$B$10,Paramètres!$A$1:$I$89,3,0)*VLOOKUP('Données projet'!$B$10,Paramètres!$A$1:$I$89,5,0)</f>
        <v>200.25915999999989</v>
      </c>
      <c r="AK74" s="14">
        <f t="shared" si="89"/>
        <v>49.801118956127333</v>
      </c>
      <c r="AL74" s="22">
        <f t="shared" si="58"/>
        <v>435.52165251525486</v>
      </c>
      <c r="AM74" s="62">
        <f t="shared" si="59"/>
        <v>728.85498584858817</v>
      </c>
      <c r="AN74" s="62">
        <f ca="1">AVERAGE(OFFSET($AM$3,0,0,'Données projet'!$E$10+1,1))-AVERAGE(OFFSET($H$3,0,0,'Données projet'!$E$10+1,1))</f>
        <v>289.24721145176682</v>
      </c>
      <c r="AO74" s="62">
        <f t="shared" si="90"/>
        <v>229.06617320689003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10.457692307692307</v>
      </c>
      <c r="BD74" s="13">
        <f>IF('Données projet'!$A$88&gt;35,BD73+BC74-BL73,IF(A74&lt;'Données projet'!$A$88,$BA$205^A74,IF(A74='Données projet'!$A$88,'Données projet'!$B$88,BD73+BC74-BL73)))</f>
        <v>337.21538461538483</v>
      </c>
      <c r="BE74" s="14">
        <f>BD74*VLOOKUP('Données projet'!$B$11,Paramètres!$A$1:$I$89,3,0)*VLOOKUP('Données projet'!$B$11,Paramètres!$A$1:$I$89,5,0)</f>
        <v>157.81680000000009</v>
      </c>
      <c r="BF74" s="14">
        <f t="shared" si="91"/>
        <v>40.34969549714323</v>
      </c>
      <c r="BG74" s="22">
        <f t="shared" si="61"/>
        <v>345.13997965752463</v>
      </c>
      <c r="BH74" s="62">
        <f t="shared" si="62"/>
        <v>638.47331299085795</v>
      </c>
      <c r="BI74" s="62">
        <f ca="1">AVERAGE(OFFSET($BH$3,0,0,'Données projet'!$E$11+1,1))-AVERAGE(OFFSET($H$3,0,0,'Données projet'!$E$11+1,1))</f>
        <v>284.72381074796073</v>
      </c>
      <c r="BJ74" s="62">
        <f t="shared" si="92"/>
        <v>190.4880882944471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6.6995192307692264</v>
      </c>
      <c r="BY74" s="13">
        <f>IF('Données projet'!$A$114&gt;35,BY73+BX74-CG73,IF(A74&lt;'Données projet'!$A$114,$BV$205^A74,IF(A74='Données projet'!$A$114,'Données projet'!$B$114,BY73+BX74-CG73)))</f>
        <v>202.41426282051279</v>
      </c>
      <c r="BZ74" s="14">
        <f>BY74*VLOOKUP('Données projet'!$B$12,Paramètres!$A$1:$I$89,3,0)*VLOOKUP('Données projet'!$B$12,Paramètres!$A$1:$I$89,5,0)</f>
        <v>205.24806249999997</v>
      </c>
      <c r="CA74" s="14">
        <f t="shared" si="93"/>
        <v>50.895788581242883</v>
      </c>
      <c r="CB74" s="22">
        <f t="shared" si="64"/>
        <v>446.11720729983131</v>
      </c>
      <c r="CC74" s="62">
        <f t="shared" si="65"/>
        <v>739.45054063316456</v>
      </c>
      <c r="CD74" s="62">
        <f ca="1">AVERAGE(OFFSET($CC$3,0,0,'Données projet'!$E$12+1,1))-AVERAGE(OFFSET($H$3,0,0,'Données projet'!$E$12+1,1))</f>
        <v>496.71400086768705</v>
      </c>
      <c r="CE74" s="62">
        <f t="shared" si="94"/>
        <v>206.75063396134982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6.6995192307692264</v>
      </c>
      <c r="CT74" s="13">
        <f>IF('Données projet'!$A$140&gt;35,CT73+CS74-DB73,IF(A74&lt;'Données projet'!$A$140,$CQ$205^A74,IF(A74='Données projet'!$A$140,'Données projet'!$B$140,CT73+CS74-DB73)))</f>
        <v>202.41426282051279</v>
      </c>
      <c r="CU74" s="18">
        <f>CT74*VLOOKUP('Données projet'!$B$13,Paramètres!$A$1:$I$89,3,0)*VLOOKUP('Données projet'!$B$13,Paramètres!$A$1:$I$89,5,0)</f>
        <v>217.87871249999998</v>
      </c>
      <c r="CV74" s="14">
        <f t="shared" si="95"/>
        <v>53.65357469879649</v>
      </c>
      <c r="CW74" s="22">
        <f t="shared" si="67"/>
        <v>472.91873353790379</v>
      </c>
      <c r="CX74" s="62">
        <f t="shared" si="68"/>
        <v>766.25206687123705</v>
      </c>
      <c r="CY74" s="62">
        <f ca="1">AVERAGE(OFFSET($CX$3,0,0,'Données projet'!$E$13+1,1))-AVERAGE(OFFSET($H$3,0,0,'Données projet'!$E$13+1,1))</f>
        <v>524.55238798353344</v>
      </c>
      <c r="CZ74" s="62">
        <f t="shared" si="96"/>
        <v>216.94512104983255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-3.4106051316484809E-13</v>
      </c>
      <c r="O75" s="14">
        <f>N75*VLOOKUP('Données projet'!$B$9,Paramètres!$A$1:$I$89,3,0)*VLOOKUP('Données projet'!$B$9,Paramètres!$A$1:$I$89,5,0)</f>
        <v>-2.0395418687257919E-13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260.01925143568263</v>
      </c>
      <c r="T75" s="62">
        <f t="shared" si="88"/>
        <v>269.95358755269427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7.5584615384615343</v>
      </c>
      <c r="AI75" s="14">
        <f>IF('Données projet'!$A$62&gt;35,AI74+AH75-AQ74,IF(A75&lt;'Données projet'!$A$62,$AF$205^A75,IF(A75='Données projet'!$A$62,'Données projet'!$B$62,AI74+AH75-AQ74)))</f>
        <v>342.43999999999977</v>
      </c>
      <c r="AJ75" s="14">
        <f>AI75*VLOOKUP('Données projet'!$B$10,Paramètres!$A$1:$I$89,3,0)*VLOOKUP('Données projet'!$B$10,Paramètres!$A$1:$I$89,5,0)</f>
        <v>204.77911999999986</v>
      </c>
      <c r="AK75" s="14">
        <f t="shared" si="89"/>
        <v>50.79302579334589</v>
      </c>
      <c r="AL75" s="22">
        <f t="shared" si="58"/>
        <v>445.12148725674388</v>
      </c>
      <c r="AM75" s="62">
        <f t="shared" si="59"/>
        <v>738.45482059007713</v>
      </c>
      <c r="AN75" s="62">
        <f ca="1">AVERAGE(OFFSET($AM$3,0,0,'Données projet'!$E$10+1,1))-AVERAGE(OFFSET($H$3,0,0,'Données projet'!$E$10+1,1))</f>
        <v>289.24721145176682</v>
      </c>
      <c r="AO75" s="62">
        <f t="shared" si="90"/>
        <v>229.06617320689003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10.457692307692307</v>
      </c>
      <c r="BD75" s="13">
        <f>IF('Données projet'!$A$88&gt;35,BD74+BC75-BL74,IF(A75&lt;'Données projet'!$A$88,$BA$205^A75,IF(A75='Données projet'!$A$88,'Données projet'!$B$88,BD74+BC75-BL74)))</f>
        <v>347.67307692307713</v>
      </c>
      <c r="BE75" s="14">
        <f>BD75*VLOOKUP('Données projet'!$B$11,Paramètres!$A$1:$I$89,3,0)*VLOOKUP('Données projet'!$B$11,Paramètres!$A$1:$I$89,5,0)</f>
        <v>162.7110000000001</v>
      </c>
      <c r="BF75" s="14">
        <f t="shared" si="91"/>
        <v>41.45338980214099</v>
      </c>
      <c r="BG75" s="22">
        <f t="shared" si="61"/>
        <v>355.58631223872908</v>
      </c>
      <c r="BH75" s="62">
        <f t="shared" si="62"/>
        <v>648.91964557206234</v>
      </c>
      <c r="BI75" s="62">
        <f ca="1">AVERAGE(OFFSET($BH$3,0,0,'Données projet'!$E$11+1,1))-AVERAGE(OFFSET($H$3,0,0,'Données projet'!$E$11+1,1))</f>
        <v>284.72381074796073</v>
      </c>
      <c r="BJ75" s="62">
        <f t="shared" si="92"/>
        <v>190.4880882944471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6.6995192307692264</v>
      </c>
      <c r="BY75" s="13">
        <f>IF('Données projet'!$A$114&gt;35,BY74+BX75-CG74,IF(A75&lt;'Données projet'!$A$114,$BV$205^A75,IF(A75='Données projet'!$A$114,'Données projet'!$B$114,BY74+BX75-CG74)))</f>
        <v>209.11378205128202</v>
      </c>
      <c r="BZ75" s="14">
        <f>BY75*VLOOKUP('Données projet'!$B$12,Paramètres!$A$1:$I$89,3,0)*VLOOKUP('Données projet'!$B$12,Paramètres!$A$1:$I$89,5,0)</f>
        <v>212.04137499999996</v>
      </c>
      <c r="CA75" s="14">
        <f t="shared" si="93"/>
        <v>52.381426026792596</v>
      </c>
      <c r="CB75" s="22">
        <f t="shared" si="64"/>
        <v>460.53637845499702</v>
      </c>
      <c r="CC75" s="62">
        <f t="shared" si="65"/>
        <v>753.86971178833028</v>
      </c>
      <c r="CD75" s="62">
        <f ca="1">AVERAGE(OFFSET($CC$3,0,0,'Données projet'!$E$12+1,1))-AVERAGE(OFFSET($H$3,0,0,'Données projet'!$E$12+1,1))</f>
        <v>496.71400086768705</v>
      </c>
      <c r="CE75" s="62">
        <f t="shared" si="94"/>
        <v>206.75063396134982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6.6995192307692264</v>
      </c>
      <c r="CT75" s="13">
        <f>IF('Données projet'!$A$140&gt;35,CT74+CS75-DB74,IF(A75&lt;'Données projet'!$A$140,$CQ$205^A75,IF(A75='Données projet'!$A$140,'Données projet'!$B$140,CT74+CS75-DB74)))</f>
        <v>209.11378205128202</v>
      </c>
      <c r="CU75" s="18">
        <f>CT75*VLOOKUP('Données projet'!$B$13,Paramètres!$A$1:$I$89,3,0)*VLOOKUP('Données projet'!$B$13,Paramètres!$A$1:$I$89,5,0)</f>
        <v>225.09007499999996</v>
      </c>
      <c r="CV75" s="14">
        <f t="shared" si="95"/>
        <v>55.219711345503427</v>
      </c>
      <c r="CW75" s="22">
        <f t="shared" si="67"/>
        <v>488.20621121841833</v>
      </c>
      <c r="CX75" s="62">
        <f t="shared" si="68"/>
        <v>781.53954455175165</v>
      </c>
      <c r="CY75" s="62">
        <f ca="1">AVERAGE(OFFSET($CX$3,0,0,'Données projet'!$E$13+1,1))-AVERAGE(OFFSET($H$3,0,0,'Données projet'!$E$13+1,1))</f>
        <v>524.55238798353344</v>
      </c>
      <c r="CZ75" s="62">
        <f t="shared" si="96"/>
        <v>216.94512104983255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-3.4106051316484809E-13</v>
      </c>
      <c r="O76" s="14">
        <f>N76*VLOOKUP('Données projet'!$B$9,Paramètres!$A$1:$I$89,3,0)*VLOOKUP('Données projet'!$B$9,Paramètres!$A$1:$I$89,5,0)</f>
        <v>-2.0395418687257919E-13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260.01925143568263</v>
      </c>
      <c r="T76" s="62">
        <f t="shared" si="88"/>
        <v>269.95358755269427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7.5584615384615343</v>
      </c>
      <c r="AI76" s="14">
        <f>IF('Données projet'!$A$62&gt;35,AI75+AH76-AQ75,IF(A76&lt;'Données projet'!$A$62,$AF$205^A76,IF(A76='Données projet'!$A$62,'Données projet'!$B$62,AI75+AH76-AQ75)))</f>
        <v>349.9984615384613</v>
      </c>
      <c r="AJ76" s="14">
        <f>AI76*VLOOKUP('Données projet'!$B$10,Paramètres!$A$1:$I$89,3,0)*VLOOKUP('Données projet'!$B$10,Paramètres!$A$1:$I$89,5,0)</f>
        <v>209.29907999999986</v>
      </c>
      <c r="AK76" s="14">
        <f t="shared" si="89"/>
        <v>51.782387252616175</v>
      </c>
      <c r="AL76" s="22">
        <f t="shared" si="58"/>
        <v>454.71688879830623</v>
      </c>
      <c r="AM76" s="62">
        <f t="shared" si="59"/>
        <v>748.05022213163954</v>
      </c>
      <c r="AN76" s="62">
        <f ca="1">AVERAGE(OFFSET($AM$3,0,0,'Données projet'!$E$10+1,1))-AVERAGE(OFFSET($H$3,0,0,'Données projet'!$E$10+1,1))</f>
        <v>289.24721145176682</v>
      </c>
      <c r="AO76" s="62">
        <f t="shared" si="90"/>
        <v>229.06617320689003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>
        <f>VLOOKUP(A76,'Données projet'!$A$87:$I$107,2,0)</f>
        <v>358.1307692307692</v>
      </c>
      <c r="BB76" s="13">
        <f>VLOOKUP(A76,'Données projet'!$A$87:$I$107,9,0)</f>
        <v>10.457692307692307</v>
      </c>
      <c r="BC76" s="13">
        <f t="array" ref="BC76">INDEX(BB:BB,MIN(IF(ISNUMBER(BB76:BB272),ROW(BB76:BB272),"")))</f>
        <v>10.457692307692307</v>
      </c>
      <c r="BD76" s="13">
        <f>IF('Données projet'!$A$88&gt;35,BD75+BC76-BL75,IF(A76&lt;'Données projet'!$A$88,$BA$205^A76,IF(A76='Données projet'!$A$88,'Données projet'!$B$88,BD75+BC76-BL75)))</f>
        <v>358.13076923076943</v>
      </c>
      <c r="BE76" s="14">
        <f>BD76*VLOOKUP('Données projet'!$B$11,Paramètres!$A$1:$I$89,3,0)*VLOOKUP('Données projet'!$B$11,Paramètres!$A$1:$I$89,5,0)</f>
        <v>167.60520000000008</v>
      </c>
      <c r="BF76" s="14">
        <f t="shared" si="91"/>
        <v>42.553225987206737</v>
      </c>
      <c r="BG76" s="22">
        <f t="shared" si="61"/>
        <v>366.02592526105178</v>
      </c>
      <c r="BH76" s="62">
        <f t="shared" si="62"/>
        <v>659.3592585943851</v>
      </c>
      <c r="BI76" s="62">
        <f ca="1">AVERAGE(OFFSET($BH$3,0,0,'Données projet'!$E$11+1,1))-AVERAGE(OFFSET($H$3,0,0,'Données projet'!$E$11+1,1))</f>
        <v>284.72381074796073</v>
      </c>
      <c r="BJ76" s="62">
        <f t="shared" si="92"/>
        <v>190.4880882944471</v>
      </c>
      <c r="BK76" s="16">
        <f>IF(ISNA(VLOOKUP(A76,'Données projet'!$A$87:$I$107,3,0)),0,VLOOKUP(A76,'Données projet'!$A$87:$I$107,3,0))</f>
        <v>3</v>
      </c>
      <c r="BL76" s="16">
        <f>IF(ISNA(VLOOKUP(A76,'Données projet'!$A$87:$I$107,4,0)),0,VLOOKUP(A76,'Données projet'!$A$87:$I$107,4,0))</f>
        <v>93.584615384615375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6.6995192307692264</v>
      </c>
      <c r="BY76" s="13">
        <f>IF('Données projet'!$A$114&gt;35,BY75+BX76-CG75,IF(A76&lt;'Données projet'!$A$114,$BV$205^A76,IF(A76='Données projet'!$A$114,'Données projet'!$B$114,BY75+BX76-CG75)))</f>
        <v>215.81330128205124</v>
      </c>
      <c r="BZ76" s="14">
        <f>BY76*VLOOKUP('Données projet'!$B$12,Paramètres!$A$1:$I$89,3,0)*VLOOKUP('Données projet'!$B$12,Paramètres!$A$1:$I$89,5,0)</f>
        <v>218.83468749999997</v>
      </c>
      <c r="CA76" s="14">
        <f t="shared" si="93"/>
        <v>53.861532572850201</v>
      </c>
      <c r="CB76" s="22">
        <f t="shared" si="64"/>
        <v>474.94591662688066</v>
      </c>
      <c r="CC76" s="62">
        <f t="shared" si="65"/>
        <v>768.27924996021397</v>
      </c>
      <c r="CD76" s="62">
        <f ca="1">AVERAGE(OFFSET($CC$3,0,0,'Données projet'!$E$12+1,1))-AVERAGE(OFFSET($H$3,0,0,'Données projet'!$E$12+1,1))</f>
        <v>496.71400086768705</v>
      </c>
      <c r="CE76" s="62">
        <f t="shared" si="94"/>
        <v>206.75063396134982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6.6995192307692264</v>
      </c>
      <c r="CT76" s="13">
        <f>IF('Données projet'!$A$140&gt;35,CT75+CS76-DB75,IF(A76&lt;'Données projet'!$A$140,$CQ$205^A76,IF(A76='Données projet'!$A$140,'Données projet'!$B$140,CT75+CS76-DB75)))</f>
        <v>215.81330128205124</v>
      </c>
      <c r="CU76" s="18">
        <f>CT76*VLOOKUP('Données projet'!$B$13,Paramètres!$A$1:$I$89,3,0)*VLOOKUP('Données projet'!$B$13,Paramètres!$A$1:$I$89,5,0)</f>
        <v>232.30143749999993</v>
      </c>
      <c r="CV76" s="14">
        <f t="shared" si="95"/>
        <v>56.780017401166816</v>
      </c>
      <c r="CW76" s="22">
        <f t="shared" si="67"/>
        <v>503.4835339528654</v>
      </c>
      <c r="CX76" s="62">
        <f t="shared" si="68"/>
        <v>796.81686728619866</v>
      </c>
      <c r="CY76" s="62">
        <f ca="1">AVERAGE(OFFSET($CX$3,0,0,'Données projet'!$E$13+1,1))-AVERAGE(OFFSET($H$3,0,0,'Données projet'!$E$13+1,1))</f>
        <v>524.55238798353344</v>
      </c>
      <c r="CZ76" s="62">
        <f t="shared" si="96"/>
        <v>216.94512104983255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-3.4106051316484809E-13</v>
      </c>
      <c r="O77" s="14">
        <f>N77*VLOOKUP('Données projet'!$B$9,Paramètres!$A$1:$I$89,3,0)*VLOOKUP('Données projet'!$B$9,Paramètres!$A$1:$I$89,5,0)</f>
        <v>-2.0395418687257919E-13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260.01925143568263</v>
      </c>
      <c r="T77" s="62">
        <f t="shared" si="88"/>
        <v>269.95358755269427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7.5584615384615343</v>
      </c>
      <c r="AI77" s="14">
        <f>IF('Données projet'!$A$62&gt;35,AI76+AH77-AQ76,IF(A77&lt;'Données projet'!$A$62,$AF$205^A77,IF(A77='Données projet'!$A$62,'Données projet'!$B$62,AI76+AH77-AQ76)))</f>
        <v>357.55692307692283</v>
      </c>
      <c r="AJ77" s="14">
        <f>AI77*VLOOKUP('Données projet'!$B$10,Paramètres!$A$1:$I$89,3,0)*VLOOKUP('Données projet'!$B$10,Paramètres!$A$1:$I$89,5,0)</f>
        <v>213.81903999999986</v>
      </c>
      <c r="AK77" s="14">
        <f t="shared" si="89"/>
        <v>52.769264634128973</v>
      </c>
      <c r="AL77" s="22">
        <f t="shared" si="58"/>
        <v>464.30796390444101</v>
      </c>
      <c r="AM77" s="62">
        <f t="shared" si="59"/>
        <v>757.64129723777432</v>
      </c>
      <c r="AN77" s="62">
        <f ca="1">AVERAGE(OFFSET($AM$3,0,0,'Données projet'!$E$10+1,1))-AVERAGE(OFFSET($H$3,0,0,'Données projet'!$E$10+1,1))</f>
        <v>289.24721145176682</v>
      </c>
      <c r="AO77" s="62">
        <f t="shared" si="90"/>
        <v>229.06617320689003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9.4346153846153786</v>
      </c>
      <c r="BD77" s="13">
        <f>IF('Données projet'!$A$88&gt;35,BD76+BC77-BL76,IF(A77&lt;'Données projet'!$A$88,$BA$205^A77,IF(A77='Données projet'!$A$88,'Données projet'!$B$88,BD76+BC77-BL76)))</f>
        <v>273.9807692307694</v>
      </c>
      <c r="BE77" s="14">
        <f>BD77*VLOOKUP('Données projet'!$B$11,Paramètres!$A$1:$I$89,3,0)*VLOOKUP('Données projet'!$B$11,Paramètres!$A$1:$I$89,5,0)</f>
        <v>128.2230000000001</v>
      </c>
      <c r="BF77" s="14">
        <f t="shared" si="91"/>
        <v>33.585418470094481</v>
      </c>
      <c r="BG77" s="22">
        <f t="shared" si="61"/>
        <v>281.81632883541471</v>
      </c>
      <c r="BH77" s="62">
        <f t="shared" si="62"/>
        <v>575.14966216874802</v>
      </c>
      <c r="BI77" s="62">
        <f ca="1">AVERAGE(OFFSET($BH$3,0,0,'Données projet'!$E$11+1,1))-AVERAGE(OFFSET($H$3,0,0,'Données projet'!$E$11+1,1))</f>
        <v>284.72381074796073</v>
      </c>
      <c r="BJ77" s="62">
        <f t="shared" si="92"/>
        <v>190.4880882944471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222.5128205128205</v>
      </c>
      <c r="BW77" s="13">
        <f>VLOOKUP(A77,'Données projet'!$A$113:$I$133,9,0)</f>
        <v>6.6995192307692264</v>
      </c>
      <c r="BX77" s="13">
        <f t="array" ref="BX77">INDEX(BW:BW,MIN(IF(ISNUMBER(BW77:BW273),ROW(BW77:BW273),"")))</f>
        <v>6.6995192307692264</v>
      </c>
      <c r="BY77" s="13">
        <f>IF('Données projet'!$A$114&gt;35,BY76+BX77-CG76,IF(A77&lt;'Données projet'!$A$114,$BV$205^A77,IF(A77='Données projet'!$A$114,'Données projet'!$B$114,BY76+BX77-CG76)))</f>
        <v>222.51282051282047</v>
      </c>
      <c r="BZ77" s="14">
        <f>BY77*VLOOKUP('Données projet'!$B$12,Paramètres!$A$1:$I$89,3,0)*VLOOKUP('Données projet'!$B$12,Paramètres!$A$1:$I$89,5,0)</f>
        <v>225.62799999999996</v>
      </c>
      <c r="CA77" s="14">
        <f t="shared" si="93"/>
        <v>55.336299617753134</v>
      </c>
      <c r="CB77" s="22">
        <f t="shared" si="64"/>
        <v>489.34615516758663</v>
      </c>
      <c r="CC77" s="62">
        <f t="shared" si="65"/>
        <v>782.67948850091989</v>
      </c>
      <c r="CD77" s="62">
        <f ca="1">AVERAGE(OFFSET($CC$3,0,0,'Données projet'!$E$12+1,1))-AVERAGE(OFFSET($H$3,0,0,'Données projet'!$E$12+1,1))</f>
        <v>496.71400086768705</v>
      </c>
      <c r="CE77" s="62">
        <f t="shared" si="94"/>
        <v>206.75063396134982</v>
      </c>
      <c r="CF77" s="16">
        <f>IF(ISNA(VLOOKUP(A77,'Données projet'!$A$113:$I$133,3,0)),0,VLOOKUP(A77,'Données projet'!$A$113:$I$133,3,0))</f>
        <v>5</v>
      </c>
      <c r="CG77" s="16">
        <f>IF(ISNA(VLOOKUP(A77,'Données projet'!$A$113:$I$133,4,0)),0,VLOOKUP(A77,'Données projet'!$A$113:$I$133,4,0))</f>
        <v>36.865384615384613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>
        <f>VLOOKUP(A77,'Données projet'!$A$139:$I$159,2,0)</f>
        <v>222.5128205128205</v>
      </c>
      <c r="CR77" s="13">
        <f>VLOOKUP(A77,'Données projet'!$A$139:$I$159,9,0)</f>
        <v>6.6995192307692264</v>
      </c>
      <c r="CS77" s="13">
        <f t="array" ref="CS77">INDEX(CR:CR,MIN(IF(ISNUMBER(CR77:CR273),ROW(CR77:CR273),"")))</f>
        <v>6.6995192307692264</v>
      </c>
      <c r="CT77" s="13">
        <f>IF('Données projet'!$A$140&gt;35,CT76+CS77-DB76,IF(A77&lt;'Données projet'!$A$140,$CQ$205^A77,IF(A77='Données projet'!$A$140,'Données projet'!$B$140,CT76+CS77-DB76)))</f>
        <v>222.51282051282047</v>
      </c>
      <c r="CU77" s="18">
        <f>CT77*VLOOKUP('Données projet'!$B$13,Paramètres!$A$1:$I$89,3,0)*VLOOKUP('Données projet'!$B$13,Paramètres!$A$1:$I$89,5,0)</f>
        <v>239.51279999999991</v>
      </c>
      <c r="CV77" s="14">
        <f t="shared" si="95"/>
        <v>58.334694635034928</v>
      </c>
      <c r="CW77" s="22">
        <f t="shared" si="67"/>
        <v>518.75105315601888</v>
      </c>
      <c r="CX77" s="62">
        <f t="shared" si="68"/>
        <v>812.08438648935226</v>
      </c>
      <c r="CY77" s="62">
        <f ca="1">AVERAGE(OFFSET($CX$3,0,0,'Données projet'!$E$13+1,1))-AVERAGE(OFFSET($H$3,0,0,'Données projet'!$E$13+1,1))</f>
        <v>524.55238798353344</v>
      </c>
      <c r="CZ77" s="62">
        <f t="shared" si="96"/>
        <v>216.94512104983255</v>
      </c>
      <c r="DA77" s="16">
        <f>IF(ISNA(VLOOKUP(A77,'Données projet'!$A$139:$I$159,3,0)),0,VLOOKUP(A77,'Données projet'!$A$139:$I$159,3,0))</f>
        <v>5</v>
      </c>
      <c r="DB77" s="16">
        <f>IF(ISNA(VLOOKUP(A77,'Données projet'!$A$139:$I$159,4,0)),0,VLOOKUP(A77,'Données projet'!$A$139:$I$159,4,0))</f>
        <v>36.865384615384613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-3.4106051316484809E-13</v>
      </c>
      <c r="O78" s="14">
        <f>N78*VLOOKUP('Données projet'!$B$9,Paramètres!$A$1:$I$89,3,0)*VLOOKUP('Données projet'!$B$9,Paramètres!$A$1:$I$89,5,0)</f>
        <v>-2.0395418687257919E-13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260.01925143568263</v>
      </c>
      <c r="T78" s="62">
        <f t="shared" si="88"/>
        <v>269.95358755269427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7.5584615384615343</v>
      </c>
      <c r="AI78" s="14">
        <f>IF('Données projet'!$A$62&gt;35,AI77+AH78-AQ77,IF(A78&lt;'Données projet'!$A$62,$AF$205^A78,IF(A78='Données projet'!$A$62,'Données projet'!$B$62,AI77+AH78-AQ77)))</f>
        <v>365.11538461538436</v>
      </c>
      <c r="AJ78" s="14">
        <f>AI78*VLOOKUP('Données projet'!$B$10,Paramètres!$A$1:$I$89,3,0)*VLOOKUP('Données projet'!$B$10,Paramètres!$A$1:$I$89,5,0)</f>
        <v>218.33899999999988</v>
      </c>
      <c r="AK78" s="14">
        <f t="shared" si="89"/>
        <v>53.753716498326504</v>
      </c>
      <c r="AL78" s="22">
        <f t="shared" si="58"/>
        <v>473.8948145679185</v>
      </c>
      <c r="AM78" s="62">
        <f t="shared" si="59"/>
        <v>767.22814790125176</v>
      </c>
      <c r="AN78" s="62">
        <f ca="1">AVERAGE(OFFSET($AM$3,0,0,'Données projet'!$E$10+1,1))-AVERAGE(OFFSET($H$3,0,0,'Données projet'!$E$10+1,1))</f>
        <v>289.24721145176682</v>
      </c>
      <c r="AO78" s="62">
        <f t="shared" si="90"/>
        <v>229.06617320689003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9.4346153846153786</v>
      </c>
      <c r="BD78" s="13">
        <f>IF('Données projet'!$A$88&gt;35,BD77+BC78-BL77,IF(A78&lt;'Données projet'!$A$88,$BA$205^A78,IF(A78='Données projet'!$A$88,'Données projet'!$B$88,BD77+BC78-BL77)))</f>
        <v>283.41538461538477</v>
      </c>
      <c r="BE78" s="14">
        <f>BD78*VLOOKUP('Données projet'!$B$11,Paramètres!$A$1:$I$89,3,0)*VLOOKUP('Données projet'!$B$11,Paramètres!$A$1:$I$89,5,0)</f>
        <v>132.63840000000008</v>
      </c>
      <c r="BF78" s="14">
        <f t="shared" si="91"/>
        <v>34.60530136679548</v>
      </c>
      <c r="BG78" s="22">
        <f t="shared" si="61"/>
        <v>291.28277988050223</v>
      </c>
      <c r="BH78" s="62">
        <f t="shared" si="62"/>
        <v>584.61611321383555</v>
      </c>
      <c r="BI78" s="62">
        <f ca="1">AVERAGE(OFFSET($BH$3,0,0,'Données projet'!$E$11+1,1))-AVERAGE(OFFSET($H$3,0,0,'Données projet'!$E$11+1,1))</f>
        <v>284.72381074796073</v>
      </c>
      <c r="BJ78" s="62">
        <f t="shared" si="92"/>
        <v>190.4880882944471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6.533974358974362</v>
      </c>
      <c r="BY78" s="13">
        <f>IF('Données projet'!$A$114&gt;35,BY77+BX78-CG77,IF(A78&lt;'Données projet'!$A$114,$BV$205^A78,IF(A78='Données projet'!$A$114,'Données projet'!$B$114,BY77+BX78-CG77)))</f>
        <v>192.1814102564102</v>
      </c>
      <c r="BZ78" s="14">
        <f>BY78*VLOOKUP('Données projet'!$B$12,Paramètres!$A$1:$I$89,3,0)*VLOOKUP('Données projet'!$B$12,Paramètres!$A$1:$I$89,5,0)</f>
        <v>194.87194999999997</v>
      </c>
      <c r="CA78" s="14">
        <f t="shared" si="93"/>
        <v>48.615479512826084</v>
      </c>
      <c r="CB78" s="22">
        <f t="shared" si="64"/>
        <v>424.07393973483869</v>
      </c>
      <c r="CC78" s="62">
        <f t="shared" si="65"/>
        <v>717.407273068172</v>
      </c>
      <c r="CD78" s="62">
        <f ca="1">AVERAGE(OFFSET($CC$3,0,0,'Données projet'!$E$12+1,1))-AVERAGE(OFFSET($H$3,0,0,'Données projet'!$E$12+1,1))</f>
        <v>496.71400086768705</v>
      </c>
      <c r="CE78" s="62">
        <f t="shared" si="94"/>
        <v>206.75063396134982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6.533974358974362</v>
      </c>
      <c r="CT78" s="13">
        <f>IF('Données projet'!$A$140&gt;35,CT77+CS78-DB77,IF(A78&lt;'Données projet'!$A$140,$CQ$205^A78,IF(A78='Données projet'!$A$140,'Données projet'!$B$140,CT77+CS78-DB77)))</f>
        <v>192.1814102564102</v>
      </c>
      <c r="CU78" s="18">
        <f>CT78*VLOOKUP('Données projet'!$B$13,Paramètres!$A$1:$I$89,3,0)*VLOOKUP('Données projet'!$B$13,Paramètres!$A$1:$I$89,5,0)</f>
        <v>206.86406999999991</v>
      </c>
      <c r="CV78" s="14">
        <f t="shared" si="95"/>
        <v>51.249707181480261</v>
      </c>
      <c r="CW78" s="22">
        <f t="shared" si="67"/>
        <v>449.54816192441126</v>
      </c>
      <c r="CX78" s="62">
        <f t="shared" si="68"/>
        <v>742.88149525774452</v>
      </c>
      <c r="CY78" s="62">
        <f ca="1">AVERAGE(OFFSET($CX$3,0,0,'Données projet'!$E$13+1,1))-AVERAGE(OFFSET($H$3,0,0,'Données projet'!$E$13+1,1))</f>
        <v>524.55238798353344</v>
      </c>
      <c r="CZ78" s="62">
        <f t="shared" si="96"/>
        <v>216.94512104983255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-3.4106051316484809E-13</v>
      </c>
      <c r="O79" s="14">
        <f>N79*VLOOKUP('Données projet'!$B$9,Paramètres!$A$1:$I$89,3,0)*VLOOKUP('Données projet'!$B$9,Paramètres!$A$1:$I$89,5,0)</f>
        <v>-2.0395418687257919E-13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260.01925143568263</v>
      </c>
      <c r="T79" s="62">
        <f t="shared" si="88"/>
        <v>269.95358755269427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7.5584615384615343</v>
      </c>
      <c r="AI79" s="14">
        <f>IF('Données projet'!$A$62&gt;35,AI78+AH79-AQ78,IF(A79&lt;'Données projet'!$A$62,$AF$205^A79,IF(A79='Données projet'!$A$62,'Données projet'!$B$62,AI78+AH79-AQ78)))</f>
        <v>372.67384615384589</v>
      </c>
      <c r="AJ79" s="14">
        <f>AI79*VLOOKUP('Données projet'!$B$10,Paramètres!$A$1:$I$89,3,0)*VLOOKUP('Données projet'!$B$10,Paramètres!$A$1:$I$89,5,0)</f>
        <v>222.85895999999985</v>
      </c>
      <c r="AK79" s="14">
        <f t="shared" si="89"/>
        <v>54.735798842493168</v>
      </c>
      <c r="AL79" s="22">
        <f t="shared" si="58"/>
        <v>483.47753831734195</v>
      </c>
      <c r="AM79" s="62">
        <f t="shared" si="59"/>
        <v>776.81087165067527</v>
      </c>
      <c r="AN79" s="62">
        <f ca="1">AVERAGE(OFFSET($AM$3,0,0,'Données projet'!$E$10+1,1))-AVERAGE(OFFSET($H$3,0,0,'Données projet'!$E$10+1,1))</f>
        <v>289.24721145176682</v>
      </c>
      <c r="AO79" s="62">
        <f t="shared" si="90"/>
        <v>229.06617320689003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9.4346153846153786</v>
      </c>
      <c r="BD79" s="13">
        <f>IF('Données projet'!$A$88&gt;35,BD78+BC79-BL78,IF(A79&lt;'Données projet'!$A$88,$BA$205^A79,IF(A79='Données projet'!$A$88,'Données projet'!$B$88,BD78+BC79-BL78)))</f>
        <v>292.85000000000014</v>
      </c>
      <c r="BE79" s="14">
        <f>BD79*VLOOKUP('Données projet'!$B$11,Paramètres!$A$1:$I$89,3,0)*VLOOKUP('Données projet'!$B$11,Paramètres!$A$1:$I$89,5,0)</f>
        <v>137.05380000000005</v>
      </c>
      <c r="BF79" s="14">
        <f t="shared" si="91"/>
        <v>35.621239257433281</v>
      </c>
      <c r="BG79" s="22">
        <f t="shared" si="61"/>
        <v>300.74236004002967</v>
      </c>
      <c r="BH79" s="62">
        <f t="shared" si="62"/>
        <v>594.07569337336304</v>
      </c>
      <c r="BI79" s="62">
        <f ca="1">AVERAGE(OFFSET($BH$3,0,0,'Données projet'!$E$11+1,1))-AVERAGE(OFFSET($H$3,0,0,'Données projet'!$E$11+1,1))</f>
        <v>284.72381074796073</v>
      </c>
      <c r="BJ79" s="62">
        <f t="shared" si="92"/>
        <v>190.4880882944471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6.533974358974362</v>
      </c>
      <c r="BY79" s="13">
        <f>IF('Données projet'!$A$114&gt;35,BY78+BX79-CG78,IF(A79&lt;'Données projet'!$A$114,$BV$205^A79,IF(A79='Données projet'!$A$114,'Données projet'!$B$114,BY78+BX79-CG78)))</f>
        <v>198.71538461538455</v>
      </c>
      <c r="BZ79" s="14">
        <f>BY79*VLOOKUP('Données projet'!$B$12,Paramètres!$A$1:$I$89,3,0)*VLOOKUP('Données projet'!$B$12,Paramètres!$A$1:$I$89,5,0)</f>
        <v>201.49739999999994</v>
      </c>
      <c r="CA79" s="14">
        <f t="shared" si="93"/>
        <v>50.073107925710538</v>
      </c>
      <c r="CB79" s="22">
        <f t="shared" si="64"/>
        <v>438.15196797061236</v>
      </c>
      <c r="CC79" s="62">
        <f t="shared" si="65"/>
        <v>731.48530130394568</v>
      </c>
      <c r="CD79" s="62">
        <f ca="1">AVERAGE(OFFSET($CC$3,0,0,'Données projet'!$E$12+1,1))-AVERAGE(OFFSET($H$3,0,0,'Données projet'!$E$12+1,1))</f>
        <v>496.71400086768705</v>
      </c>
      <c r="CE79" s="62">
        <f t="shared" si="94"/>
        <v>206.75063396134982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6.533974358974362</v>
      </c>
      <c r="CT79" s="13">
        <f>IF('Données projet'!$A$140&gt;35,CT78+CS79-DB78,IF(A79&lt;'Données projet'!$A$140,$CQ$205^A79,IF(A79='Données projet'!$A$140,'Données projet'!$B$140,CT78+CS79-DB78)))</f>
        <v>198.71538461538455</v>
      </c>
      <c r="CU79" s="18">
        <f>CT79*VLOOKUP('Données projet'!$B$13,Paramètres!$A$1:$I$89,3,0)*VLOOKUP('Données projet'!$B$13,Paramètres!$A$1:$I$89,5,0)</f>
        <v>213.89723999999995</v>
      </c>
      <c r="CV79" s="14">
        <f t="shared" si="95"/>
        <v>52.786317127290324</v>
      </c>
      <c r="CW79" s="22">
        <f t="shared" si="67"/>
        <v>464.47386199669717</v>
      </c>
      <c r="CX79" s="62">
        <f t="shared" si="68"/>
        <v>757.80719533003048</v>
      </c>
      <c r="CY79" s="62">
        <f ca="1">AVERAGE(OFFSET($CX$3,0,0,'Données projet'!$E$13+1,1))-AVERAGE(OFFSET($H$3,0,0,'Données projet'!$E$13+1,1))</f>
        <v>524.55238798353344</v>
      </c>
      <c r="CZ79" s="62">
        <f t="shared" si="96"/>
        <v>216.94512104983255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-3.4106051316484809E-13</v>
      </c>
      <c r="O80" s="14">
        <f>N80*VLOOKUP('Données projet'!$B$9,Paramètres!$A$1:$I$89,3,0)*VLOOKUP('Données projet'!$B$9,Paramètres!$A$1:$I$89,5,0)</f>
        <v>-2.0395418687257919E-13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260.01925143568263</v>
      </c>
      <c r="T80" s="62">
        <f t="shared" si="88"/>
        <v>269.95358755269427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7.5584615384615343</v>
      </c>
      <c r="AI80" s="14">
        <f>IF('Données projet'!$A$62&gt;35,AI79+AH80-AQ79,IF(A80&lt;'Données projet'!$A$62,$AF$205^A80,IF(A80='Données projet'!$A$62,'Données projet'!$B$62,AI79+AH80-AQ79)))</f>
        <v>380.23230769230742</v>
      </c>
      <c r="AJ80" s="14">
        <f>AI80*VLOOKUP('Données projet'!$B$10,Paramètres!$A$1:$I$89,3,0)*VLOOKUP('Données projet'!$B$10,Paramètres!$A$1:$I$89,5,0)</f>
        <v>227.37891999999985</v>
      </c>
      <c r="AK80" s="14">
        <f t="shared" si="89"/>
        <v>55.715565262615499</v>
      </c>
      <c r="AL80" s="22">
        <f t="shared" si="58"/>
        <v>493.05622849905507</v>
      </c>
      <c r="AM80" s="62">
        <f t="shared" si="59"/>
        <v>786.38956183238838</v>
      </c>
      <c r="AN80" s="62">
        <f ca="1">AVERAGE(OFFSET($AM$3,0,0,'Données projet'!$E$10+1,1))-AVERAGE(OFFSET($H$3,0,0,'Données projet'!$E$10+1,1))</f>
        <v>289.24721145176682</v>
      </c>
      <c r="AO80" s="62">
        <f t="shared" si="90"/>
        <v>229.06617320689003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9.4346153846153786</v>
      </c>
      <c r="BD80" s="13">
        <f>IF('Données projet'!$A$88&gt;35,BD79+BC80-BL79,IF(A80&lt;'Données projet'!$A$88,$BA$205^A80,IF(A80='Données projet'!$A$88,'Données projet'!$B$88,BD79+BC80-BL79)))</f>
        <v>302.28461538461551</v>
      </c>
      <c r="BE80" s="14">
        <f>BD80*VLOOKUP('Données projet'!$B$11,Paramètres!$A$1:$I$89,3,0)*VLOOKUP('Données projet'!$B$11,Paramètres!$A$1:$I$89,5,0)</f>
        <v>141.46920000000006</v>
      </c>
      <c r="BF80" s="14">
        <f t="shared" si="91"/>
        <v>36.633373814313771</v>
      </c>
      <c r="BG80" s="22">
        <f t="shared" si="61"/>
        <v>310.19531605992989</v>
      </c>
      <c r="BH80" s="62">
        <f t="shared" si="62"/>
        <v>603.52864939326321</v>
      </c>
      <c r="BI80" s="62">
        <f ca="1">AVERAGE(OFFSET($BH$3,0,0,'Données projet'!$E$11+1,1))-AVERAGE(OFFSET($H$3,0,0,'Données projet'!$E$11+1,1))</f>
        <v>284.72381074796073</v>
      </c>
      <c r="BJ80" s="62">
        <f t="shared" si="92"/>
        <v>190.4880882944471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6.533974358974362</v>
      </c>
      <c r="BY80" s="13">
        <f>IF('Données projet'!$A$114&gt;35,BY79+BX80-CG79,IF(A80&lt;'Données projet'!$A$114,$BV$205^A80,IF(A80='Données projet'!$A$114,'Données projet'!$B$114,BY79+BX80-CG79)))</f>
        <v>205.24935897435893</v>
      </c>
      <c r="BZ80" s="14">
        <f>BY80*VLOOKUP('Données projet'!$B$12,Paramètres!$A$1:$I$89,3,0)*VLOOKUP('Données projet'!$B$12,Paramètres!$A$1:$I$89,5,0)</f>
        <v>208.12284999999994</v>
      </c>
      <c r="CA80" s="14">
        <f t="shared" si="93"/>
        <v>51.525167077381305</v>
      </c>
      <c r="CB80" s="22">
        <f t="shared" si="64"/>
        <v>452.22029640977235</v>
      </c>
      <c r="CC80" s="62">
        <f t="shared" si="65"/>
        <v>745.5536297431056</v>
      </c>
      <c r="CD80" s="62">
        <f ca="1">AVERAGE(OFFSET($CC$3,0,0,'Données projet'!$E$12+1,1))-AVERAGE(OFFSET($H$3,0,0,'Données projet'!$E$12+1,1))</f>
        <v>496.71400086768705</v>
      </c>
      <c r="CE80" s="62">
        <f t="shared" si="94"/>
        <v>206.75063396134982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6.533974358974362</v>
      </c>
      <c r="CT80" s="13">
        <f>IF('Données projet'!$A$140&gt;35,CT79+CS80-DB79,IF(A80&lt;'Données projet'!$A$140,$CQ$205^A80,IF(A80='Données projet'!$A$140,'Données projet'!$B$140,CT79+CS80-DB79)))</f>
        <v>205.24935897435893</v>
      </c>
      <c r="CU80" s="18">
        <f>CT80*VLOOKUP('Données projet'!$B$13,Paramètres!$A$1:$I$89,3,0)*VLOOKUP('Données projet'!$B$13,Paramètres!$A$1:$I$89,5,0)</f>
        <v>220.93040999999991</v>
      </c>
      <c r="CV80" s="14">
        <f t="shared" si="95"/>
        <v>54.317056041707076</v>
      </c>
      <c r="CW80" s="22">
        <f t="shared" si="67"/>
        <v>479.38933668930628</v>
      </c>
      <c r="CX80" s="62">
        <f t="shared" si="68"/>
        <v>772.72267002263959</v>
      </c>
      <c r="CY80" s="62">
        <f ca="1">AVERAGE(OFFSET($CX$3,0,0,'Données projet'!$E$13+1,1))-AVERAGE(OFFSET($H$3,0,0,'Données projet'!$E$13+1,1))</f>
        <v>524.55238798353344</v>
      </c>
      <c r="CZ80" s="62">
        <f t="shared" si="96"/>
        <v>216.94512104983255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-3.4106051316484809E-13</v>
      </c>
      <c r="O81" s="14">
        <f>N81*VLOOKUP('Données projet'!$B$9,Paramètres!$A$1:$I$89,3,0)*VLOOKUP('Données projet'!$B$9,Paramètres!$A$1:$I$89,5,0)</f>
        <v>-2.0395418687257919E-13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260.01925143568263</v>
      </c>
      <c r="T81" s="62">
        <f t="shared" si="88"/>
        <v>269.95358755269427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7.5584615384615343</v>
      </c>
      <c r="AI81" s="14">
        <f>IF('Données projet'!$A$62&gt;35,AI80+AH81-AQ80,IF(A81&lt;'Données projet'!$A$62,$AF$205^A81,IF(A81='Données projet'!$A$62,'Données projet'!$B$62,AI80+AH81-AQ80)))</f>
        <v>387.79076923076894</v>
      </c>
      <c r="AJ81" s="14">
        <f>AI81*VLOOKUP('Données projet'!$B$10,Paramètres!$A$1:$I$89,3,0)*VLOOKUP('Données projet'!$B$10,Paramètres!$A$1:$I$89,5,0)</f>
        <v>231.89887999999985</v>
      </c>
      <c r="AK81" s="14">
        <f t="shared" si="89"/>
        <v>56.693067102008712</v>
      </c>
      <c r="AL81" s="22">
        <f t="shared" si="58"/>
        <v>502.63097453599829</v>
      </c>
      <c r="AM81" s="62">
        <f t="shared" si="59"/>
        <v>795.96430786933161</v>
      </c>
      <c r="AN81" s="62">
        <f ca="1">AVERAGE(OFFSET($AM$3,0,0,'Données projet'!$E$10+1,1))-AVERAGE(OFFSET($H$3,0,0,'Données projet'!$E$10+1,1))</f>
        <v>289.24721145176682</v>
      </c>
      <c r="AO81" s="62">
        <f t="shared" si="90"/>
        <v>229.06617320689003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9.4346153846153786</v>
      </c>
      <c r="BD81" s="13">
        <f>IF('Données projet'!$A$88&gt;35,BD80+BC81-BL80,IF(A81&lt;'Données projet'!$A$88,$BA$205^A81,IF(A81='Données projet'!$A$88,'Données projet'!$B$88,BD80+BC81-BL80)))</f>
        <v>311.71923076923088</v>
      </c>
      <c r="BE81" s="14">
        <f>BD81*VLOOKUP('Données projet'!$B$11,Paramètres!$A$1:$I$89,3,0)*VLOOKUP('Données projet'!$B$11,Paramètres!$A$1:$I$89,5,0)</f>
        <v>145.88460000000003</v>
      </c>
      <c r="BF81" s="14">
        <f t="shared" si="91"/>
        <v>37.641837363948788</v>
      </c>
      <c r="BG81" s="22">
        <f t="shared" si="61"/>
        <v>319.64187840887752</v>
      </c>
      <c r="BH81" s="62">
        <f t="shared" si="62"/>
        <v>612.97521174221083</v>
      </c>
      <c r="BI81" s="62">
        <f ca="1">AVERAGE(OFFSET($BH$3,0,0,'Données projet'!$E$11+1,1))-AVERAGE(OFFSET($H$3,0,0,'Données projet'!$E$11+1,1))</f>
        <v>284.72381074796073</v>
      </c>
      <c r="BJ81" s="62">
        <f t="shared" si="92"/>
        <v>190.4880882944471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6.533974358974362</v>
      </c>
      <c r="BY81" s="13">
        <f>IF('Données projet'!$A$114&gt;35,BY80+BX81-CG80,IF(A81&lt;'Données projet'!$A$114,$BV$205^A81,IF(A81='Données projet'!$A$114,'Données projet'!$B$114,BY80+BX81-CG80)))</f>
        <v>211.7833333333333</v>
      </c>
      <c r="BZ81" s="14">
        <f>BY81*VLOOKUP('Données projet'!$B$12,Paramètres!$A$1:$I$89,3,0)*VLOOKUP('Données projet'!$B$12,Paramètres!$A$1:$I$89,5,0)</f>
        <v>214.7483</v>
      </c>
      <c r="CA81" s="14">
        <f t="shared" si="93"/>
        <v>52.97185459996728</v>
      </c>
      <c r="CB81" s="22">
        <f t="shared" si="64"/>
        <v>466.27926926160961</v>
      </c>
      <c r="CC81" s="62">
        <f t="shared" si="65"/>
        <v>759.61260259494293</v>
      </c>
      <c r="CD81" s="62">
        <f ca="1">AVERAGE(OFFSET($CC$3,0,0,'Données projet'!$E$12+1,1))-AVERAGE(OFFSET($H$3,0,0,'Données projet'!$E$12+1,1))</f>
        <v>496.71400086768705</v>
      </c>
      <c r="CE81" s="62">
        <f t="shared" si="94"/>
        <v>206.75063396134982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6.533974358974362</v>
      </c>
      <c r="CT81" s="13">
        <f>IF('Données projet'!$A$140&gt;35,CT80+CS81-DB80,IF(A81&lt;'Données projet'!$A$140,$CQ$205^A81,IF(A81='Données projet'!$A$140,'Données projet'!$B$140,CT80+CS81-DB80)))</f>
        <v>211.7833333333333</v>
      </c>
      <c r="CU81" s="18">
        <f>CT81*VLOOKUP('Données projet'!$B$13,Paramètres!$A$1:$I$89,3,0)*VLOOKUP('Données projet'!$B$13,Paramètres!$A$1:$I$89,5,0)</f>
        <v>227.96357999999995</v>
      </c>
      <c r="CV81" s="14">
        <f t="shared" si="95"/>
        <v>55.84213226554796</v>
      </c>
      <c r="CW81" s="22">
        <f t="shared" si="67"/>
        <v>494.29494886249591</v>
      </c>
      <c r="CX81" s="62">
        <f t="shared" si="68"/>
        <v>787.62828219582923</v>
      </c>
      <c r="CY81" s="62">
        <f ca="1">AVERAGE(OFFSET($CX$3,0,0,'Données projet'!$E$13+1,1))-AVERAGE(OFFSET($H$3,0,0,'Données projet'!$E$13+1,1))</f>
        <v>524.55238798353344</v>
      </c>
      <c r="CZ81" s="62">
        <f t="shared" si="96"/>
        <v>216.94512104983255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-3.4106051316484809E-13</v>
      </c>
      <c r="O82" s="14">
        <f>N82*VLOOKUP('Données projet'!$B$9,Paramètres!$A$1:$I$89,3,0)*VLOOKUP('Données projet'!$B$9,Paramètres!$A$1:$I$89,5,0)</f>
        <v>-2.0395418687257919E-13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260.01925143568263</v>
      </c>
      <c r="T82" s="62">
        <f t="shared" si="88"/>
        <v>269.95358755269427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7.5584615384615343</v>
      </c>
      <c r="AI82" s="14">
        <f>IF('Données projet'!$A$62&gt;35,AI81+AH82-AQ81,IF(A82&lt;'Données projet'!$A$62,$AF$205^A82,IF(A82='Données projet'!$A$62,'Données projet'!$B$62,AI81+AH82-AQ81)))</f>
        <v>395.34923076923047</v>
      </c>
      <c r="AJ82" s="14">
        <f>AI82*VLOOKUP('Données projet'!$B$10,Paramètres!$A$1:$I$89,3,0)*VLOOKUP('Données projet'!$B$10,Paramètres!$A$1:$I$89,5,0)</f>
        <v>236.41883999999985</v>
      </c>
      <c r="AK82" s="14">
        <f t="shared" si="89"/>
        <v>57.668353588027863</v>
      </c>
      <c r="AL82" s="22">
        <f t="shared" si="58"/>
        <v>512.20186216581487</v>
      </c>
      <c r="AM82" s="62">
        <f t="shared" si="59"/>
        <v>805.53519549914813</v>
      </c>
      <c r="AN82" s="62">
        <f ca="1">AVERAGE(OFFSET($AM$3,0,0,'Données projet'!$E$10+1,1))-AVERAGE(OFFSET($H$3,0,0,'Données projet'!$E$10+1,1))</f>
        <v>289.24721145176682</v>
      </c>
      <c r="AO82" s="62">
        <f t="shared" si="90"/>
        <v>229.06617320689003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>
        <f>VLOOKUP(A82,'Données projet'!$A$87:$I$107,2,0)</f>
        <v>321.15384615384613</v>
      </c>
      <c r="BB82" s="13">
        <f>VLOOKUP(A82,'Données projet'!$A$87:$I$107,9,0)</f>
        <v>9.4346153846153786</v>
      </c>
      <c r="BC82" s="13">
        <f t="array" ref="BC82">INDEX(BB:BB,MIN(IF(ISNUMBER(BB82:BB278),ROW(BB82:BB278),"")))</f>
        <v>9.4346153846153786</v>
      </c>
      <c r="BD82" s="13">
        <f>IF('Données projet'!$A$88&gt;35,BD81+BC82-BL81,IF(A82&lt;'Données projet'!$A$88,$BA$205^A82,IF(A82='Données projet'!$A$88,'Données projet'!$B$88,BD81+BC82-BL81)))</f>
        <v>321.15384615384625</v>
      </c>
      <c r="BE82" s="14">
        <f>BD82*VLOOKUP('Données projet'!$B$11,Paramètres!$A$1:$I$89,3,0)*VLOOKUP('Données projet'!$B$11,Paramètres!$A$1:$I$89,5,0)</f>
        <v>150.30000000000004</v>
      </c>
      <c r="BF82" s="14">
        <f t="shared" si="91"/>
        <v>38.646753767567567</v>
      </c>
      <c r="BG82" s="22">
        <f t="shared" si="61"/>
        <v>329.08226281184687</v>
      </c>
      <c r="BH82" s="62">
        <f t="shared" si="62"/>
        <v>622.41559614518019</v>
      </c>
      <c r="BI82" s="62">
        <f ca="1">AVERAGE(OFFSET($BH$3,0,0,'Données projet'!$E$11+1,1))-AVERAGE(OFFSET($H$3,0,0,'Données projet'!$E$11+1,1))</f>
        <v>284.72381074796073</v>
      </c>
      <c r="BJ82" s="62">
        <f t="shared" si="92"/>
        <v>190.4880882944471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6.533974358974362</v>
      </c>
      <c r="BY82" s="13">
        <f>IF('Données projet'!$A$114&gt;35,BY81+BX82-CG81,IF(A82&lt;'Données projet'!$A$114,$BV$205^A82,IF(A82='Données projet'!$A$114,'Données projet'!$B$114,BY81+BX82-CG81)))</f>
        <v>218.31730769230768</v>
      </c>
      <c r="BZ82" s="14">
        <f>BY82*VLOOKUP('Données projet'!$B$12,Paramètres!$A$1:$I$89,3,0)*VLOOKUP('Données projet'!$B$12,Paramètres!$A$1:$I$89,5,0)</f>
        <v>221.37375</v>
      </c>
      <c r="CA82" s="14">
        <f t="shared" si="93"/>
        <v>54.413355238047011</v>
      </c>
      <c r="CB82" s="22">
        <f t="shared" si="64"/>
        <v>480.32920828959851</v>
      </c>
      <c r="CC82" s="62">
        <f t="shared" si="65"/>
        <v>773.66254162293183</v>
      </c>
      <c r="CD82" s="62">
        <f ca="1">AVERAGE(OFFSET($CC$3,0,0,'Données projet'!$E$12+1,1))-AVERAGE(OFFSET($H$3,0,0,'Données projet'!$E$12+1,1))</f>
        <v>496.71400086768705</v>
      </c>
      <c r="CE82" s="62">
        <f t="shared" si="94"/>
        <v>206.75063396134982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6.533974358974362</v>
      </c>
      <c r="CT82" s="13">
        <f>IF('Données projet'!$A$140&gt;35,CT81+CS82-DB81,IF(A82&lt;'Données projet'!$A$140,$CQ$205^A82,IF(A82='Données projet'!$A$140,'Données projet'!$B$140,CT81+CS82-DB81)))</f>
        <v>218.31730769230768</v>
      </c>
      <c r="CU82" s="18">
        <f>CT82*VLOOKUP('Données projet'!$B$13,Paramètres!$A$1:$I$89,3,0)*VLOOKUP('Données projet'!$B$13,Paramètres!$A$1:$I$89,5,0)</f>
        <v>234.99674999999996</v>
      </c>
      <c r="CV82" s="14">
        <f t="shared" si="95"/>
        <v>57.361740553768435</v>
      </c>
      <c r="CW82" s="22">
        <f t="shared" si="67"/>
        <v>509.19103771447982</v>
      </c>
      <c r="CX82" s="62">
        <f t="shared" si="68"/>
        <v>802.52437104781313</v>
      </c>
      <c r="CY82" s="62">
        <f ca="1">AVERAGE(OFFSET($CX$3,0,0,'Données projet'!$E$13+1,1))-AVERAGE(OFFSET($H$3,0,0,'Données projet'!$E$13+1,1))</f>
        <v>524.55238798353344</v>
      </c>
      <c r="CZ82" s="62">
        <f t="shared" si="96"/>
        <v>216.94512104983255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-3.4106051316484809E-13</v>
      </c>
      <c r="O83" s="14">
        <f>N83*VLOOKUP('Données projet'!$B$9,Paramètres!$A$1:$I$89,3,0)*VLOOKUP('Données projet'!$B$9,Paramètres!$A$1:$I$89,5,0)</f>
        <v>-2.0395418687257919E-13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260.01925143568263</v>
      </c>
      <c r="T83" s="62">
        <f t="shared" si="88"/>
        <v>269.95358755269427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402.90769230769229</v>
      </c>
      <c r="AG83" s="13">
        <f>VLOOKUP(A83,'Données projet'!$A$61:$I$81,9,0)</f>
        <v>7.5584615384615343</v>
      </c>
      <c r="AH83" s="13">
        <f t="array" ref="AH83">INDEX(AG:AG,MIN(IF(ISNUMBER(AG83:AG279),ROW(AG83:AG279),"")))</f>
        <v>7.5584615384615343</v>
      </c>
      <c r="AI83" s="14">
        <f>IF('Données projet'!$A$62&gt;35,AI82+AH83-AQ82,IF(A83&lt;'Données projet'!$A$62,$AF$205^A83,IF(A83='Données projet'!$A$62,'Données projet'!$B$62,AI82+AH83-AQ82)))</f>
        <v>402.907692307692</v>
      </c>
      <c r="AJ83" s="14">
        <f>AI83*VLOOKUP('Données projet'!$B$10,Paramètres!$A$1:$I$89,3,0)*VLOOKUP('Données projet'!$B$10,Paramètres!$A$1:$I$89,5,0)</f>
        <v>240.93879999999982</v>
      </c>
      <c r="AK83" s="14">
        <f t="shared" si="89"/>
        <v>58.64147195802866</v>
      </c>
      <c r="AL83" s="22">
        <f t="shared" si="58"/>
        <v>521.76897366023286</v>
      </c>
      <c r="AM83" s="62">
        <f t="shared" si="59"/>
        <v>815.10230699356612</v>
      </c>
      <c r="AN83" s="62">
        <f ca="1">AVERAGE(OFFSET($AM$3,0,0,'Données projet'!$E$10+1,1))-AVERAGE(OFFSET($H$3,0,0,'Données projet'!$E$10+1,1))</f>
        <v>289.24721145176682</v>
      </c>
      <c r="AO83" s="62">
        <f t="shared" si="90"/>
        <v>229.06617320689003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402.90769230769229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9.6128205128205195</v>
      </c>
      <c r="BD83" s="13">
        <f>IF('Données projet'!$A$88&gt;35,BD82+BC83-BL82,IF(A83&lt;'Données projet'!$A$88,$BA$205^A83,IF(A83='Données projet'!$A$88,'Données projet'!$B$88,BD82+BC83-BL82)))</f>
        <v>330.76666666666677</v>
      </c>
      <c r="BE83" s="14">
        <f>BD83*VLOOKUP('Données projet'!$B$11,Paramètres!$A$1:$I$89,3,0)*VLOOKUP('Données projet'!$B$11,Paramètres!$A$1:$I$89,5,0)</f>
        <v>154.79880000000006</v>
      </c>
      <c r="BF83" s="14">
        <f t="shared" si="91"/>
        <v>39.667123391087365</v>
      </c>
      <c r="BG83" s="22">
        <f t="shared" si="61"/>
        <v>338.69481657281057</v>
      </c>
      <c r="BH83" s="62">
        <f t="shared" si="62"/>
        <v>632.02814990614388</v>
      </c>
      <c r="BI83" s="62">
        <f ca="1">AVERAGE(OFFSET($BH$3,0,0,'Données projet'!$E$11+1,1))-AVERAGE(OFFSET($H$3,0,0,'Données projet'!$E$11+1,1))</f>
        <v>284.72381074796073</v>
      </c>
      <c r="BJ83" s="62">
        <f t="shared" si="92"/>
        <v>190.4880882944471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6.533974358974362</v>
      </c>
      <c r="BY83" s="13">
        <f>IF('Données projet'!$A$114&gt;35,BY82+BX83-CG82,IF(A83&lt;'Données projet'!$A$114,$BV$205^A83,IF(A83='Données projet'!$A$114,'Données projet'!$B$114,BY82+BX83-CG82)))</f>
        <v>224.85128205128206</v>
      </c>
      <c r="BZ83" s="14">
        <f>BY83*VLOOKUP('Données projet'!$B$12,Paramètres!$A$1:$I$89,3,0)*VLOOKUP('Données projet'!$B$12,Paramètres!$A$1:$I$89,5,0)</f>
        <v>227.9992</v>
      </c>
      <c r="CA83" s="14">
        <f t="shared" si="93"/>
        <v>55.849842049309061</v>
      </c>
      <c r="CB83" s="22">
        <f t="shared" si="64"/>
        <v>494.3704149025466</v>
      </c>
      <c r="CC83" s="62">
        <f t="shared" si="65"/>
        <v>787.70374823587986</v>
      </c>
      <c r="CD83" s="62">
        <f ca="1">AVERAGE(OFFSET($CC$3,0,0,'Données projet'!$E$12+1,1))-AVERAGE(OFFSET($H$3,0,0,'Données projet'!$E$12+1,1))</f>
        <v>496.71400086768705</v>
      </c>
      <c r="CE83" s="62">
        <f t="shared" si="94"/>
        <v>206.75063396134982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6.533974358974362</v>
      </c>
      <c r="CT83" s="13">
        <f>IF('Données projet'!$A$140&gt;35,CT82+CS83-DB82,IF(A83&lt;'Données projet'!$A$140,$CQ$205^A83,IF(A83='Données projet'!$A$140,'Données projet'!$B$140,CT82+CS83-DB82)))</f>
        <v>224.85128205128206</v>
      </c>
      <c r="CU83" s="18">
        <f>CT83*VLOOKUP('Données projet'!$B$13,Paramètres!$A$1:$I$89,3,0)*VLOOKUP('Données projet'!$B$13,Paramètres!$A$1:$I$89,5,0)</f>
        <v>242.02991999999998</v>
      </c>
      <c r="CV83" s="14">
        <f t="shared" si="95"/>
        <v>58.876063341180526</v>
      </c>
      <c r="CW83" s="22">
        <f t="shared" si="67"/>
        <v>524.07792098588936</v>
      </c>
      <c r="CX83" s="62">
        <f t="shared" si="68"/>
        <v>817.41125431922273</v>
      </c>
      <c r="CY83" s="62">
        <f ca="1">AVERAGE(OFFSET($CX$3,0,0,'Données projet'!$E$13+1,1))-AVERAGE(OFFSET($H$3,0,0,'Données projet'!$E$13+1,1))</f>
        <v>524.55238798353344</v>
      </c>
      <c r="CZ83" s="62">
        <f t="shared" si="96"/>
        <v>216.94512104983255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-3.4106051316484809E-13</v>
      </c>
      <c r="O84" s="14">
        <f>N84*VLOOKUP('Données projet'!$B$9,Paramètres!$A$1:$I$89,3,0)*VLOOKUP('Données projet'!$B$9,Paramètres!$A$1:$I$89,5,0)</f>
        <v>-2.0395418687257919E-13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260.01925143568263</v>
      </c>
      <c r="T84" s="62">
        <f t="shared" si="88"/>
        <v>269.95358755269427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-2.8421709430404007E-13</v>
      </c>
      <c r="AJ84" s="14">
        <f>AI84*VLOOKUP('Données projet'!$B$10,Paramètres!$A$1:$I$89,3,0)*VLOOKUP('Données projet'!$B$10,Paramètres!$A$1:$I$89,5,0)</f>
        <v>-1.69961822393816E-13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289.24721145176682</v>
      </c>
      <c r="AO84" s="62">
        <f t="shared" si="90"/>
        <v>229.06617320689003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9.6128205128205195</v>
      </c>
      <c r="BD84" s="13">
        <f>IF('Données projet'!$A$88&gt;35,BD83+BC84-BL83,IF(A84&lt;'Données projet'!$A$88,$BA$205^A84,IF(A84='Données projet'!$A$88,'Données projet'!$B$88,BD83+BC84-BL83)))</f>
        <v>340.37948717948728</v>
      </c>
      <c r="BE84" s="14">
        <f>BD84*VLOOKUP('Données projet'!$B$11,Paramètres!$A$1:$I$89,3,0)*VLOOKUP('Données projet'!$B$11,Paramètres!$A$1:$I$89,5,0)</f>
        <v>159.29760000000005</v>
      </c>
      <c r="BF84" s="14">
        <f t="shared" si="91"/>
        <v>40.684046581672675</v>
      </c>
      <c r="BG84" s="22">
        <f t="shared" si="61"/>
        <v>348.30136779641333</v>
      </c>
      <c r="BH84" s="62">
        <f t="shared" si="62"/>
        <v>641.63470112974665</v>
      </c>
      <c r="BI84" s="62">
        <f ca="1">AVERAGE(OFFSET($BH$3,0,0,'Données projet'!$E$11+1,1))-AVERAGE(OFFSET($H$3,0,0,'Données projet'!$E$11+1,1))</f>
        <v>284.72381074796073</v>
      </c>
      <c r="BJ84" s="62">
        <f t="shared" si="92"/>
        <v>190.4880882944471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6.533974358974362</v>
      </c>
      <c r="BY84" s="13">
        <f>IF('Données projet'!$A$114&gt;35,BY83+BX84-CG83,IF(A84&lt;'Données projet'!$A$114,$BV$205^A84,IF(A84='Données projet'!$A$114,'Données projet'!$B$114,BY83+BX84-CG83)))</f>
        <v>231.38525641025643</v>
      </c>
      <c r="BZ84" s="14">
        <f>BY84*VLOOKUP('Données projet'!$B$12,Paramètres!$A$1:$I$89,3,0)*VLOOKUP('Données projet'!$B$12,Paramètres!$A$1:$I$89,5,0)</f>
        <v>234.62465</v>
      </c>
      <c r="CA84" s="14">
        <f t="shared" si="93"/>
        <v>57.281477461730212</v>
      </c>
      <c r="CB84" s="22">
        <f t="shared" si="64"/>
        <v>508.40317199584666</v>
      </c>
      <c r="CC84" s="62">
        <f t="shared" si="65"/>
        <v>801.73650532917998</v>
      </c>
      <c r="CD84" s="62">
        <f ca="1">AVERAGE(OFFSET($CC$3,0,0,'Données projet'!$E$12+1,1))-AVERAGE(OFFSET($H$3,0,0,'Données projet'!$E$12+1,1))</f>
        <v>496.71400086768705</v>
      </c>
      <c r="CE84" s="62">
        <f t="shared" si="94"/>
        <v>206.75063396134982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6.533974358974362</v>
      </c>
      <c r="CT84" s="13">
        <f>IF('Données projet'!$A$140&gt;35,CT83+CS84-DB83,IF(A84&lt;'Données projet'!$A$140,$CQ$205^A84,IF(A84='Données projet'!$A$140,'Données projet'!$B$140,CT83+CS84-DB83)))</f>
        <v>231.38525641025643</v>
      </c>
      <c r="CU84" s="18">
        <f>CT84*VLOOKUP('Données projet'!$B$13,Paramètres!$A$1:$I$89,3,0)*VLOOKUP('Données projet'!$B$13,Paramètres!$A$1:$I$89,5,0)</f>
        <v>249.06308999999999</v>
      </c>
      <c r="CV84" s="14">
        <f t="shared" si="95"/>
        <v>60.385271856913967</v>
      </c>
      <c r="CW84" s="22">
        <f t="shared" si="67"/>
        <v>538.9558969007918</v>
      </c>
      <c r="CX84" s="62">
        <f t="shared" si="68"/>
        <v>832.28923023412517</v>
      </c>
      <c r="CY84" s="62">
        <f ca="1">AVERAGE(OFFSET($CX$3,0,0,'Données projet'!$E$13+1,1))-AVERAGE(OFFSET($H$3,0,0,'Données projet'!$E$13+1,1))</f>
        <v>524.55238798353344</v>
      </c>
      <c r="CZ84" s="62">
        <f t="shared" si="96"/>
        <v>216.94512104983255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-3.4106051316484809E-13</v>
      </c>
      <c r="O85" s="14">
        <f>N85*VLOOKUP('Données projet'!$B$9,Paramètres!$A$1:$I$89,3,0)*VLOOKUP('Données projet'!$B$9,Paramètres!$A$1:$I$89,5,0)</f>
        <v>-2.0395418687257919E-13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260.01925143568263</v>
      </c>
      <c r="T85" s="62">
        <f t="shared" si="88"/>
        <v>269.95358755269427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-2.8421709430404007E-13</v>
      </c>
      <c r="AJ85" s="14">
        <f>AI85*VLOOKUP('Données projet'!$B$10,Paramètres!$A$1:$I$89,3,0)*VLOOKUP('Données projet'!$B$10,Paramètres!$A$1:$I$89,5,0)</f>
        <v>-1.69961822393816E-13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289.24721145176682</v>
      </c>
      <c r="AO85" s="62">
        <f t="shared" si="90"/>
        <v>229.06617320689003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9.6128205128205195</v>
      </c>
      <c r="BD85" s="13">
        <f>IF('Données projet'!$A$88&gt;35,BD84+BC85-BL84,IF(A85&lt;'Données projet'!$A$88,$BA$205^A85,IF(A85='Données projet'!$A$88,'Données projet'!$B$88,BD84+BC85-BL84)))</f>
        <v>349.9923076923078</v>
      </c>
      <c r="BE85" s="14">
        <f>BD85*VLOOKUP('Données projet'!$B$11,Paramètres!$A$1:$I$89,3,0)*VLOOKUP('Données projet'!$B$11,Paramètres!$A$1:$I$89,5,0)</f>
        <v>163.79640000000006</v>
      </c>
      <c r="BF85" s="14">
        <f t="shared" si="91"/>
        <v>41.697631851997592</v>
      </c>
      <c r="BG85" s="22">
        <f t="shared" si="61"/>
        <v>357.90210547556256</v>
      </c>
      <c r="BH85" s="62">
        <f t="shared" si="62"/>
        <v>651.23543880889588</v>
      </c>
      <c r="BI85" s="62">
        <f ca="1">AVERAGE(OFFSET($BH$3,0,0,'Données projet'!$E$11+1,1))-AVERAGE(OFFSET($H$3,0,0,'Données projet'!$E$11+1,1))</f>
        <v>284.72381074796073</v>
      </c>
      <c r="BJ85" s="62">
        <f t="shared" si="92"/>
        <v>190.4880882944471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6.533974358974362</v>
      </c>
      <c r="BY85" s="13">
        <f>IF('Données projet'!$A$114&gt;35,BY84+BX85-CG84,IF(A85&lt;'Données projet'!$A$114,$BV$205^A85,IF(A85='Données projet'!$A$114,'Données projet'!$B$114,BY84+BX85-CG84)))</f>
        <v>237.91923076923081</v>
      </c>
      <c r="BZ85" s="14">
        <f>BY85*VLOOKUP('Données projet'!$B$12,Paramètres!$A$1:$I$89,3,0)*VLOOKUP('Données projet'!$B$12,Paramètres!$A$1:$I$89,5,0)</f>
        <v>241.25010000000006</v>
      </c>
      <c r="CA85" s="14">
        <f t="shared" si="93"/>
        <v>58.708414207984134</v>
      </c>
      <c r="CB85" s="22">
        <f t="shared" si="64"/>
        <v>522.42774557890573</v>
      </c>
      <c r="CC85" s="62">
        <f t="shared" si="65"/>
        <v>815.7610789122391</v>
      </c>
      <c r="CD85" s="62">
        <f ca="1">AVERAGE(OFFSET($CC$3,0,0,'Données projet'!$E$12+1,1))-AVERAGE(OFFSET($H$3,0,0,'Données projet'!$E$12+1,1))</f>
        <v>496.71400086768705</v>
      </c>
      <c r="CE85" s="62">
        <f t="shared" si="94"/>
        <v>206.75063396134982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6.533974358974362</v>
      </c>
      <c r="CT85" s="13">
        <f>IF('Données projet'!$A$140&gt;35,CT84+CS85-DB84,IF(A85&lt;'Données projet'!$A$140,$CQ$205^A85,IF(A85='Données projet'!$A$140,'Données projet'!$B$140,CT84+CS85-DB84)))</f>
        <v>237.91923076923081</v>
      </c>
      <c r="CU85" s="18">
        <f>CT85*VLOOKUP('Données projet'!$B$13,Paramètres!$A$1:$I$89,3,0)*VLOOKUP('Données projet'!$B$13,Paramètres!$A$1:$I$89,5,0)</f>
        <v>256.09626000000003</v>
      </c>
      <c r="CV85" s="14">
        <f t="shared" si="95"/>
        <v>61.889527109455784</v>
      </c>
      <c r="CW85" s="22">
        <f t="shared" si="67"/>
        <v>553.82524588230217</v>
      </c>
      <c r="CX85" s="62">
        <f t="shared" si="68"/>
        <v>847.15857921563543</v>
      </c>
      <c r="CY85" s="62">
        <f ca="1">AVERAGE(OFFSET($CX$3,0,0,'Données projet'!$E$13+1,1))-AVERAGE(OFFSET($H$3,0,0,'Données projet'!$E$13+1,1))</f>
        <v>524.55238798353344</v>
      </c>
      <c r="CZ85" s="62">
        <f t="shared" si="96"/>
        <v>216.94512104983255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-3.4106051316484809E-13</v>
      </c>
      <c r="O86" s="14">
        <f>N86*VLOOKUP('Données projet'!$B$9,Paramètres!$A$1:$I$89,3,0)*VLOOKUP('Données projet'!$B$9,Paramètres!$A$1:$I$89,5,0)</f>
        <v>-2.0395418687257919E-13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260.01925143568263</v>
      </c>
      <c r="T86" s="62">
        <f t="shared" si="88"/>
        <v>269.95358755269427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-2.8421709430404007E-13</v>
      </c>
      <c r="AJ86" s="14">
        <f>AI86*VLOOKUP('Données projet'!$B$10,Paramètres!$A$1:$I$89,3,0)*VLOOKUP('Données projet'!$B$10,Paramètres!$A$1:$I$89,5,0)</f>
        <v>-1.69961822393816E-13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289.24721145176682</v>
      </c>
      <c r="AO86" s="62">
        <f t="shared" si="90"/>
        <v>229.06617320689003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9.6128205128205195</v>
      </c>
      <c r="BD86" s="13">
        <f>IF('Données projet'!$A$88&gt;35,BD85+BC86-BL85,IF(A86&lt;'Données projet'!$A$88,$BA$205^A86,IF(A86='Données projet'!$A$88,'Données projet'!$B$88,BD85+BC86-BL85)))</f>
        <v>359.60512820512832</v>
      </c>
      <c r="BE86" s="14">
        <f>BD86*VLOOKUP('Données projet'!$B$11,Paramètres!$A$1:$I$89,3,0)*VLOOKUP('Données projet'!$B$11,Paramètres!$A$1:$I$89,5,0)</f>
        <v>168.29520000000005</v>
      </c>
      <c r="BF86" s="14">
        <f t="shared" si="91"/>
        <v>42.707981414721587</v>
      </c>
      <c r="BG86" s="22">
        <f t="shared" si="61"/>
        <v>367.49720763064016</v>
      </c>
      <c r="BH86" s="62">
        <f t="shared" si="62"/>
        <v>660.83054096397348</v>
      </c>
      <c r="BI86" s="62">
        <f ca="1">AVERAGE(OFFSET($BH$3,0,0,'Données projet'!$E$11+1,1))-AVERAGE(OFFSET($H$3,0,0,'Données projet'!$E$11+1,1))</f>
        <v>284.72381074796073</v>
      </c>
      <c r="BJ86" s="62">
        <f t="shared" si="92"/>
        <v>190.4880882944471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6.533974358974362</v>
      </c>
      <c r="BY86" s="13">
        <f>IF('Données projet'!$A$114&gt;35,BY85+BX86-CG85,IF(A86&lt;'Données projet'!$A$114,$BV$205^A86,IF(A86='Données projet'!$A$114,'Données projet'!$B$114,BY85+BX86-CG85)))</f>
        <v>244.45320512820518</v>
      </c>
      <c r="BZ86" s="14">
        <f>BY86*VLOOKUP('Données projet'!$B$12,Paramètres!$A$1:$I$89,3,0)*VLOOKUP('Données projet'!$B$12,Paramètres!$A$1:$I$89,5,0)</f>
        <v>247.87555000000006</v>
      </c>
      <c r="CA86" s="14">
        <f t="shared" si="93"/>
        <v>60.130796154317416</v>
      </c>
      <c r="CB86" s="22">
        <f t="shared" si="64"/>
        <v>536.44438621876964</v>
      </c>
      <c r="CC86" s="62">
        <f t="shared" si="65"/>
        <v>829.77771955210301</v>
      </c>
      <c r="CD86" s="62">
        <f ca="1">AVERAGE(OFFSET($CC$3,0,0,'Données projet'!$E$12+1,1))-AVERAGE(OFFSET($H$3,0,0,'Données projet'!$E$12+1,1))</f>
        <v>496.71400086768705</v>
      </c>
      <c r="CE86" s="62">
        <f t="shared" si="94"/>
        <v>206.75063396134982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6.533974358974362</v>
      </c>
      <c r="CT86" s="13">
        <f>IF('Données projet'!$A$140&gt;35,CT85+CS86-DB85,IF(A86&lt;'Données projet'!$A$140,$CQ$205^A86,IF(A86='Données projet'!$A$140,'Données projet'!$B$140,CT85+CS86-DB85)))</f>
        <v>244.45320512820518</v>
      </c>
      <c r="CU86" s="18">
        <f>CT86*VLOOKUP('Données projet'!$B$13,Paramètres!$A$1:$I$89,3,0)*VLOOKUP('Données projet'!$B$13,Paramètres!$A$1:$I$89,5,0)</f>
        <v>263.12943000000001</v>
      </c>
      <c r="CV86" s="14">
        <f t="shared" si="95"/>
        <v>63.388980760439019</v>
      </c>
      <c r="CW86" s="22">
        <f t="shared" si="67"/>
        <v>568.68623207443125</v>
      </c>
      <c r="CX86" s="62">
        <f t="shared" si="68"/>
        <v>862.0195654077645</v>
      </c>
      <c r="CY86" s="62">
        <f ca="1">AVERAGE(OFFSET($CX$3,0,0,'Données projet'!$E$13+1,1))-AVERAGE(OFFSET($H$3,0,0,'Données projet'!$E$13+1,1))</f>
        <v>524.55238798353344</v>
      </c>
      <c r="CZ86" s="62">
        <f t="shared" si="96"/>
        <v>216.94512104983255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-3.4106051316484809E-13</v>
      </c>
      <c r="O87" s="14">
        <f>N87*VLOOKUP('Données projet'!$B$9,Paramètres!$A$1:$I$89,3,0)*VLOOKUP('Données projet'!$B$9,Paramètres!$A$1:$I$89,5,0)</f>
        <v>-2.0395418687257919E-13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260.01925143568263</v>
      </c>
      <c r="T87" s="62">
        <f t="shared" si="88"/>
        <v>269.95358755269427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-2.8421709430404007E-13</v>
      </c>
      <c r="AJ87" s="14">
        <f>AI87*VLOOKUP('Données projet'!$B$10,Paramètres!$A$1:$I$89,3,0)*VLOOKUP('Données projet'!$B$10,Paramètres!$A$1:$I$89,5,0)</f>
        <v>-1.69961822393816E-13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289.24721145176682</v>
      </c>
      <c r="AO87" s="62">
        <f t="shared" si="90"/>
        <v>229.06617320689003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9.6128205128205195</v>
      </c>
      <c r="BD87" s="13">
        <f>IF('Données projet'!$A$88&gt;35,BD86+BC87-BL86,IF(A87&lt;'Données projet'!$A$88,$BA$205^A87,IF(A87='Données projet'!$A$88,'Données projet'!$B$88,BD86+BC87-BL86)))</f>
        <v>369.21794871794884</v>
      </c>
      <c r="BE87" s="14">
        <f>BD87*VLOOKUP('Données projet'!$B$11,Paramètres!$A$1:$I$89,3,0)*VLOOKUP('Données projet'!$B$11,Paramètres!$A$1:$I$89,5,0)</f>
        <v>172.79400000000004</v>
      </c>
      <c r="BF87" s="14">
        <f t="shared" si="91"/>
        <v>43.715191706757231</v>
      </c>
      <c r="BG87" s="22">
        <f t="shared" si="61"/>
        <v>377.08684222260217</v>
      </c>
      <c r="BH87" s="62">
        <f t="shared" si="62"/>
        <v>670.42017555593543</v>
      </c>
      <c r="BI87" s="62">
        <f ca="1">AVERAGE(OFFSET($BH$3,0,0,'Données projet'!$E$11+1,1))-AVERAGE(OFFSET($H$3,0,0,'Données projet'!$E$11+1,1))</f>
        <v>284.72381074796073</v>
      </c>
      <c r="BJ87" s="62">
        <f t="shared" si="92"/>
        <v>190.4880882944471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>
        <f>VLOOKUP(A87,'Données projet'!$A$113:$I$133,2,0)</f>
        <v>250.9871794871795</v>
      </c>
      <c r="BW87" s="13">
        <f>VLOOKUP(A87,'Données projet'!$A$113:$I$133,9,0)</f>
        <v>6.533974358974362</v>
      </c>
      <c r="BX87" s="13">
        <f t="array" ref="BX87">INDEX(BW:BW,MIN(IF(ISNUMBER(BW87:BW283),ROW(BW87:BW283),"")))</f>
        <v>6.533974358974362</v>
      </c>
      <c r="BY87" s="13">
        <f>IF('Données projet'!$A$114&gt;35,BY86+BX87-CG86,IF(A87&lt;'Données projet'!$A$114,$BV$205^A87,IF(A87='Données projet'!$A$114,'Données projet'!$B$114,BY86+BX87-CG86)))</f>
        <v>250.98717948717956</v>
      </c>
      <c r="BZ87" s="14">
        <f>BY87*VLOOKUP('Données projet'!$B$12,Paramètres!$A$1:$I$89,3,0)*VLOOKUP('Données projet'!$B$12,Paramètres!$A$1:$I$89,5,0)</f>
        <v>254.50100000000006</v>
      </c>
      <c r="CA87" s="14">
        <f t="shared" si="93"/>
        <v>61.548759038313506</v>
      </c>
      <c r="CB87" s="22">
        <f t="shared" si="64"/>
        <v>550.45333032506289</v>
      </c>
      <c r="CC87" s="62">
        <f t="shared" si="65"/>
        <v>843.78666365839626</v>
      </c>
      <c r="CD87" s="62">
        <f ca="1">AVERAGE(OFFSET($CC$3,0,0,'Données projet'!$E$12+1,1))-AVERAGE(OFFSET($H$3,0,0,'Données projet'!$E$12+1,1))</f>
        <v>496.71400086768705</v>
      </c>
      <c r="CE87" s="62">
        <f t="shared" si="94"/>
        <v>206.75063396134982</v>
      </c>
      <c r="CF87" s="16">
        <f>IF(ISNA(VLOOKUP(A87,'Données projet'!$A$113:$I$133,3,0)),0,VLOOKUP(A87,'Données projet'!$A$113:$I$133,3,0))</f>
        <v>6</v>
      </c>
      <c r="CG87" s="16">
        <f>IF(ISNA(VLOOKUP(A87,'Données projet'!$A$113:$I$133,4,0)),0,VLOOKUP(A87,'Données projet'!$A$113:$I$133,4,0))</f>
        <v>47.256410256410255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>
        <f>VLOOKUP(A87,'Données projet'!$A$139:$I$159,2,0)</f>
        <v>250.9871794871795</v>
      </c>
      <c r="CR87" s="13">
        <f>VLOOKUP(A87,'Données projet'!$A$139:$I$159,9,0)</f>
        <v>6.533974358974362</v>
      </c>
      <c r="CS87" s="13">
        <f t="array" ref="CS87">INDEX(CR:CR,MIN(IF(ISNUMBER(CR87:CR283),ROW(CR87:CR283),"")))</f>
        <v>6.533974358974362</v>
      </c>
      <c r="CT87" s="13">
        <f>IF('Données projet'!$A$140&gt;35,CT86+CS87-DB86,IF(A87&lt;'Données projet'!$A$140,$CQ$205^A87,IF(A87='Données projet'!$A$140,'Données projet'!$B$140,CT86+CS87-DB86)))</f>
        <v>250.98717948717956</v>
      </c>
      <c r="CU87" s="18">
        <f>CT87*VLOOKUP('Données projet'!$B$13,Paramètres!$A$1:$I$89,3,0)*VLOOKUP('Données projet'!$B$13,Paramètres!$A$1:$I$89,5,0)</f>
        <v>270.16260000000005</v>
      </c>
      <c r="CV87" s="14">
        <f t="shared" si="95"/>
        <v>64.883775902382069</v>
      </c>
      <c r="CW87" s="22">
        <f t="shared" si="67"/>
        <v>583.53910469664891</v>
      </c>
      <c r="CX87" s="62">
        <f t="shared" si="68"/>
        <v>876.87243802998228</v>
      </c>
      <c r="CY87" s="62">
        <f ca="1">AVERAGE(OFFSET($CX$3,0,0,'Données projet'!$E$13+1,1))-AVERAGE(OFFSET($H$3,0,0,'Données projet'!$E$13+1,1))</f>
        <v>524.55238798353344</v>
      </c>
      <c r="CZ87" s="62">
        <f t="shared" si="96"/>
        <v>216.94512104983255</v>
      </c>
      <c r="DA87" s="16">
        <f>IF(ISNA(VLOOKUP(A87,'Données projet'!$A$139:$I$159,3,0)),0,VLOOKUP(A87,'Données projet'!$A$139:$I$159,3,0))</f>
        <v>6</v>
      </c>
      <c r="DB87" s="16">
        <f>IF(ISNA(VLOOKUP(A87,'Données projet'!$A$139:$I$159,4,0)),0,VLOOKUP(A87,'Données projet'!$A$139:$I$159,4,0))</f>
        <v>47.256410256410255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-2.0395418687257919E-13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260.01925143568263</v>
      </c>
      <c r="T88" s="62">
        <f t="shared" si="88"/>
        <v>269.95358755269427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-2.8421709430404007E-13</v>
      </c>
      <c r="AJ88" s="14">
        <f>AI88*VLOOKUP('Données projet'!$B$10,Paramètres!$A$1:$I$89,3,0)*VLOOKUP('Données projet'!$B$10,Paramètres!$A$1:$I$89,5,0)</f>
        <v>-1.69961822393816E-13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289.24721145176682</v>
      </c>
      <c r="AO88" s="62">
        <f t="shared" si="90"/>
        <v>229.06617320689003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378.83076923076925</v>
      </c>
      <c r="BB88" s="13">
        <f>VLOOKUP(A88,'Données projet'!$A$87:$I$107,9,0)</f>
        <v>9.6128205128205195</v>
      </c>
      <c r="BC88" s="13">
        <f t="array" ref="BC88">INDEX(BB:BB,MIN(IF(ISNUMBER(BB88:BB284),ROW(BB88:BB284),"")))</f>
        <v>9.6128205128205195</v>
      </c>
      <c r="BD88" s="13">
        <f>IF('Données projet'!$A$88&gt;35,BD87+BC88-BL87,IF(A88&lt;'Données projet'!$A$88,$BA$205^A88,IF(A88='Données projet'!$A$88,'Données projet'!$B$88,BD87+BC88-BL87)))</f>
        <v>378.83076923076936</v>
      </c>
      <c r="BE88" s="14">
        <f>BD88*VLOOKUP('Données projet'!$B$11,Paramètres!$A$1:$I$89,3,0)*VLOOKUP('Données projet'!$B$11,Paramètres!$A$1:$I$89,5,0)</f>
        <v>177.29280000000008</v>
      </c>
      <c r="BF88" s="14">
        <f t="shared" si="91"/>
        <v>44.719353857403902</v>
      </c>
      <c r="BG88" s="22">
        <f t="shared" si="61"/>
        <v>386.67116796831192</v>
      </c>
      <c r="BH88" s="62">
        <f t="shared" si="62"/>
        <v>680.00450130164518</v>
      </c>
      <c r="BI88" s="62">
        <f ca="1">AVERAGE(OFFSET($BH$3,0,0,'Données projet'!$E$11+1,1))-AVERAGE(OFFSET($H$3,0,0,'Données projet'!$E$11+1,1))</f>
        <v>284.72381074796073</v>
      </c>
      <c r="BJ88" s="62">
        <f t="shared" si="92"/>
        <v>190.4880882944471</v>
      </c>
      <c r="BK88" s="16">
        <f>IF(ISNA(VLOOKUP(A88,'Données projet'!$A$87:$I$107,3,0)),0,VLOOKUP(A88,'Données projet'!$A$87:$I$107,3,0))</f>
        <v>4</v>
      </c>
      <c r="BL88" s="16">
        <f>IF(ISNA(VLOOKUP(A88,'Données projet'!$A$87:$I$107,4,0)),0,VLOOKUP(A88,'Données projet'!$A$87:$I$107,4,0))</f>
        <v>85.207692307692298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6.2512820512820468</v>
      </c>
      <c r="BY88" s="13">
        <f>IF('Données projet'!$A$114&gt;35,BY87+BX88-CG87,IF(A88&lt;'Données projet'!$A$114,$BV$205^A88,IF(A88='Données projet'!$A$114,'Données projet'!$B$114,BY87+BX88-CG87)))</f>
        <v>209.98205128205134</v>
      </c>
      <c r="BZ88" s="14">
        <f>BY88*VLOOKUP('Données projet'!$B$12,Paramètres!$A$1:$I$89,3,0)*VLOOKUP('Données projet'!$B$12,Paramètres!$A$1:$I$89,5,0)</f>
        <v>212.92180000000008</v>
      </c>
      <c r="CA88" s="14">
        <f t="shared" si="93"/>
        <v>52.573558148577327</v>
      </c>
      <c r="CB88" s="22">
        <f t="shared" si="64"/>
        <v>462.40441544210557</v>
      </c>
      <c r="CC88" s="62">
        <f t="shared" si="65"/>
        <v>755.73774877543883</v>
      </c>
      <c r="CD88" s="62">
        <f ca="1">AVERAGE(OFFSET($CC$3,0,0,'Données projet'!$E$12+1,1))-AVERAGE(OFFSET($H$3,0,0,'Données projet'!$E$12+1,1))</f>
        <v>496.71400086768705</v>
      </c>
      <c r="CE88" s="62">
        <f t="shared" si="94"/>
        <v>206.75063396134982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6.2512820512820468</v>
      </c>
      <c r="CT88" s="13">
        <f>IF('Données projet'!$A$140&gt;35,CT87+CS88-DB87,IF(A88&lt;'Données projet'!$A$140,$CQ$205^A88,IF(A88='Données projet'!$A$140,'Données projet'!$B$140,CT87+CS88-DB87)))</f>
        <v>209.98205128205134</v>
      </c>
      <c r="CU88" s="18">
        <f>CT88*VLOOKUP('Données projet'!$B$13,Paramètres!$A$1:$I$89,3,0)*VLOOKUP('Données projet'!$B$13,Paramètres!$A$1:$I$89,5,0)</f>
        <v>226.02468000000007</v>
      </c>
      <c r="CV88" s="14">
        <f t="shared" si="95"/>
        <v>55.422254138052168</v>
      </c>
      <c r="CW88" s="22">
        <f t="shared" si="67"/>
        <v>490.18674362377425</v>
      </c>
      <c r="CX88" s="62">
        <f t="shared" si="68"/>
        <v>783.52007695710756</v>
      </c>
      <c r="CY88" s="62">
        <f ca="1">AVERAGE(OFFSET($CX$3,0,0,'Données projet'!$E$13+1,1))-AVERAGE(OFFSET($H$3,0,0,'Données projet'!$E$13+1,1))</f>
        <v>524.55238798353344</v>
      </c>
      <c r="CZ88" s="62">
        <f t="shared" si="96"/>
        <v>216.94512104983255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-2.0395418687257919E-13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260.01925143568263</v>
      </c>
      <c r="T89" s="62">
        <f t="shared" si="88"/>
        <v>269.95358755269427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-2.8421709430404007E-13</v>
      </c>
      <c r="AJ89" s="14">
        <f>AI89*VLOOKUP('Données projet'!$B$10,Paramètres!$A$1:$I$89,3,0)*VLOOKUP('Données projet'!$B$10,Paramètres!$A$1:$I$89,5,0)</f>
        <v>-1.69961822393816E-13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289.24721145176682</v>
      </c>
      <c r="AO89" s="62">
        <f t="shared" si="90"/>
        <v>229.06617320689003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8.6692307692307597</v>
      </c>
      <c r="BD89" s="13">
        <f>IF('Données projet'!$A$88&gt;35,BD88+BC89-BL88,IF(A89&lt;'Données projet'!$A$88,$BA$205^A89,IF(A89='Données projet'!$A$88,'Données projet'!$B$88,BD88+BC89-BL88)))</f>
        <v>302.29230769230782</v>
      </c>
      <c r="BE89" s="14">
        <f>BD89*VLOOKUP('Données projet'!$B$11,Paramètres!$A$1:$I$89,3,0)*VLOOKUP('Données projet'!$B$11,Paramètres!$A$1:$I$89,5,0)</f>
        <v>141.47280000000006</v>
      </c>
      <c r="BF89" s="14">
        <f t="shared" si="91"/>
        <v>36.634197520987641</v>
      </c>
      <c r="BG89" s="22">
        <f t="shared" si="61"/>
        <v>310.20302068238692</v>
      </c>
      <c r="BH89" s="62">
        <f t="shared" si="62"/>
        <v>603.53635401572024</v>
      </c>
      <c r="BI89" s="62">
        <f ca="1">AVERAGE(OFFSET($BH$3,0,0,'Données projet'!$E$11+1,1))-AVERAGE(OFFSET($H$3,0,0,'Données projet'!$E$11+1,1))</f>
        <v>284.72381074796073</v>
      </c>
      <c r="BJ89" s="62">
        <f t="shared" si="92"/>
        <v>190.4880882944471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6.2512820512820468</v>
      </c>
      <c r="BY89" s="13">
        <f>IF('Données projet'!$A$114&gt;35,BY88+BX89-CG88,IF(A89&lt;'Données projet'!$A$114,$BV$205^A89,IF(A89='Données projet'!$A$114,'Données projet'!$B$114,BY88+BX89-CG88)))</f>
        <v>216.23333333333341</v>
      </c>
      <c r="BZ89" s="14">
        <f>BY89*VLOOKUP('Données projet'!$B$12,Paramètres!$A$1:$I$89,3,0)*VLOOKUP('Données projet'!$B$12,Paramètres!$A$1:$I$89,5,0)</f>
        <v>219.26060000000007</v>
      </c>
      <c r="CA89" s="14">
        <f t="shared" si="93"/>
        <v>53.954149309767693</v>
      </c>
      <c r="CB89" s="22">
        <f t="shared" si="64"/>
        <v>475.84902171451205</v>
      </c>
      <c r="CC89" s="62">
        <f t="shared" si="65"/>
        <v>769.18235504784536</v>
      </c>
      <c r="CD89" s="62">
        <f ca="1">AVERAGE(OFFSET($CC$3,0,0,'Données projet'!$E$12+1,1))-AVERAGE(OFFSET($H$3,0,0,'Données projet'!$E$12+1,1))</f>
        <v>496.71400086768705</v>
      </c>
      <c r="CE89" s="62">
        <f t="shared" si="94"/>
        <v>206.75063396134982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6.2512820512820468</v>
      </c>
      <c r="CT89" s="13">
        <f>IF('Données projet'!$A$140&gt;35,CT88+CS89-DB88,IF(A89&lt;'Données projet'!$A$140,$CQ$205^A89,IF(A89='Données projet'!$A$140,'Données projet'!$B$140,CT88+CS89-DB88)))</f>
        <v>216.23333333333341</v>
      </c>
      <c r="CU89" s="18">
        <f>CT89*VLOOKUP('Données projet'!$B$13,Paramètres!$A$1:$I$89,3,0)*VLOOKUP('Données projet'!$B$13,Paramètres!$A$1:$I$89,5,0)</f>
        <v>232.75356000000008</v>
      </c>
      <c r="CV89" s="14">
        <f t="shared" si="95"/>
        <v>56.877652571994936</v>
      </c>
      <c r="CW89" s="22">
        <f t="shared" si="67"/>
        <v>504.44102856289129</v>
      </c>
      <c r="CX89" s="62">
        <f t="shared" si="68"/>
        <v>797.7743618962246</v>
      </c>
      <c r="CY89" s="62">
        <f ca="1">AVERAGE(OFFSET($CX$3,0,0,'Données projet'!$E$13+1,1))-AVERAGE(OFFSET($H$3,0,0,'Données projet'!$E$13+1,1))</f>
        <v>524.55238798353344</v>
      </c>
      <c r="CZ89" s="62">
        <f t="shared" si="96"/>
        <v>216.94512104983255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-2.0395418687257919E-13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260.01925143568263</v>
      </c>
      <c r="T90" s="62">
        <f t="shared" si="88"/>
        <v>269.95358755269427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-2.8421709430404007E-13</v>
      </c>
      <c r="AJ90" s="14">
        <f>AI90*VLOOKUP('Données projet'!$B$10,Paramètres!$A$1:$I$89,3,0)*VLOOKUP('Données projet'!$B$10,Paramètres!$A$1:$I$89,5,0)</f>
        <v>-1.69961822393816E-13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289.24721145176682</v>
      </c>
      <c r="AO90" s="62">
        <f t="shared" si="90"/>
        <v>229.06617320689003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8.6692307692307597</v>
      </c>
      <c r="BD90" s="13">
        <f>IF('Données projet'!$A$88&gt;35,BD89+BC90-BL89,IF(A90&lt;'Données projet'!$A$88,$BA$205^A90,IF(A90='Données projet'!$A$88,'Données projet'!$B$88,BD89+BC90-BL89)))</f>
        <v>310.96153846153857</v>
      </c>
      <c r="BE90" s="14">
        <f>BD90*VLOOKUP('Données projet'!$B$11,Paramètres!$A$1:$I$89,3,0)*VLOOKUP('Données projet'!$B$11,Paramètres!$A$1:$I$89,5,0)</f>
        <v>145.53000000000006</v>
      </c>
      <c r="BF90" s="14">
        <f t="shared" si="91"/>
        <v>37.560980425605734</v>
      </c>
      <c r="BG90" s="22">
        <f t="shared" si="61"/>
        <v>318.88345757459672</v>
      </c>
      <c r="BH90" s="62">
        <f t="shared" si="62"/>
        <v>612.21679090793009</v>
      </c>
      <c r="BI90" s="62">
        <f ca="1">AVERAGE(OFFSET($BH$3,0,0,'Données projet'!$E$11+1,1))-AVERAGE(OFFSET($H$3,0,0,'Données projet'!$E$11+1,1))</f>
        <v>284.72381074796073</v>
      </c>
      <c r="BJ90" s="62">
        <f t="shared" si="92"/>
        <v>190.4880882944471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6.2512820512820468</v>
      </c>
      <c r="BY90" s="13">
        <f>IF('Données projet'!$A$114&gt;35,BY89+BX90-CG89,IF(A90&lt;'Données projet'!$A$114,$BV$205^A90,IF(A90='Données projet'!$A$114,'Données projet'!$B$114,BY89+BX90-CG89)))</f>
        <v>222.48461538461544</v>
      </c>
      <c r="BZ90" s="14">
        <f>BY90*VLOOKUP('Données projet'!$B$12,Paramètres!$A$1:$I$89,3,0)*VLOOKUP('Données projet'!$B$12,Paramètres!$A$1:$I$89,5,0)</f>
        <v>225.59940000000006</v>
      </c>
      <c r="CA90" s="14">
        <f t="shared" si="93"/>
        <v>55.330101753431904</v>
      </c>
      <c r="CB90" s="22">
        <f t="shared" si="64"/>
        <v>489.28554888722721</v>
      </c>
      <c r="CC90" s="62">
        <f t="shared" si="65"/>
        <v>782.61888222056052</v>
      </c>
      <c r="CD90" s="62">
        <f ca="1">AVERAGE(OFFSET($CC$3,0,0,'Données projet'!$E$12+1,1))-AVERAGE(OFFSET($H$3,0,0,'Données projet'!$E$12+1,1))</f>
        <v>496.71400086768705</v>
      </c>
      <c r="CE90" s="62">
        <f t="shared" si="94"/>
        <v>206.75063396134982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6.2512820512820468</v>
      </c>
      <c r="CT90" s="13">
        <f>IF('Données projet'!$A$140&gt;35,CT89+CS90-DB89,IF(A90&lt;'Données projet'!$A$140,$CQ$205^A90,IF(A90='Données projet'!$A$140,'Données projet'!$B$140,CT89+CS90-DB89)))</f>
        <v>222.48461538461544</v>
      </c>
      <c r="CU90" s="18">
        <f>CT90*VLOOKUP('Données projet'!$B$13,Paramètres!$A$1:$I$89,3,0)*VLOOKUP('Données projet'!$B$13,Paramètres!$A$1:$I$89,5,0)</f>
        <v>239.48244000000005</v>
      </c>
      <c r="CV90" s="14">
        <f t="shared" si="95"/>
        <v>58.328160939701746</v>
      </c>
      <c r="CW90" s="22">
        <f t="shared" si="67"/>
        <v>518.68679663664727</v>
      </c>
      <c r="CX90" s="62">
        <f t="shared" si="68"/>
        <v>812.02012996998064</v>
      </c>
      <c r="CY90" s="62">
        <f ca="1">AVERAGE(OFFSET($CX$3,0,0,'Données projet'!$E$13+1,1))-AVERAGE(OFFSET($H$3,0,0,'Données projet'!$E$13+1,1))</f>
        <v>524.55238798353344</v>
      </c>
      <c r="CZ90" s="62">
        <f t="shared" si="96"/>
        <v>216.94512104983255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-2.0395418687257919E-13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260.01925143568263</v>
      </c>
      <c r="T91" s="62">
        <f t="shared" si="88"/>
        <v>269.95358755269427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-2.8421709430404007E-13</v>
      </c>
      <c r="AJ91" s="14">
        <f>AI91*VLOOKUP('Données projet'!$B$10,Paramètres!$A$1:$I$89,3,0)*VLOOKUP('Données projet'!$B$10,Paramètres!$A$1:$I$89,5,0)</f>
        <v>-1.69961822393816E-13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289.24721145176682</v>
      </c>
      <c r="AO91" s="62">
        <f t="shared" si="90"/>
        <v>229.06617320689003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8.6692307692307597</v>
      </c>
      <c r="BD91" s="13">
        <f>IF('Données projet'!$A$88&gt;35,BD90+BC91-BL90,IF(A91&lt;'Données projet'!$A$88,$BA$205^A91,IF(A91='Données projet'!$A$88,'Données projet'!$B$88,BD90+BC91-BL90)))</f>
        <v>319.63076923076932</v>
      </c>
      <c r="BE91" s="14">
        <f>BD91*VLOOKUP('Données projet'!$B$11,Paramètres!$A$1:$I$89,3,0)*VLOOKUP('Données projet'!$B$11,Paramètres!$A$1:$I$89,5,0)</f>
        <v>149.58720000000005</v>
      </c>
      <c r="BF91" s="14">
        <f t="shared" si="91"/>
        <v>38.484760298912072</v>
      </c>
      <c r="BG91" s="22">
        <f t="shared" si="61"/>
        <v>327.55866418727197</v>
      </c>
      <c r="BH91" s="62">
        <f t="shared" si="62"/>
        <v>620.89199752060529</v>
      </c>
      <c r="BI91" s="62">
        <f ca="1">AVERAGE(OFFSET($BH$3,0,0,'Données projet'!$E$11+1,1))-AVERAGE(OFFSET($H$3,0,0,'Données projet'!$E$11+1,1))</f>
        <v>284.72381074796073</v>
      </c>
      <c r="BJ91" s="62">
        <f t="shared" si="92"/>
        <v>190.4880882944471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6.2512820512820468</v>
      </c>
      <c r="BY91" s="13">
        <f>IF('Données projet'!$A$114&gt;35,BY90+BX91-CG90,IF(A91&lt;'Données projet'!$A$114,$BV$205^A91,IF(A91='Données projet'!$A$114,'Données projet'!$B$114,BY90+BX91-CG90)))</f>
        <v>228.73589743589747</v>
      </c>
      <c r="BZ91" s="14">
        <f>BY91*VLOOKUP('Données projet'!$B$12,Paramètres!$A$1:$I$89,3,0)*VLOOKUP('Données projet'!$B$12,Paramètres!$A$1:$I$89,5,0)</f>
        <v>231.93820000000005</v>
      </c>
      <c r="CA91" s="14">
        <f t="shared" si="93"/>
        <v>56.701560788617144</v>
      </c>
      <c r="CB91" s="22">
        <f t="shared" si="64"/>
        <v>502.71425004017493</v>
      </c>
      <c r="CC91" s="62">
        <f t="shared" si="65"/>
        <v>796.04758337350825</v>
      </c>
      <c r="CD91" s="62">
        <f ca="1">AVERAGE(OFFSET($CC$3,0,0,'Données projet'!$E$12+1,1))-AVERAGE(OFFSET($H$3,0,0,'Données projet'!$E$12+1,1))</f>
        <v>496.71400086768705</v>
      </c>
      <c r="CE91" s="62">
        <f t="shared" si="94"/>
        <v>206.75063396134982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6.2512820512820468</v>
      </c>
      <c r="CT91" s="13">
        <f>IF('Données projet'!$A$140&gt;35,CT90+CS91-DB90,IF(A91&lt;'Données projet'!$A$140,$CQ$205^A91,IF(A91='Données projet'!$A$140,'Données projet'!$B$140,CT90+CS91-DB90)))</f>
        <v>228.73589743589747</v>
      </c>
      <c r="CU91" s="18">
        <f>CT91*VLOOKUP('Données projet'!$B$13,Paramètres!$A$1:$I$89,3,0)*VLOOKUP('Données projet'!$B$13,Paramètres!$A$1:$I$89,5,0)</f>
        <v>246.21132</v>
      </c>
      <c r="CV91" s="14">
        <f t="shared" si="95"/>
        <v>59.773932423784203</v>
      </c>
      <c r="CW91" s="22">
        <f t="shared" si="67"/>
        <v>532.92431463809089</v>
      </c>
      <c r="CX91" s="62">
        <f t="shared" si="68"/>
        <v>826.25764797142415</v>
      </c>
      <c r="CY91" s="62">
        <f ca="1">AVERAGE(OFFSET($CX$3,0,0,'Données projet'!$E$13+1,1))-AVERAGE(OFFSET($H$3,0,0,'Données projet'!$E$13+1,1))</f>
        <v>524.55238798353344</v>
      </c>
      <c r="CZ91" s="62">
        <f t="shared" si="96"/>
        <v>216.94512104983255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-2.0395418687257919E-13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260.01925143568263</v>
      </c>
      <c r="T92" s="62">
        <f t="shared" si="88"/>
        <v>269.95358755269427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-2.8421709430404007E-13</v>
      </c>
      <c r="AJ92" s="14">
        <f>AI92*VLOOKUP('Données projet'!$B$10,Paramètres!$A$1:$I$89,3,0)*VLOOKUP('Données projet'!$B$10,Paramètres!$A$1:$I$89,5,0)</f>
        <v>-1.69961822393816E-13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289.24721145176682</v>
      </c>
      <c r="AO92" s="62">
        <f t="shared" si="90"/>
        <v>229.06617320689003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8.6692307692307597</v>
      </c>
      <c r="BD92" s="13">
        <f>IF('Données projet'!$A$88&gt;35,BD91+BC92-BL91,IF(A92&lt;'Données projet'!$A$88,$BA$205^A92,IF(A92='Données projet'!$A$88,'Données projet'!$B$88,BD91+BC92-BL91)))</f>
        <v>328.30000000000007</v>
      </c>
      <c r="BE92" s="14">
        <f>BD92*VLOOKUP('Données projet'!$B$11,Paramètres!$A$1:$I$89,3,0)*VLOOKUP('Données projet'!$B$11,Paramètres!$A$1:$I$89,5,0)</f>
        <v>153.64440000000002</v>
      </c>
      <c r="BF92" s="14">
        <f t="shared" si="91"/>
        <v>39.405627951004689</v>
      </c>
      <c r="BG92" s="22">
        <f t="shared" si="61"/>
        <v>336.22879868133322</v>
      </c>
      <c r="BH92" s="62">
        <f t="shared" si="62"/>
        <v>629.56213201466653</v>
      </c>
      <c r="BI92" s="62">
        <f ca="1">AVERAGE(OFFSET($BH$3,0,0,'Données projet'!$E$11+1,1))-AVERAGE(OFFSET($H$3,0,0,'Données projet'!$E$11+1,1))</f>
        <v>284.72381074796073</v>
      </c>
      <c r="BJ92" s="62">
        <f t="shared" si="92"/>
        <v>190.4880882944471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6.2512820512820468</v>
      </c>
      <c r="BY92" s="13">
        <f>IF('Données projet'!$A$114&gt;35,BY91+BX92-CG91,IF(A92&lt;'Données projet'!$A$114,$BV$205^A92,IF(A92='Données projet'!$A$114,'Données projet'!$B$114,BY91+BX92-CG91)))</f>
        <v>234.9871794871795</v>
      </c>
      <c r="BZ92" s="14">
        <f>BY92*VLOOKUP('Données projet'!$B$12,Paramètres!$A$1:$I$89,3,0)*VLOOKUP('Données projet'!$B$12,Paramètres!$A$1:$I$89,5,0)</f>
        <v>238.27700000000002</v>
      </c>
      <c r="CA92" s="14">
        <f t="shared" si="93"/>
        <v>58.06866332980951</v>
      </c>
      <c r="CB92" s="22">
        <f t="shared" si="64"/>
        <v>516.13536363275159</v>
      </c>
      <c r="CC92" s="62">
        <f t="shared" si="65"/>
        <v>809.46869696608496</v>
      </c>
      <c r="CD92" s="62">
        <f ca="1">AVERAGE(OFFSET($CC$3,0,0,'Données projet'!$E$12+1,1))-AVERAGE(OFFSET($H$3,0,0,'Données projet'!$E$12+1,1))</f>
        <v>496.71400086768705</v>
      </c>
      <c r="CE92" s="62">
        <f t="shared" si="94"/>
        <v>206.75063396134982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6.2512820512820468</v>
      </c>
      <c r="CT92" s="13">
        <f>IF('Données projet'!$A$140&gt;35,CT91+CS92-DB91,IF(A92&lt;'Données projet'!$A$140,$CQ$205^A92,IF(A92='Données projet'!$A$140,'Données projet'!$B$140,CT91+CS92-DB91)))</f>
        <v>234.9871794871795</v>
      </c>
      <c r="CU92" s="18">
        <f>CT92*VLOOKUP('Données projet'!$B$13,Paramètres!$A$1:$I$89,3,0)*VLOOKUP('Données projet'!$B$13,Paramètres!$A$1:$I$89,5,0)</f>
        <v>252.94020000000003</v>
      </c>
      <c r="CV92" s="14">
        <f t="shared" si="95"/>
        <v>61.215111357434012</v>
      </c>
      <c r="CW92" s="22">
        <f t="shared" si="67"/>
        <v>547.15383394753087</v>
      </c>
      <c r="CX92" s="62">
        <f t="shared" si="68"/>
        <v>840.48716728086424</v>
      </c>
      <c r="CY92" s="62">
        <f ca="1">AVERAGE(OFFSET($CX$3,0,0,'Données projet'!$E$13+1,1))-AVERAGE(OFFSET($H$3,0,0,'Données projet'!$E$13+1,1))</f>
        <v>524.55238798353344</v>
      </c>
      <c r="CZ92" s="62">
        <f t="shared" si="96"/>
        <v>216.94512104983255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-2.0395418687257919E-13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260.01925143568263</v>
      </c>
      <c r="T93" s="62">
        <f t="shared" si="88"/>
        <v>269.95358755269427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-2.8421709430404007E-13</v>
      </c>
      <c r="AJ93" s="14">
        <f>AI93*VLOOKUP('Données projet'!$B$10,Paramètres!$A$1:$I$89,3,0)*VLOOKUP('Données projet'!$B$10,Paramètres!$A$1:$I$89,5,0)</f>
        <v>-1.69961822393816E-13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289.24721145176682</v>
      </c>
      <c r="AO93" s="62">
        <f t="shared" si="90"/>
        <v>229.06617320689003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8.6692307692307597</v>
      </c>
      <c r="BD93" s="13">
        <f>IF('Données projet'!$A$88&gt;35,BD92+BC93-BL92,IF(A93&lt;'Données projet'!$A$88,$BA$205^A93,IF(A93='Données projet'!$A$88,'Données projet'!$B$88,BD92+BC93-BL92)))</f>
        <v>336.96923076923082</v>
      </c>
      <c r="BE93" s="14">
        <f>BD93*VLOOKUP('Données projet'!$B$11,Paramètres!$A$1:$I$89,3,0)*VLOOKUP('Données projet'!$B$11,Paramètres!$A$1:$I$89,5,0)</f>
        <v>157.70160000000001</v>
      </c>
      <c r="BF93" s="14">
        <f t="shared" si="91"/>
        <v>40.323669122930177</v>
      </c>
      <c r="BG93" s="22">
        <f t="shared" si="61"/>
        <v>344.89401038910336</v>
      </c>
      <c r="BH93" s="62">
        <f t="shared" si="62"/>
        <v>638.22734372243667</v>
      </c>
      <c r="BI93" s="62">
        <f ca="1">AVERAGE(OFFSET($BH$3,0,0,'Données projet'!$E$11+1,1))-AVERAGE(OFFSET($H$3,0,0,'Données projet'!$E$11+1,1))</f>
        <v>284.72381074796073</v>
      </c>
      <c r="BJ93" s="62">
        <f t="shared" si="92"/>
        <v>190.4880882944471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6.2512820512820468</v>
      </c>
      <c r="BY93" s="13">
        <f>IF('Données projet'!$A$114&gt;35,BY92+BX93-CG92,IF(A93&lt;'Données projet'!$A$114,$BV$205^A93,IF(A93='Données projet'!$A$114,'Données projet'!$B$114,BY92+BX93-CG92)))</f>
        <v>241.23846153846154</v>
      </c>
      <c r="BZ93" s="14">
        <f>BY93*VLOOKUP('Données projet'!$B$12,Paramètres!$A$1:$I$89,3,0)*VLOOKUP('Données projet'!$B$12,Paramètres!$A$1:$I$89,5,0)</f>
        <v>244.61580000000001</v>
      </c>
      <c r="CA93" s="14">
        <f t="shared" si="93"/>
        <v>59.431538592136647</v>
      </c>
      <c r="CB93" s="22">
        <f t="shared" si="64"/>
        <v>529.54911471463799</v>
      </c>
      <c r="CC93" s="62">
        <f t="shared" si="65"/>
        <v>822.88244804797137</v>
      </c>
      <c r="CD93" s="62">
        <f ca="1">AVERAGE(OFFSET($CC$3,0,0,'Données projet'!$E$12+1,1))-AVERAGE(OFFSET($H$3,0,0,'Données projet'!$E$12+1,1))</f>
        <v>496.71400086768705</v>
      </c>
      <c r="CE93" s="62">
        <f t="shared" si="94"/>
        <v>206.75063396134982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6.2512820512820468</v>
      </c>
      <c r="CT93" s="13">
        <f>IF('Données projet'!$A$140&gt;35,CT92+CS93-DB92,IF(A93&lt;'Données projet'!$A$140,$CQ$205^A93,IF(A93='Données projet'!$A$140,'Données projet'!$B$140,CT92+CS93-DB92)))</f>
        <v>241.23846153846154</v>
      </c>
      <c r="CU93" s="18">
        <f>CT93*VLOOKUP('Données projet'!$B$13,Paramètres!$A$1:$I$89,3,0)*VLOOKUP('Données projet'!$B$13,Paramètres!$A$1:$I$89,5,0)</f>
        <v>259.66908000000001</v>
      </c>
      <c r="CV93" s="14">
        <f t="shared" si="95"/>
        <v>62.651833957294748</v>
      </c>
      <c r="CW93" s="22">
        <f t="shared" si="67"/>
        <v>561.37559180895494</v>
      </c>
      <c r="CX93" s="62">
        <f t="shared" si="68"/>
        <v>854.70892514228831</v>
      </c>
      <c r="CY93" s="62">
        <f ca="1">AVERAGE(OFFSET($CX$3,0,0,'Données projet'!$E$13+1,1))-AVERAGE(OFFSET($H$3,0,0,'Données projet'!$E$13+1,1))</f>
        <v>524.55238798353344</v>
      </c>
      <c r="CZ93" s="62">
        <f t="shared" si="96"/>
        <v>216.94512104983255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-2.0395418687257919E-13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260.01925143568263</v>
      </c>
      <c r="T94" s="62">
        <f t="shared" si="88"/>
        <v>269.95358755269427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-2.8421709430404007E-13</v>
      </c>
      <c r="AJ94" s="14">
        <f>AI94*VLOOKUP('Données projet'!$B$10,Paramètres!$A$1:$I$89,3,0)*VLOOKUP('Données projet'!$B$10,Paramètres!$A$1:$I$89,5,0)</f>
        <v>-1.69961822393816E-13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289.24721145176682</v>
      </c>
      <c r="AO94" s="62">
        <f t="shared" si="90"/>
        <v>229.06617320689003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>
        <f>VLOOKUP(A94,'Données projet'!$A$87:$I$107,2,0)</f>
        <v>345.63846153846151</v>
      </c>
      <c r="BB94" s="13">
        <f>VLOOKUP(A94,'Données projet'!$A$87:$I$107,9,0)</f>
        <v>8.6692307692307597</v>
      </c>
      <c r="BC94" s="13">
        <f t="array" ref="BC94">INDEX(BB:BB,MIN(IF(ISNUMBER(BB94:BB290),ROW(BB94:BB290),"")))</f>
        <v>8.6692307692307597</v>
      </c>
      <c r="BD94" s="13">
        <f>IF('Données projet'!$A$88&gt;35,BD93+BC94-BL93,IF(A94&lt;'Données projet'!$A$88,$BA$205^A94,IF(A94='Données projet'!$A$88,'Données projet'!$B$88,BD93+BC94-BL93)))</f>
        <v>345.63846153846157</v>
      </c>
      <c r="BE94" s="14">
        <f>BD94*VLOOKUP('Données projet'!$B$11,Paramètres!$A$1:$I$89,3,0)*VLOOKUP('Données projet'!$B$11,Paramètres!$A$1:$I$89,5,0)</f>
        <v>161.75880000000001</v>
      </c>
      <c r="BF94" s="14">
        <f t="shared" si="91"/>
        <v>41.23896489267198</v>
      </c>
      <c r="BG94" s="22">
        <f t="shared" si="61"/>
        <v>353.55444052140371</v>
      </c>
      <c r="BH94" s="62">
        <f t="shared" si="62"/>
        <v>646.88777385473702</v>
      </c>
      <c r="BI94" s="62">
        <f ca="1">AVERAGE(OFFSET($BH$3,0,0,'Données projet'!$E$11+1,1))-AVERAGE(OFFSET($H$3,0,0,'Données projet'!$E$11+1,1))</f>
        <v>284.72381074796073</v>
      </c>
      <c r="BJ94" s="62">
        <f t="shared" si="92"/>
        <v>190.4880882944471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6.2512820512820468</v>
      </c>
      <c r="BY94" s="13">
        <f>IF('Données projet'!$A$114&gt;35,BY93+BX94-CG93,IF(A94&lt;'Données projet'!$A$114,$BV$205^A94,IF(A94='Données projet'!$A$114,'Données projet'!$B$114,BY93+BX94-CG93)))</f>
        <v>247.48974358974357</v>
      </c>
      <c r="BZ94" s="14">
        <f>BY94*VLOOKUP('Données projet'!$B$12,Paramètres!$A$1:$I$89,3,0)*VLOOKUP('Données projet'!$B$12,Paramètres!$A$1:$I$89,5,0)</f>
        <v>250.95459999999997</v>
      </c>
      <c r="CA94" s="14">
        <f t="shared" si="93"/>
        <v>60.790308712481995</v>
      </c>
      <c r="CB94" s="22">
        <f t="shared" si="64"/>
        <v>542.95571600757273</v>
      </c>
      <c r="CC94" s="62">
        <f t="shared" si="65"/>
        <v>836.2890493409061</v>
      </c>
      <c r="CD94" s="62">
        <f ca="1">AVERAGE(OFFSET($CC$3,0,0,'Données projet'!$E$12+1,1))-AVERAGE(OFFSET($H$3,0,0,'Données projet'!$E$12+1,1))</f>
        <v>496.71400086768705</v>
      </c>
      <c r="CE94" s="62">
        <f t="shared" si="94"/>
        <v>206.75063396134982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6.2512820512820468</v>
      </c>
      <c r="CT94" s="13">
        <f>IF('Données projet'!$A$140&gt;35,CT93+CS94-DB93,IF(A94&lt;'Données projet'!$A$140,$CQ$205^A94,IF(A94='Données projet'!$A$140,'Données projet'!$B$140,CT93+CS94-DB93)))</f>
        <v>247.48974358974357</v>
      </c>
      <c r="CU94" s="18">
        <f>CT94*VLOOKUP('Données projet'!$B$13,Paramètres!$A$1:$I$89,3,0)*VLOOKUP('Données projet'!$B$13,Paramètres!$A$1:$I$89,5,0)</f>
        <v>266.39795999999996</v>
      </c>
      <c r="CV94" s="14">
        <f t="shared" si="95"/>
        <v>64.084228978231948</v>
      </c>
      <c r="CW94" s="22">
        <f t="shared" si="67"/>
        <v>575.5898124704205</v>
      </c>
      <c r="CX94" s="62">
        <f t="shared" si="68"/>
        <v>868.92314580375387</v>
      </c>
      <c r="CY94" s="62">
        <f ca="1">AVERAGE(OFFSET($CX$3,0,0,'Données projet'!$E$13+1,1))-AVERAGE(OFFSET($H$3,0,0,'Données projet'!$E$13+1,1))</f>
        <v>524.55238798353344</v>
      </c>
      <c r="CZ94" s="62">
        <f t="shared" si="96"/>
        <v>216.94512104983255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-2.0395418687257919E-13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260.01925143568263</v>
      </c>
      <c r="T95" s="62">
        <f t="shared" si="88"/>
        <v>269.95358755269427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-2.8421709430404007E-13</v>
      </c>
      <c r="AJ95" s="14">
        <f>AI95*VLOOKUP('Données projet'!$B$10,Paramètres!$A$1:$I$89,3,0)*VLOOKUP('Données projet'!$B$10,Paramètres!$A$1:$I$89,5,0)</f>
        <v>-1.69961822393816E-13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289.24721145176682</v>
      </c>
      <c r="AO95" s="62">
        <f t="shared" si="90"/>
        <v>229.06617320689003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8.7730769230769283</v>
      </c>
      <c r="BD95" s="13">
        <f>IF('Données projet'!$A$88&gt;35,BD94+BC95-BL94,IF(A95&lt;'Données projet'!$A$88,$BA$205^A95,IF(A95='Données projet'!$A$88,'Données projet'!$B$88,BD94+BC95-BL94)))</f>
        <v>354.4115384615385</v>
      </c>
      <c r="BE95" s="14">
        <f>BD95*VLOOKUP('Données projet'!$B$11,Paramètres!$A$1:$I$89,3,0)*VLOOKUP('Données projet'!$B$11,Paramètres!$A$1:$I$89,5,0)</f>
        <v>165.86460000000002</v>
      </c>
      <c r="BF95" s="14">
        <f t="shared" si="91"/>
        <v>42.162508255168468</v>
      </c>
      <c r="BG95" s="22">
        <f t="shared" si="61"/>
        <v>362.31388021108506</v>
      </c>
      <c r="BH95" s="62">
        <f t="shared" si="62"/>
        <v>655.64721354441838</v>
      </c>
      <c r="BI95" s="62">
        <f ca="1">AVERAGE(OFFSET($BH$3,0,0,'Données projet'!$E$11+1,1))-AVERAGE(OFFSET($H$3,0,0,'Données projet'!$E$11+1,1))</f>
        <v>284.72381074796073</v>
      </c>
      <c r="BJ95" s="62">
        <f t="shared" si="92"/>
        <v>190.4880882944471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6.2512820512820468</v>
      </c>
      <c r="BY95" s="13">
        <f>IF('Données projet'!$A$114&gt;35,BY94+BX95-CG94,IF(A95&lt;'Données projet'!$A$114,$BV$205^A95,IF(A95='Données projet'!$A$114,'Données projet'!$B$114,BY94+BX95-CG94)))</f>
        <v>253.7410256410256</v>
      </c>
      <c r="BZ95" s="14">
        <f>BY95*VLOOKUP('Données projet'!$B$12,Paramètres!$A$1:$I$89,3,0)*VLOOKUP('Données projet'!$B$12,Paramètres!$A$1:$I$89,5,0)</f>
        <v>257.29339999999996</v>
      </c>
      <c r="CA95" s="14">
        <f t="shared" si="93"/>
        <v>62.145089306079349</v>
      </c>
      <c r="CB95" s="22">
        <f t="shared" si="64"/>
        <v>556.35536887475484</v>
      </c>
      <c r="CC95" s="62">
        <f t="shared" si="65"/>
        <v>849.68870220808822</v>
      </c>
      <c r="CD95" s="62">
        <f ca="1">AVERAGE(OFFSET($CC$3,0,0,'Données projet'!$E$12+1,1))-AVERAGE(OFFSET($H$3,0,0,'Données projet'!$E$12+1,1))</f>
        <v>496.71400086768705</v>
      </c>
      <c r="CE95" s="62">
        <f t="shared" si="94"/>
        <v>206.75063396134982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6.2512820512820468</v>
      </c>
      <c r="CT95" s="13">
        <f>IF('Données projet'!$A$140&gt;35,CT94+CS95-DB94,IF(A95&lt;'Données projet'!$A$140,$CQ$205^A95,IF(A95='Données projet'!$A$140,'Données projet'!$B$140,CT94+CS95-DB94)))</f>
        <v>253.7410256410256</v>
      </c>
      <c r="CU95" s="18">
        <f>CT95*VLOOKUP('Données projet'!$B$13,Paramètres!$A$1:$I$89,3,0)*VLOOKUP('Données projet'!$B$13,Paramètres!$A$1:$I$89,5,0)</f>
        <v>273.12683999999996</v>
      </c>
      <c r="CV95" s="14">
        <f t="shared" si="95"/>
        <v>65.512418300085713</v>
      </c>
      <c r="CW95" s="22">
        <f t="shared" si="67"/>
        <v>589.79670820598255</v>
      </c>
      <c r="CX95" s="62">
        <f t="shared" si="68"/>
        <v>883.13004153931593</v>
      </c>
      <c r="CY95" s="62">
        <f ca="1">AVERAGE(OFFSET($CX$3,0,0,'Données projet'!$E$13+1,1))-AVERAGE(OFFSET($H$3,0,0,'Données projet'!$E$13+1,1))</f>
        <v>524.55238798353344</v>
      </c>
      <c r="CZ95" s="62">
        <f t="shared" si="96"/>
        <v>216.94512104983255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-2.0395418687257919E-13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260.01925143568263</v>
      </c>
      <c r="T96" s="62">
        <f t="shared" si="88"/>
        <v>269.95358755269427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-2.8421709430404007E-13</v>
      </c>
      <c r="AJ96" s="14">
        <f>AI96*VLOOKUP('Données projet'!$B$10,Paramètres!$A$1:$I$89,3,0)*VLOOKUP('Données projet'!$B$10,Paramètres!$A$1:$I$89,5,0)</f>
        <v>-1.69961822393816E-13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289.24721145176682</v>
      </c>
      <c r="AO96" s="62">
        <f t="shared" si="90"/>
        <v>229.06617320689003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8.7730769230769283</v>
      </c>
      <c r="BD96" s="13">
        <f>IF('Données projet'!$A$88&gt;35,BD95+BC96-BL95,IF(A96&lt;'Données projet'!$A$88,$BA$205^A96,IF(A96='Données projet'!$A$88,'Données projet'!$B$88,BD95+BC96-BL95)))</f>
        <v>363.18461538461543</v>
      </c>
      <c r="BE96" s="14">
        <f>BD96*VLOOKUP('Données projet'!$B$11,Paramètres!$A$1:$I$89,3,0)*VLOOKUP('Données projet'!$B$11,Paramètres!$A$1:$I$89,5,0)</f>
        <v>169.97040000000001</v>
      </c>
      <c r="BF96" s="14">
        <f t="shared" si="91"/>
        <v>43.083394102790791</v>
      </c>
      <c r="BG96" s="22">
        <f t="shared" si="61"/>
        <v>371.06869139569397</v>
      </c>
      <c r="BH96" s="62">
        <f t="shared" si="62"/>
        <v>664.40202472902729</v>
      </c>
      <c r="BI96" s="62">
        <f ca="1">AVERAGE(OFFSET($BH$3,0,0,'Données projet'!$E$11+1,1))-AVERAGE(OFFSET($H$3,0,0,'Données projet'!$E$11+1,1))</f>
        <v>284.72381074796073</v>
      </c>
      <c r="BJ96" s="62">
        <f t="shared" si="92"/>
        <v>190.4880882944471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6.2512820512820468</v>
      </c>
      <c r="BY96" s="13">
        <f>IF('Données projet'!$A$114&gt;35,BY95+BX96-CG95,IF(A96&lt;'Données projet'!$A$114,$BV$205^A96,IF(A96='Données projet'!$A$114,'Données projet'!$B$114,BY95+BX96-CG95)))</f>
        <v>259.99230769230763</v>
      </c>
      <c r="BZ96" s="14">
        <f>BY96*VLOOKUP('Données projet'!$B$12,Paramètres!$A$1:$I$89,3,0)*VLOOKUP('Données projet'!$B$12,Paramètres!$A$1:$I$89,5,0)</f>
        <v>263.63219999999995</v>
      </c>
      <c r="CA96" s="14">
        <f t="shared" si="93"/>
        <v>63.495989966712656</v>
      </c>
      <c r="CB96" s="22">
        <f t="shared" si="64"/>
        <v>569.74826419202441</v>
      </c>
      <c r="CC96" s="62">
        <f t="shared" si="65"/>
        <v>863.08159752535767</v>
      </c>
      <c r="CD96" s="62">
        <f ca="1">AVERAGE(OFFSET($CC$3,0,0,'Données projet'!$E$12+1,1))-AVERAGE(OFFSET($H$3,0,0,'Données projet'!$E$12+1,1))</f>
        <v>496.71400086768705</v>
      </c>
      <c r="CE96" s="62">
        <f t="shared" si="94"/>
        <v>206.75063396134982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6.2512820512820468</v>
      </c>
      <c r="CT96" s="13">
        <f>IF('Données projet'!$A$140&gt;35,CT95+CS96-DB95,IF(A96&lt;'Données projet'!$A$140,$CQ$205^A96,IF(A96='Données projet'!$A$140,'Données projet'!$B$140,CT95+CS96-DB95)))</f>
        <v>259.99230769230763</v>
      </c>
      <c r="CU96" s="18">
        <f>CT96*VLOOKUP('Données projet'!$B$13,Paramètres!$A$1:$I$89,3,0)*VLOOKUP('Données projet'!$B$13,Paramètres!$A$1:$I$89,5,0)</f>
        <v>279.85571999999991</v>
      </c>
      <c r="CV96" s="14">
        <f t="shared" si="95"/>
        <v>66.936517454974378</v>
      </c>
      <c r="CW96" s="22">
        <f t="shared" si="67"/>
        <v>603.9964802340802</v>
      </c>
      <c r="CX96" s="62">
        <f t="shared" si="68"/>
        <v>897.32981356741357</v>
      </c>
      <c r="CY96" s="62">
        <f ca="1">AVERAGE(OFFSET($CX$3,0,0,'Données projet'!$E$13+1,1))-AVERAGE(OFFSET($H$3,0,0,'Données projet'!$E$13+1,1))</f>
        <v>524.55238798353344</v>
      </c>
      <c r="CZ96" s="62">
        <f t="shared" si="96"/>
        <v>216.94512104983255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-2.0395418687257919E-13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260.01925143568263</v>
      </c>
      <c r="T97" s="62">
        <f t="shared" si="88"/>
        <v>269.95358755269427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-2.8421709430404007E-13</v>
      </c>
      <c r="AJ97" s="14">
        <f>AI97*VLOOKUP('Données projet'!$B$10,Paramètres!$A$1:$I$89,3,0)*VLOOKUP('Données projet'!$B$10,Paramètres!$A$1:$I$89,5,0)</f>
        <v>-1.69961822393816E-13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289.24721145176682</v>
      </c>
      <c r="AO97" s="62">
        <f t="shared" si="90"/>
        <v>229.06617320689003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8.7730769230769283</v>
      </c>
      <c r="BD97" s="13">
        <f>IF('Données projet'!$A$88&gt;35,BD96+BC97-BL96,IF(A97&lt;'Données projet'!$A$88,$BA$205^A97,IF(A97='Données projet'!$A$88,'Données projet'!$B$88,BD96+BC97-BL96)))</f>
        <v>371.95769230769235</v>
      </c>
      <c r="BE97" s="14">
        <f>BD97*VLOOKUP('Données projet'!$B$11,Paramètres!$A$1:$I$89,3,0)*VLOOKUP('Données projet'!$B$11,Paramètres!$A$1:$I$89,5,0)</f>
        <v>174.0762</v>
      </c>
      <c r="BF97" s="14">
        <f t="shared" si="91"/>
        <v>44.001694016087448</v>
      </c>
      <c r="BG97" s="22">
        <f t="shared" si="61"/>
        <v>379.81899874468559</v>
      </c>
      <c r="BH97" s="62">
        <f t="shared" si="62"/>
        <v>673.15233207801884</v>
      </c>
      <c r="BI97" s="62">
        <f ca="1">AVERAGE(OFFSET($BH$3,0,0,'Données projet'!$E$11+1,1))-AVERAGE(OFFSET($H$3,0,0,'Données projet'!$E$11+1,1))</f>
        <v>284.72381074796073</v>
      </c>
      <c r="BJ97" s="62">
        <f t="shared" si="92"/>
        <v>190.4880882944471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>
        <f>VLOOKUP(A97,'Données projet'!$A$113:$I$133,2,0)</f>
        <v>266.24358974358972</v>
      </c>
      <c r="BW97" s="13">
        <f>VLOOKUP(A97,'Données projet'!$A$113:$I$133,9,0)</f>
        <v>6.2512820512820468</v>
      </c>
      <c r="BX97" s="13">
        <f t="array" ref="BX97">INDEX(BW:BW,MIN(IF(ISNUMBER(BW97:BW293),ROW(BW97:BW293),"")))</f>
        <v>6.2512820512820468</v>
      </c>
      <c r="BY97" s="13">
        <f>IF('Données projet'!$A$114&gt;35,BY96+BX97-CG96,IF(A97&lt;'Données projet'!$A$114,$BV$205^A97,IF(A97='Données projet'!$A$114,'Données projet'!$B$114,BY96+BX97-CG96)))</f>
        <v>266.24358974358967</v>
      </c>
      <c r="BZ97" s="14">
        <f>BY97*VLOOKUP('Données projet'!$B$12,Paramètres!$A$1:$I$89,3,0)*VLOOKUP('Données projet'!$B$12,Paramètres!$A$1:$I$89,5,0)</f>
        <v>269.97099999999995</v>
      </c>
      <c r="CA97" s="14">
        <f t="shared" si="93"/>
        <v>64.843114717453616</v>
      </c>
      <c r="CB97" s="22">
        <f t="shared" si="64"/>
        <v>583.13458313289823</v>
      </c>
      <c r="CC97" s="62">
        <f t="shared" si="65"/>
        <v>876.4679164662316</v>
      </c>
      <c r="CD97" s="62">
        <f ca="1">AVERAGE(OFFSET($CC$3,0,0,'Données projet'!$E$12+1,1))-AVERAGE(OFFSET($H$3,0,0,'Données projet'!$E$12+1,1))</f>
        <v>496.71400086768705</v>
      </c>
      <c r="CE97" s="62">
        <f t="shared" si="94"/>
        <v>206.75063396134982</v>
      </c>
      <c r="CF97" s="16">
        <f>IF(ISNA(VLOOKUP(A97,'Données projet'!$A$113:$I$133,3,0)),0,VLOOKUP(A97,'Données projet'!$A$113:$I$133,3,0))</f>
        <v>7</v>
      </c>
      <c r="CG97" s="16">
        <f>IF(ISNA(VLOOKUP(A97,'Données projet'!$A$113:$I$133,4,0)),0,VLOOKUP(A97,'Données projet'!$A$113:$I$133,4,0))</f>
        <v>47.243589743589745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>
        <f>VLOOKUP(A97,'Données projet'!$A$139:$I$159,2,0)</f>
        <v>266.24358974358972</v>
      </c>
      <c r="CR97" s="13">
        <f>VLOOKUP(A97,'Données projet'!$A$139:$I$159,9,0)</f>
        <v>6.2512820512820468</v>
      </c>
      <c r="CS97" s="13">
        <f t="array" ref="CS97">INDEX(CR:CR,MIN(IF(ISNUMBER(CR97:CR293),ROW(CR97:CR293),"")))</f>
        <v>6.2512820512820468</v>
      </c>
      <c r="CT97" s="13">
        <f>IF('Données projet'!$A$140&gt;35,CT96+CS97-DB96,IF(A97&lt;'Données projet'!$A$140,$CQ$205^A97,IF(A97='Données projet'!$A$140,'Données projet'!$B$140,CT96+CS97-DB96)))</f>
        <v>266.24358974358967</v>
      </c>
      <c r="CU97" s="18">
        <f>CT97*VLOOKUP('Données projet'!$B$13,Paramètres!$A$1:$I$89,3,0)*VLOOKUP('Données projet'!$B$13,Paramètres!$A$1:$I$89,5,0)</f>
        <v>286.58459999999991</v>
      </c>
      <c r="CV97" s="14">
        <f t="shared" si="95"/>
        <v>68.356636102455454</v>
      </c>
      <c r="CW97" s="22">
        <f t="shared" si="67"/>
        <v>618.18931954510981</v>
      </c>
      <c r="CX97" s="62">
        <f t="shared" si="68"/>
        <v>911.52265287844307</v>
      </c>
      <c r="CY97" s="62">
        <f ca="1">AVERAGE(OFFSET($CX$3,0,0,'Données projet'!$E$13+1,1))-AVERAGE(OFFSET($H$3,0,0,'Données projet'!$E$13+1,1))</f>
        <v>524.55238798353344</v>
      </c>
      <c r="CZ97" s="62">
        <f t="shared" si="96"/>
        <v>216.94512104983255</v>
      </c>
      <c r="DA97" s="16">
        <f>IF(ISNA(VLOOKUP(A97,'Données projet'!$A$139:$I$159,3,0)),0,VLOOKUP(A97,'Données projet'!$A$139:$I$159,3,0))</f>
        <v>7</v>
      </c>
      <c r="DB97" s="16">
        <f>IF(ISNA(VLOOKUP(A97,'Données projet'!$A$139:$I$159,4,0)),0,VLOOKUP(A97,'Données projet'!$A$139:$I$159,4,0))</f>
        <v>47.243589743589745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-2.0395418687257919E-13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260.01925143568263</v>
      </c>
      <c r="T98" s="62">
        <f t="shared" si="88"/>
        <v>269.95358755269427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-2.8421709430404007E-13</v>
      </c>
      <c r="AJ98" s="14">
        <f>AI98*VLOOKUP('Données projet'!$B$10,Paramètres!$A$1:$I$89,3,0)*VLOOKUP('Données projet'!$B$10,Paramètres!$A$1:$I$89,5,0)</f>
        <v>-1.69961822393816E-13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289.24721145176682</v>
      </c>
      <c r="AO98" s="62">
        <f t="shared" si="90"/>
        <v>229.06617320689003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8.7730769230769283</v>
      </c>
      <c r="BD98" s="13">
        <f>IF('Données projet'!$A$88&gt;35,BD97+BC98-BL97,IF(A98&lt;'Données projet'!$A$88,$BA$205^A98,IF(A98='Données projet'!$A$88,'Données projet'!$B$88,BD97+BC98-BL97)))</f>
        <v>380.73076923076928</v>
      </c>
      <c r="BE98" s="14">
        <f>BD98*VLOOKUP('Données projet'!$B$11,Paramètres!$A$1:$I$89,3,0)*VLOOKUP('Données projet'!$B$11,Paramètres!$A$1:$I$89,5,0)</f>
        <v>178.18200000000004</v>
      </c>
      <c r="BF98" s="14">
        <f t="shared" si="91"/>
        <v>44.917476006361952</v>
      </c>
      <c r="BG98" s="22">
        <f t="shared" si="61"/>
        <v>388.5649207110805</v>
      </c>
      <c r="BH98" s="62">
        <f t="shared" si="62"/>
        <v>681.89825404441376</v>
      </c>
      <c r="BI98" s="62">
        <f ca="1">AVERAGE(OFFSET($BH$3,0,0,'Données projet'!$E$11+1,1))-AVERAGE(OFFSET($H$3,0,0,'Données projet'!$E$11+1,1))</f>
        <v>284.72381074796073</v>
      </c>
      <c r="BJ98" s="62">
        <f t="shared" si="92"/>
        <v>190.4880882944471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6.071794871794876</v>
      </c>
      <c r="BY98" s="13">
        <f>IF('Données projet'!$A$114&gt;35,BY97+BX98-CG97,IF(A98&lt;'Données projet'!$A$114,$BV$205^A98,IF(A98='Données projet'!$A$114,'Données projet'!$B$114,BY97+BX98-CG97)))</f>
        <v>225.07179487179476</v>
      </c>
      <c r="BZ98" s="14">
        <f>BY98*VLOOKUP('Données projet'!$B$12,Paramètres!$A$1:$I$89,3,0)*VLOOKUP('Données projet'!$B$12,Paramètres!$A$1:$I$89,5,0)</f>
        <v>228.22279999999989</v>
      </c>
      <c r="CA98" s="14">
        <f t="shared" si="93"/>
        <v>55.898236030634266</v>
      </c>
      <c r="CB98" s="22">
        <f t="shared" si="64"/>
        <v>494.84413775335452</v>
      </c>
      <c r="CC98" s="62">
        <f t="shared" si="65"/>
        <v>788.17747108668777</v>
      </c>
      <c r="CD98" s="62">
        <f ca="1">AVERAGE(OFFSET($CC$3,0,0,'Données projet'!$E$12+1,1))-AVERAGE(OFFSET($H$3,0,0,'Données projet'!$E$12+1,1))</f>
        <v>496.71400086768705</v>
      </c>
      <c r="CE98" s="62">
        <f t="shared" si="94"/>
        <v>206.75063396134982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6.071794871794876</v>
      </c>
      <c r="CT98" s="13">
        <f>IF('Données projet'!$A$140&gt;35,CT97+CS98-DB97,IF(A98&lt;'Données projet'!$A$140,$CQ$205^A98,IF(A98='Données projet'!$A$140,'Données projet'!$B$140,CT97+CS98-DB97)))</f>
        <v>225.07179487179476</v>
      </c>
      <c r="CU98" s="18">
        <f>CT98*VLOOKUP('Données projet'!$B$13,Paramètres!$A$1:$I$89,3,0)*VLOOKUP('Données projet'!$B$13,Paramètres!$A$1:$I$89,5,0)</f>
        <v>242.26727999999989</v>
      </c>
      <c r="CV98" s="14">
        <f t="shared" si="95"/>
        <v>58.927079548304611</v>
      </c>
      <c r="CW98" s="22">
        <f t="shared" si="67"/>
        <v>524.58017621329691</v>
      </c>
      <c r="CX98" s="62">
        <f t="shared" si="68"/>
        <v>817.91350954663017</v>
      </c>
      <c r="CY98" s="62">
        <f ca="1">AVERAGE(OFFSET($CX$3,0,0,'Données projet'!$E$13+1,1))-AVERAGE(OFFSET($H$3,0,0,'Données projet'!$E$13+1,1))</f>
        <v>524.55238798353344</v>
      </c>
      <c r="CZ98" s="62">
        <f t="shared" si="96"/>
        <v>216.94512104983255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-2.0395418687257919E-13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260.01925143568263</v>
      </c>
      <c r="T99" s="62">
        <f t="shared" si="88"/>
        <v>269.95358755269427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-2.8421709430404007E-13</v>
      </c>
      <c r="AJ99" s="14">
        <f>AI99*VLOOKUP('Données projet'!$B$10,Paramètres!$A$1:$I$89,3,0)*VLOOKUP('Données projet'!$B$10,Paramètres!$A$1:$I$89,5,0)</f>
        <v>-1.69961822393816E-13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289.24721145176682</v>
      </c>
      <c r="AO99" s="62">
        <f t="shared" si="90"/>
        <v>229.06617320689003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8.7730769230769283</v>
      </c>
      <c r="BD99" s="13">
        <f>IF('Données projet'!$A$88&gt;35,BD98+BC99-BL98,IF(A99&lt;'Données projet'!$A$88,$BA$205^A99,IF(A99='Données projet'!$A$88,'Données projet'!$B$88,BD98+BC99-BL98)))</f>
        <v>389.50384615384621</v>
      </c>
      <c r="BE99" s="14">
        <f>BD99*VLOOKUP('Données projet'!$B$11,Paramètres!$A$1:$I$89,3,0)*VLOOKUP('Données projet'!$B$11,Paramètres!$A$1:$I$89,5,0)</f>
        <v>182.28780000000003</v>
      </c>
      <c r="BF99" s="14">
        <f t="shared" si="91"/>
        <v>45.830804771728978</v>
      </c>
      <c r="BG99" s="22">
        <f t="shared" si="61"/>
        <v>397.30656997742796</v>
      </c>
      <c r="BH99" s="62">
        <f t="shared" si="62"/>
        <v>690.63990331076127</v>
      </c>
      <c r="BI99" s="62">
        <f ca="1">AVERAGE(OFFSET($BH$3,0,0,'Données projet'!$E$11+1,1))-AVERAGE(OFFSET($H$3,0,0,'Données projet'!$E$11+1,1))</f>
        <v>284.72381074796073</v>
      </c>
      <c r="BJ99" s="62">
        <f t="shared" si="92"/>
        <v>190.4880882944471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6.071794871794876</v>
      </c>
      <c r="BY99" s="13">
        <f>IF('Données projet'!$A$114&gt;35,BY98+BX99-CG98,IF(A99&lt;'Données projet'!$A$114,$BV$205^A99,IF(A99='Données projet'!$A$114,'Données projet'!$B$114,BY98+BX99-CG98)))</f>
        <v>231.14358974358964</v>
      </c>
      <c r="BZ99" s="14">
        <f>BY99*VLOOKUP('Données projet'!$B$12,Paramètres!$A$1:$I$89,3,0)*VLOOKUP('Données projet'!$B$12,Paramètres!$A$1:$I$89,5,0)</f>
        <v>234.37959999999993</v>
      </c>
      <c r="CA99" s="14">
        <f t="shared" si="93"/>
        <v>57.228611346773143</v>
      </c>
      <c r="CB99" s="22">
        <f t="shared" si="64"/>
        <v>507.88430142896306</v>
      </c>
      <c r="CC99" s="62">
        <f t="shared" si="65"/>
        <v>801.21763476229637</v>
      </c>
      <c r="CD99" s="62">
        <f ca="1">AVERAGE(OFFSET($CC$3,0,0,'Données projet'!$E$12+1,1))-AVERAGE(OFFSET($H$3,0,0,'Données projet'!$E$12+1,1))</f>
        <v>496.71400086768705</v>
      </c>
      <c r="CE99" s="62">
        <f t="shared" si="94"/>
        <v>206.75063396134982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6.071794871794876</v>
      </c>
      <c r="CT99" s="13">
        <f>IF('Données projet'!$A$140&gt;35,CT98+CS99-DB98,IF(A99&lt;'Données projet'!$A$140,$CQ$205^A99,IF(A99='Données projet'!$A$140,'Données projet'!$B$140,CT98+CS99-DB98)))</f>
        <v>231.14358974358964</v>
      </c>
      <c r="CU99" s="18">
        <f>CT99*VLOOKUP('Données projet'!$B$13,Paramètres!$A$1:$I$89,3,0)*VLOOKUP('Données projet'!$B$13,Paramètres!$A$1:$I$89,5,0)</f>
        <v>248.8029599999999</v>
      </c>
      <c r="CV99" s="14">
        <f t="shared" si="95"/>
        <v>60.329541193789332</v>
      </c>
      <c r="CW99" s="22">
        <f t="shared" si="67"/>
        <v>538.40577291251623</v>
      </c>
      <c r="CX99" s="62">
        <f t="shared" si="68"/>
        <v>831.7391062458496</v>
      </c>
      <c r="CY99" s="62">
        <f ca="1">AVERAGE(OFFSET($CX$3,0,0,'Données projet'!$E$13+1,1))-AVERAGE(OFFSET($H$3,0,0,'Données projet'!$E$13+1,1))</f>
        <v>524.55238798353344</v>
      </c>
      <c r="CZ99" s="62">
        <f t="shared" si="96"/>
        <v>216.94512104983255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-2.0395418687257919E-13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260.01925143568263</v>
      </c>
      <c r="T100" s="62">
        <f t="shared" si="88"/>
        <v>269.95358755269427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-2.8421709430404007E-13</v>
      </c>
      <c r="AJ100" s="14">
        <f>AI100*VLOOKUP('Données projet'!$B$10,Paramètres!$A$1:$I$89,3,0)*VLOOKUP('Données projet'!$B$10,Paramètres!$A$1:$I$89,5,0)</f>
        <v>-1.69961822393816E-13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289.24721145176682</v>
      </c>
      <c r="AO100" s="62">
        <f t="shared" si="90"/>
        <v>229.06617320689003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>
        <f>VLOOKUP(A100,'Données projet'!$A$87:$I$107,2,0)</f>
        <v>398.27692307692308</v>
      </c>
      <c r="BB100" s="13">
        <f>VLOOKUP(A100,'Données projet'!$A$87:$I$107,9,0)</f>
        <v>8.7730769230769283</v>
      </c>
      <c r="BC100" s="13">
        <f t="array" ref="BC100">INDEX(BB:BB,MIN(IF(ISNUMBER(BB100:BB296),ROW(BB100:BB296),"")))</f>
        <v>8.7730769230769283</v>
      </c>
      <c r="BD100" s="13">
        <f>IF('Données projet'!$A$88&gt;35,BD99+BC100-BL99,IF(A100&lt;'Données projet'!$A$88,$BA$205^A100,IF(A100='Données projet'!$A$88,'Données projet'!$B$88,BD99+BC100-BL99)))</f>
        <v>398.27692307692314</v>
      </c>
      <c r="BE100" s="14">
        <f>BD100*VLOOKUP('Données projet'!$B$11,Paramètres!$A$1:$I$89,3,0)*VLOOKUP('Données projet'!$B$11,Paramètres!$A$1:$I$89,5,0)</f>
        <v>186.39360000000002</v>
      </c>
      <c r="BF100" s="14">
        <f t="shared" si="91"/>
        <v>46.741741929451358</v>
      </c>
      <c r="BG100" s="22">
        <f t="shared" si="61"/>
        <v>406.04405386046113</v>
      </c>
      <c r="BH100" s="62">
        <f t="shared" si="62"/>
        <v>699.37738719379445</v>
      </c>
      <c r="BI100" s="62">
        <f ca="1">AVERAGE(OFFSET($BH$3,0,0,'Données projet'!$E$11+1,1))-AVERAGE(OFFSET($H$3,0,0,'Données projet'!$E$11+1,1))</f>
        <v>284.72381074796073</v>
      </c>
      <c r="BJ100" s="62">
        <f t="shared" si="92"/>
        <v>190.4880882944471</v>
      </c>
      <c r="BK100" s="16">
        <f>IF(ISNA(VLOOKUP(A100,'Données projet'!$A$87:$I$107,3,0)),0,VLOOKUP(A100,'Données projet'!$A$87:$I$107,3,0))</f>
        <v>5</v>
      </c>
      <c r="BL100" s="16">
        <f>IF(ISNA(VLOOKUP(A100,'Données projet'!$A$87:$I$107,4,0)),0,VLOOKUP(A100,'Données projet'!$A$87:$I$107,4,0))</f>
        <v>79.669230769230765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6.071794871794876</v>
      </c>
      <c r="BY100" s="13">
        <f>IF('Données projet'!$A$114&gt;35,BY99+BX100-CG99,IF(A100&lt;'Données projet'!$A$114,$BV$205^A100,IF(A100='Données projet'!$A$114,'Données projet'!$B$114,BY99+BX100-CG99)))</f>
        <v>237.21538461538452</v>
      </c>
      <c r="BZ100" s="14">
        <f>BY100*VLOOKUP('Données projet'!$B$12,Paramètres!$A$1:$I$89,3,0)*VLOOKUP('Données projet'!$B$12,Paramètres!$A$1:$I$89,5,0)</f>
        <v>240.53639999999993</v>
      </c>
      <c r="CA100" s="14">
        <f t="shared" si="93"/>
        <v>58.554924555634237</v>
      </c>
      <c r="CB100" s="22">
        <f t="shared" si="64"/>
        <v>520.9173902677295</v>
      </c>
      <c r="CC100" s="62">
        <f t="shared" si="65"/>
        <v>814.25072360106287</v>
      </c>
      <c r="CD100" s="62">
        <f ca="1">AVERAGE(OFFSET($CC$3,0,0,'Données projet'!$E$12+1,1))-AVERAGE(OFFSET($H$3,0,0,'Données projet'!$E$12+1,1))</f>
        <v>496.71400086768705</v>
      </c>
      <c r="CE100" s="62">
        <f t="shared" si="94"/>
        <v>206.75063396134982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6.071794871794876</v>
      </c>
      <c r="CT100" s="13">
        <f>IF('Données projet'!$A$140&gt;35,CT99+CS100-DB99,IF(A100&lt;'Données projet'!$A$140,$CQ$205^A100,IF(A100='Données projet'!$A$140,'Données projet'!$B$140,CT99+CS100-DB99)))</f>
        <v>237.21538461538452</v>
      </c>
      <c r="CU100" s="18">
        <f>CT100*VLOOKUP('Données projet'!$B$13,Paramètres!$A$1:$I$89,3,0)*VLOOKUP('Données projet'!$B$13,Paramètres!$A$1:$I$89,5,0)</f>
        <v>255.33863999999988</v>
      </c>
      <c r="CV100" s="14">
        <f t="shared" si="95"/>
        <v>61.727720626887944</v>
      </c>
      <c r="CW100" s="22">
        <f t="shared" si="67"/>
        <v>552.2239114251629</v>
      </c>
      <c r="CX100" s="62">
        <f t="shared" si="68"/>
        <v>845.55724475849615</v>
      </c>
      <c r="CY100" s="62">
        <f ca="1">AVERAGE(OFFSET($CX$3,0,0,'Données projet'!$E$13+1,1))-AVERAGE(OFFSET($H$3,0,0,'Données projet'!$E$13+1,1))</f>
        <v>524.55238798353344</v>
      </c>
      <c r="CZ100" s="62">
        <f t="shared" si="96"/>
        <v>216.94512104983255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-2.0395418687257919E-13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260.01925143568263</v>
      </c>
      <c r="T101" s="62">
        <f t="shared" si="88"/>
        <v>269.95358755269427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-2.8421709430404007E-13</v>
      </c>
      <c r="AJ101" s="14">
        <f>AI101*VLOOKUP('Données projet'!$B$10,Paramètres!$A$1:$I$89,3,0)*VLOOKUP('Données projet'!$B$10,Paramètres!$A$1:$I$89,5,0)</f>
        <v>-1.69961822393816E-13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289.24721145176682</v>
      </c>
      <c r="AO101" s="62">
        <f t="shared" si="90"/>
        <v>229.06617320689003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7.8564102564102525</v>
      </c>
      <c r="BD101" s="13">
        <f>IF('Données projet'!$A$88&gt;35,BD100+BC101-BL100,IF(A101&lt;'Données projet'!$A$88,$BA$205^A101,IF(A101='Données projet'!$A$88,'Données projet'!$B$88,BD100+BC101-BL100)))</f>
        <v>326.46410256410263</v>
      </c>
      <c r="BE101" s="14">
        <f>BD101*VLOOKUP('Données projet'!$B$11,Paramètres!$A$1:$I$89,3,0)*VLOOKUP('Données projet'!$B$11,Paramètres!$A$1:$I$89,5,0)</f>
        <v>152.78520000000003</v>
      </c>
      <c r="BF101" s="14">
        <f t="shared" si="91"/>
        <v>39.210852996881968</v>
      </c>
      <c r="BG101" s="22">
        <f t="shared" si="61"/>
        <v>334.39312563623611</v>
      </c>
      <c r="BH101" s="62">
        <f t="shared" si="62"/>
        <v>627.72645896956942</v>
      </c>
      <c r="BI101" s="62">
        <f ca="1">AVERAGE(OFFSET($BH$3,0,0,'Données projet'!$E$11+1,1))-AVERAGE(OFFSET($H$3,0,0,'Données projet'!$E$11+1,1))</f>
        <v>284.72381074796073</v>
      </c>
      <c r="BJ101" s="62">
        <f t="shared" si="92"/>
        <v>190.4880882944471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6.071794871794876</v>
      </c>
      <c r="BY101" s="13">
        <f>IF('Données projet'!$A$114&gt;35,BY100+BX101-CG100,IF(A101&lt;'Données projet'!$A$114,$BV$205^A101,IF(A101='Données projet'!$A$114,'Données projet'!$B$114,BY100+BX101-CG100)))</f>
        <v>243.2871794871794</v>
      </c>
      <c r="BZ101" s="14">
        <f>BY101*VLOOKUP('Données projet'!$B$12,Paramètres!$A$1:$I$89,3,0)*VLOOKUP('Données projet'!$B$12,Paramètres!$A$1:$I$89,5,0)</f>
        <v>246.69319999999993</v>
      </c>
      <c r="CA101" s="14">
        <f t="shared" si="93"/>
        <v>59.877291586894174</v>
      </c>
      <c r="CB101" s="22">
        <f t="shared" si="64"/>
        <v>533.94360618050712</v>
      </c>
      <c r="CC101" s="62">
        <f t="shared" si="65"/>
        <v>827.27693951384049</v>
      </c>
      <c r="CD101" s="62">
        <f ca="1">AVERAGE(OFFSET($CC$3,0,0,'Données projet'!$E$12+1,1))-AVERAGE(OFFSET($H$3,0,0,'Données projet'!$E$12+1,1))</f>
        <v>496.71400086768705</v>
      </c>
      <c r="CE101" s="62">
        <f t="shared" si="94"/>
        <v>206.75063396134982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6.071794871794876</v>
      </c>
      <c r="CT101" s="13">
        <f>IF('Données projet'!$A$140&gt;35,CT100+CS101-DB100,IF(A101&lt;'Données projet'!$A$140,$CQ$205^A101,IF(A101='Données projet'!$A$140,'Données projet'!$B$140,CT100+CS101-DB100)))</f>
        <v>243.2871794871794</v>
      </c>
      <c r="CU101" s="18">
        <f>CT101*VLOOKUP('Données projet'!$B$13,Paramètres!$A$1:$I$89,3,0)*VLOOKUP('Données projet'!$B$13,Paramètres!$A$1:$I$89,5,0)</f>
        <v>261.8743199999999</v>
      </c>
      <c r="CV101" s="14">
        <f t="shared" si="95"/>
        <v>63.121740058921574</v>
      </c>
      <c r="CW101" s="22">
        <f t="shared" si="67"/>
        <v>566.03480460262153</v>
      </c>
      <c r="CX101" s="62">
        <f t="shared" si="68"/>
        <v>859.36813793595479</v>
      </c>
      <c r="CY101" s="62">
        <f ca="1">AVERAGE(OFFSET($CX$3,0,0,'Données projet'!$E$13+1,1))-AVERAGE(OFFSET($H$3,0,0,'Données projet'!$E$13+1,1))</f>
        <v>524.55238798353344</v>
      </c>
      <c r="CZ101" s="62">
        <f t="shared" si="96"/>
        <v>216.94512104983255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-2.0395418687257919E-13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260.01925143568263</v>
      </c>
      <c r="T102" s="62">
        <f t="shared" si="88"/>
        <v>269.95358755269427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-2.8421709430404007E-13</v>
      </c>
      <c r="AJ102" s="14">
        <f>AI102*VLOOKUP('Données projet'!$B$10,Paramètres!$A$1:$I$89,3,0)*VLOOKUP('Données projet'!$B$10,Paramètres!$A$1:$I$89,5,0)</f>
        <v>-1.69961822393816E-13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289.24721145176682</v>
      </c>
      <c r="AO102" s="62">
        <f t="shared" si="90"/>
        <v>229.06617320689003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7.8564102564102525</v>
      </c>
      <c r="BD102" s="13">
        <f>IF('Données projet'!$A$88&gt;35,BD101+BC102-BL101,IF(A102&lt;'Données projet'!$A$88,$BA$205^A102,IF(A102='Données projet'!$A$88,'Données projet'!$B$88,BD101+BC102-BL101)))</f>
        <v>334.32051282051287</v>
      </c>
      <c r="BE102" s="14">
        <f>BD102*VLOOKUP('Données projet'!$B$11,Paramètres!$A$1:$I$89,3,0)*VLOOKUP('Données projet'!$B$11,Paramètres!$A$1:$I$89,5,0)</f>
        <v>156.46200000000005</v>
      </c>
      <c r="BF102" s="14">
        <f t="shared" si="91"/>
        <v>40.043474088256666</v>
      </c>
      <c r="BG102" s="22">
        <f t="shared" si="61"/>
        <v>342.24703403704711</v>
      </c>
      <c r="BH102" s="62">
        <f t="shared" si="62"/>
        <v>635.58036737038037</v>
      </c>
      <c r="BI102" s="62">
        <f ca="1">AVERAGE(OFFSET($BH$3,0,0,'Données projet'!$E$11+1,1))-AVERAGE(OFFSET($H$3,0,0,'Données projet'!$E$11+1,1))</f>
        <v>284.72381074796073</v>
      </c>
      <c r="BJ102" s="62">
        <f t="shared" si="92"/>
        <v>190.4880882944471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6.071794871794876</v>
      </c>
      <c r="BY102" s="13">
        <f>IF('Données projet'!$A$114&gt;35,BY101+BX102-CG101,IF(A102&lt;'Données projet'!$A$114,$BV$205^A102,IF(A102='Données projet'!$A$114,'Données projet'!$B$114,BY101+BX102-CG101)))</f>
        <v>249.35897435897428</v>
      </c>
      <c r="BZ102" s="14">
        <f>BY102*VLOOKUP('Données projet'!$B$12,Paramètres!$A$1:$I$89,3,0)*VLOOKUP('Données projet'!$B$12,Paramètres!$A$1:$I$89,5,0)</f>
        <v>252.84999999999994</v>
      </c>
      <c r="CA102" s="14">
        <f t="shared" si="93"/>
        <v>61.19582225383455</v>
      </c>
      <c r="CB102" s="22">
        <f t="shared" si="64"/>
        <v>546.96314042542838</v>
      </c>
      <c r="CC102" s="62">
        <f t="shared" si="65"/>
        <v>840.29647375876175</v>
      </c>
      <c r="CD102" s="62">
        <f ca="1">AVERAGE(OFFSET($CC$3,0,0,'Données projet'!$E$12+1,1))-AVERAGE(OFFSET($H$3,0,0,'Données projet'!$E$12+1,1))</f>
        <v>496.71400086768705</v>
      </c>
      <c r="CE102" s="62">
        <f t="shared" si="94"/>
        <v>206.75063396134982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6.071794871794876</v>
      </c>
      <c r="CT102" s="13">
        <f>IF('Données projet'!$A$140&gt;35,CT101+CS102-DB101,IF(A102&lt;'Données projet'!$A$140,$CQ$205^A102,IF(A102='Données projet'!$A$140,'Données projet'!$B$140,CT101+CS102-DB101)))</f>
        <v>249.35897435897428</v>
      </c>
      <c r="CU102" s="18">
        <f>CT102*VLOOKUP('Données projet'!$B$13,Paramètres!$A$1:$I$89,3,0)*VLOOKUP('Données projet'!$B$13,Paramètres!$A$1:$I$89,5,0)</f>
        <v>268.40999999999991</v>
      </c>
      <c r="CV102" s="14">
        <f t="shared" si="95"/>
        <v>64.511715253399927</v>
      </c>
      <c r="CW102" s="22">
        <f t="shared" si="67"/>
        <v>579.83865406633811</v>
      </c>
      <c r="CX102" s="62">
        <f t="shared" si="68"/>
        <v>873.17198739967148</v>
      </c>
      <c r="CY102" s="62">
        <f ca="1">AVERAGE(OFFSET($CX$3,0,0,'Données projet'!$E$13+1,1))-AVERAGE(OFFSET($H$3,0,0,'Données projet'!$E$13+1,1))</f>
        <v>524.55238798353344</v>
      </c>
      <c r="CZ102" s="62">
        <f t="shared" si="96"/>
        <v>216.94512104983255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-2.0395418687257919E-13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260.01925143568263</v>
      </c>
      <c r="T103" s="62">
        <f t="shared" si="88"/>
        <v>269.95358755269427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-2.8421709430404007E-13</v>
      </c>
      <c r="AJ103" s="14">
        <f>AI103*VLOOKUP('Données projet'!$B$10,Paramètres!$A$1:$I$89,3,0)*VLOOKUP('Données projet'!$B$10,Paramètres!$A$1:$I$89,5,0)</f>
        <v>-1.69961822393816E-13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289.24721145176682</v>
      </c>
      <c r="AO103" s="62">
        <f t="shared" si="90"/>
        <v>229.06617320689003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7.8564102564102525</v>
      </c>
      <c r="BD103" s="13">
        <f>IF('Données projet'!$A$88&gt;35,BD102+BC103-BL102,IF(A103&lt;'Données projet'!$A$88,$BA$205^A103,IF(A103='Données projet'!$A$88,'Données projet'!$B$88,BD102+BC103-BL102)))</f>
        <v>342.17692307692312</v>
      </c>
      <c r="BE103" s="14">
        <f>BD103*VLOOKUP('Données projet'!$B$11,Paramètres!$A$1:$I$89,3,0)*VLOOKUP('Données projet'!$B$11,Paramètres!$A$1:$I$89,5,0)</f>
        <v>160.1388</v>
      </c>
      <c r="BF103" s="14">
        <f t="shared" si="91"/>
        <v>40.873820554013228</v>
      </c>
      <c r="BG103" s="22">
        <f t="shared" si="61"/>
        <v>350.09698079823971</v>
      </c>
      <c r="BH103" s="62">
        <f t="shared" si="62"/>
        <v>643.43031413157303</v>
      </c>
      <c r="BI103" s="62">
        <f ca="1">AVERAGE(OFFSET($BH$3,0,0,'Données projet'!$E$11+1,1))-AVERAGE(OFFSET($H$3,0,0,'Données projet'!$E$11+1,1))</f>
        <v>284.72381074796073</v>
      </c>
      <c r="BJ103" s="62">
        <f t="shared" si="92"/>
        <v>190.4880882944471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6.071794871794876</v>
      </c>
      <c r="BY103" s="13">
        <f>IF('Données projet'!$A$114&gt;35,BY102+BX103-CG102,IF(A103&lt;'Données projet'!$A$114,$BV$205^A103,IF(A103='Données projet'!$A$114,'Données projet'!$B$114,BY102+BX103-CG102)))</f>
        <v>255.43076923076916</v>
      </c>
      <c r="BZ103" s="14">
        <f>BY103*VLOOKUP('Données projet'!$B$12,Paramètres!$A$1:$I$89,3,0)*VLOOKUP('Données projet'!$B$12,Paramètres!$A$1:$I$89,5,0)</f>
        <v>259.00679999999994</v>
      </c>
      <c r="CA103" s="14">
        <f t="shared" si="93"/>
        <v>62.510620717001075</v>
      </c>
      <c r="CB103" s="22">
        <f t="shared" si="64"/>
        <v>559.97617441544344</v>
      </c>
      <c r="CC103" s="62">
        <f t="shared" si="65"/>
        <v>853.3095077487767</v>
      </c>
      <c r="CD103" s="62">
        <f ca="1">AVERAGE(OFFSET($CC$3,0,0,'Données projet'!$E$12+1,1))-AVERAGE(OFFSET($H$3,0,0,'Données projet'!$E$12+1,1))</f>
        <v>496.71400086768705</v>
      </c>
      <c r="CE103" s="62">
        <f t="shared" si="94"/>
        <v>206.75063396134982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6.071794871794876</v>
      </c>
      <c r="CT103" s="13">
        <f>IF('Données projet'!$A$140&gt;35,CT102+CS103-DB102,IF(A103&lt;'Données projet'!$A$140,$CQ$205^A103,IF(A103='Données projet'!$A$140,'Données projet'!$B$140,CT102+CS103-DB102)))</f>
        <v>255.43076923076916</v>
      </c>
      <c r="CU103" s="18">
        <f>CT103*VLOOKUP('Données projet'!$B$13,Paramètres!$A$1:$I$89,3,0)*VLOOKUP('Données projet'!$B$13,Paramètres!$A$1:$I$89,5,0)</f>
        <v>274.94567999999992</v>
      </c>
      <c r="CV103" s="14">
        <f t="shared" si="95"/>
        <v>65.897756014803235</v>
      </c>
      <c r="CW103" s="22">
        <f t="shared" si="67"/>
        <v>593.6356510591155</v>
      </c>
      <c r="CX103" s="62">
        <f t="shared" si="68"/>
        <v>886.96898439244887</v>
      </c>
      <c r="CY103" s="62">
        <f ca="1">AVERAGE(OFFSET($CX$3,0,0,'Données projet'!$E$13+1,1))-AVERAGE(OFFSET($H$3,0,0,'Données projet'!$E$13+1,1))</f>
        <v>524.55238798353344</v>
      </c>
      <c r="CZ103" s="62">
        <f t="shared" si="96"/>
        <v>216.94512104983255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-2.0395418687257919E-13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260.01925143568263</v>
      </c>
      <c r="T104" s="62">
        <f t="shared" si="88"/>
        <v>269.95358755269427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-2.8421709430404007E-13</v>
      </c>
      <c r="AJ104" s="14">
        <f>AI104*VLOOKUP('Données projet'!$B$10,Paramètres!$A$1:$I$89,3,0)*VLOOKUP('Données projet'!$B$10,Paramètres!$A$1:$I$89,5,0)</f>
        <v>-1.69961822393816E-13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289.24721145176682</v>
      </c>
      <c r="AO104" s="62">
        <f t="shared" si="90"/>
        <v>229.06617320689003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7.8564102564102525</v>
      </c>
      <c r="BD104" s="13">
        <f>IF('Données projet'!$A$88&gt;35,BD103+BC104-BL103,IF(A104&lt;'Données projet'!$A$88,$BA$205^A104,IF(A104='Données projet'!$A$88,'Données projet'!$B$88,BD103+BC104-BL103)))</f>
        <v>350.03333333333336</v>
      </c>
      <c r="BE104" s="14">
        <f>BD104*VLOOKUP('Données projet'!$B$11,Paramètres!$A$1:$I$89,3,0)*VLOOKUP('Données projet'!$B$11,Paramètres!$A$1:$I$89,5,0)</f>
        <v>163.81560000000002</v>
      </c>
      <c r="BF104" s="14">
        <f t="shared" si="91"/>
        <v>41.701950631300939</v>
      </c>
      <c r="BG104" s="22">
        <f t="shared" si="61"/>
        <v>357.94306734951584</v>
      </c>
      <c r="BH104" s="62">
        <f t="shared" si="62"/>
        <v>651.27640068284916</v>
      </c>
      <c r="BI104" s="62">
        <f ca="1">AVERAGE(OFFSET($BH$3,0,0,'Données projet'!$E$11+1,1))-AVERAGE(OFFSET($H$3,0,0,'Données projet'!$E$11+1,1))</f>
        <v>284.72381074796073</v>
      </c>
      <c r="BJ104" s="62">
        <f t="shared" si="92"/>
        <v>190.4880882944471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6.071794871794876</v>
      </c>
      <c r="BY104" s="13">
        <f>IF('Données projet'!$A$114&gt;35,BY103+BX104-CG103,IF(A104&lt;'Données projet'!$A$114,$BV$205^A104,IF(A104='Données projet'!$A$114,'Données projet'!$B$114,BY103+BX104-CG103)))</f>
        <v>261.50256410256401</v>
      </c>
      <c r="BZ104" s="14">
        <f>BY104*VLOOKUP('Données projet'!$B$12,Paramètres!$A$1:$I$89,3,0)*VLOOKUP('Données projet'!$B$12,Paramètres!$A$1:$I$89,5,0)</f>
        <v>265.16359999999992</v>
      </c>
      <c r="CA104" s="14">
        <f t="shared" si="93"/>
        <v>63.821785902533968</v>
      </c>
      <c r="CB104" s="22">
        <f t="shared" si="64"/>
        <v>572.9828804469131</v>
      </c>
      <c r="CC104" s="62">
        <f t="shared" si="65"/>
        <v>866.31621378024647</v>
      </c>
      <c r="CD104" s="62">
        <f ca="1">AVERAGE(OFFSET($CC$3,0,0,'Données projet'!$E$12+1,1))-AVERAGE(OFFSET($H$3,0,0,'Données projet'!$E$12+1,1))</f>
        <v>496.71400086768705</v>
      </c>
      <c r="CE104" s="62">
        <f t="shared" si="94"/>
        <v>206.75063396134982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6.071794871794876</v>
      </c>
      <c r="CT104" s="13">
        <f>IF('Données projet'!$A$140&gt;35,CT103+CS104-DB103,IF(A104&lt;'Données projet'!$A$140,$CQ$205^A104,IF(A104='Données projet'!$A$140,'Données projet'!$B$140,CT103+CS104-DB103)))</f>
        <v>261.50256410256401</v>
      </c>
      <c r="CU104" s="18">
        <f>CT104*VLOOKUP('Données projet'!$B$13,Paramètres!$A$1:$I$89,3,0)*VLOOKUP('Données projet'!$B$13,Paramètres!$A$1:$I$89,5,0)</f>
        <v>281.48135999999988</v>
      </c>
      <c r="CV104" s="14">
        <f t="shared" si="95"/>
        <v>67.2799666295805</v>
      </c>
      <c r="CW104" s="22">
        <f t="shared" si="67"/>
        <v>607.42597721318577</v>
      </c>
      <c r="CX104" s="62">
        <f t="shared" si="68"/>
        <v>900.75931054651915</v>
      </c>
      <c r="CY104" s="62">
        <f ca="1">AVERAGE(OFFSET($CX$3,0,0,'Données projet'!$E$13+1,1))-AVERAGE(OFFSET($H$3,0,0,'Données projet'!$E$13+1,1))</f>
        <v>524.55238798353344</v>
      </c>
      <c r="CZ104" s="62">
        <f t="shared" si="96"/>
        <v>216.94512104983255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-2.0395418687257919E-13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260.01925143568263</v>
      </c>
      <c r="T105" s="62">
        <f t="shared" si="88"/>
        <v>269.95358755269427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-2.8421709430404007E-13</v>
      </c>
      <c r="AJ105" s="14">
        <f>AI105*VLOOKUP('Données projet'!$B$10,Paramètres!$A$1:$I$89,3,0)*VLOOKUP('Données projet'!$B$10,Paramètres!$A$1:$I$89,5,0)</f>
        <v>-1.69961822393816E-13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289.24721145176682</v>
      </c>
      <c r="AO105" s="62">
        <f t="shared" si="90"/>
        <v>229.06617320689003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7.8564102564102525</v>
      </c>
      <c r="BD105" s="13">
        <f>IF('Données projet'!$A$88&gt;35,BD104+BC105-BL104,IF(A105&lt;'Données projet'!$A$88,$BA$205^A105,IF(A105='Données projet'!$A$88,'Données projet'!$B$88,BD104+BC105-BL104)))</f>
        <v>357.8897435897436</v>
      </c>
      <c r="BE105" s="14">
        <f>BD105*VLOOKUP('Données projet'!$B$11,Paramètres!$A$1:$I$89,3,0)*VLOOKUP('Données projet'!$B$11,Paramètres!$A$1:$I$89,5,0)</f>
        <v>167.49240000000003</v>
      </c>
      <c r="BF105" s="14">
        <f t="shared" si="91"/>
        <v>42.527919793797096</v>
      </c>
      <c r="BG105" s="22">
        <f t="shared" si="61"/>
        <v>365.78539030752995</v>
      </c>
      <c r="BH105" s="62">
        <f t="shared" si="62"/>
        <v>659.11872364086321</v>
      </c>
      <c r="BI105" s="62">
        <f ca="1">AVERAGE(OFFSET($BH$3,0,0,'Données projet'!$E$11+1,1))-AVERAGE(OFFSET($H$3,0,0,'Données projet'!$E$11+1,1))</f>
        <v>284.72381074796073</v>
      </c>
      <c r="BJ105" s="62">
        <f t="shared" si="92"/>
        <v>190.4880882944471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6.071794871794876</v>
      </c>
      <c r="BY105" s="13">
        <f>IF('Données projet'!$A$114&gt;35,BY104+BX105-CG104,IF(A105&lt;'Données projet'!$A$114,$BV$205^A105,IF(A105='Données projet'!$A$114,'Données projet'!$B$114,BY104+BX105-CG104)))</f>
        <v>267.57435897435886</v>
      </c>
      <c r="BZ105" s="14">
        <f>BY105*VLOOKUP('Données projet'!$B$12,Paramètres!$A$1:$I$89,3,0)*VLOOKUP('Données projet'!$B$12,Paramètres!$A$1:$I$89,5,0)</f>
        <v>271.32039999999989</v>
      </c>
      <c r="CA105" s="14">
        <f t="shared" si="93"/>
        <v>65.129411880551544</v>
      </c>
      <c r="CB105" s="22">
        <f t="shared" si="64"/>
        <v>585.98342235862708</v>
      </c>
      <c r="CC105" s="62">
        <f t="shared" si="65"/>
        <v>879.31675569196045</v>
      </c>
      <c r="CD105" s="62">
        <f ca="1">AVERAGE(OFFSET($CC$3,0,0,'Données projet'!$E$12+1,1))-AVERAGE(OFFSET($H$3,0,0,'Données projet'!$E$12+1,1))</f>
        <v>496.71400086768705</v>
      </c>
      <c r="CE105" s="62">
        <f t="shared" si="94"/>
        <v>206.75063396134982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6.071794871794876</v>
      </c>
      <c r="CT105" s="13">
        <f>IF('Données projet'!$A$140&gt;35,CT104+CS105-DB104,IF(A105&lt;'Données projet'!$A$140,$CQ$205^A105,IF(A105='Données projet'!$A$140,'Données projet'!$B$140,CT104+CS105-DB104)))</f>
        <v>267.57435897435886</v>
      </c>
      <c r="CU105" s="18">
        <f>CT105*VLOOKUP('Données projet'!$B$13,Paramètres!$A$1:$I$89,3,0)*VLOOKUP('Données projet'!$B$13,Paramètres!$A$1:$I$89,5,0)</f>
        <v>288.01703999999984</v>
      </c>
      <c r="CV105" s="14">
        <f t="shared" si="95"/>
        <v>68.658446265035167</v>
      </c>
      <c r="CW105" s="22">
        <f t="shared" si="67"/>
        <v>621.20980524493598</v>
      </c>
      <c r="CX105" s="62">
        <f t="shared" si="68"/>
        <v>914.54313857826924</v>
      </c>
      <c r="CY105" s="62">
        <f ca="1">AVERAGE(OFFSET($CX$3,0,0,'Données projet'!$E$13+1,1))-AVERAGE(OFFSET($H$3,0,0,'Données projet'!$E$13+1,1))</f>
        <v>524.55238798353344</v>
      </c>
      <c r="CZ105" s="62">
        <f t="shared" si="96"/>
        <v>216.94512104983255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-2.0395418687257919E-13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260.01925143568263</v>
      </c>
      <c r="T106" s="62">
        <f t="shared" si="88"/>
        <v>269.95358755269427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-2.8421709430404007E-13</v>
      </c>
      <c r="AJ106" s="14">
        <f>AI106*VLOOKUP('Données projet'!$B$10,Paramètres!$A$1:$I$89,3,0)*VLOOKUP('Données projet'!$B$10,Paramètres!$A$1:$I$89,5,0)</f>
        <v>-1.69961822393816E-13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289.24721145176682</v>
      </c>
      <c r="AO106" s="62">
        <f t="shared" si="90"/>
        <v>229.06617320689003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>
        <f>VLOOKUP(A106,'Données projet'!$A$87:$I$107,2,0)</f>
        <v>365.74615384615385</v>
      </c>
      <c r="BB106" s="13">
        <f>VLOOKUP(A106,'Données projet'!$A$87:$I$107,9,0)</f>
        <v>7.8564102564102525</v>
      </c>
      <c r="BC106" s="13">
        <f t="array" ref="BC106">INDEX(BB:BB,MIN(IF(ISNUMBER(BB106:BB302),ROW(BB106:BB302),"")))</f>
        <v>7.8564102564102525</v>
      </c>
      <c r="BD106" s="13">
        <f>IF('Données projet'!$A$88&gt;35,BD105+BC106-BL105,IF(A106&lt;'Données projet'!$A$88,$BA$205^A106,IF(A106='Données projet'!$A$88,'Données projet'!$B$88,BD105+BC106-BL105)))</f>
        <v>365.74615384615385</v>
      </c>
      <c r="BE106" s="14">
        <f>BD106*VLOOKUP('Données projet'!$B$11,Paramètres!$A$1:$I$89,3,0)*VLOOKUP('Données projet'!$B$11,Paramètres!$A$1:$I$89,5,0)</f>
        <v>171.16919999999999</v>
      </c>
      <c r="BF106" s="14">
        <f t="shared" si="91"/>
        <v>43.351780940579147</v>
      </c>
      <c r="BG106" s="22">
        <f t="shared" si="61"/>
        <v>373.62404180484197</v>
      </c>
      <c r="BH106" s="62">
        <f t="shared" si="62"/>
        <v>666.95737513817528</v>
      </c>
      <c r="BI106" s="62">
        <f ca="1">AVERAGE(OFFSET($BH$3,0,0,'Données projet'!$E$11+1,1))-AVERAGE(OFFSET($H$3,0,0,'Données projet'!$E$11+1,1))</f>
        <v>284.72381074796073</v>
      </c>
      <c r="BJ106" s="62">
        <f t="shared" si="92"/>
        <v>190.4880882944471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6.071794871794876</v>
      </c>
      <c r="BY106" s="13">
        <f>IF('Données projet'!$A$114&gt;35,BY105+BX106-CG105,IF(A106&lt;'Données projet'!$A$114,$BV$205^A106,IF(A106='Données projet'!$A$114,'Données projet'!$B$114,BY105+BX106-CG105)))</f>
        <v>273.64615384615371</v>
      </c>
      <c r="BZ106" s="14">
        <f>BY106*VLOOKUP('Données projet'!$B$12,Paramètres!$A$1:$I$89,3,0)*VLOOKUP('Données projet'!$B$12,Paramètres!$A$1:$I$89,5,0)</f>
        <v>277.47719999999987</v>
      </c>
      <c r="CA106" s="14">
        <f t="shared" si="93"/>
        <v>66.433588208219874</v>
      </c>
      <c r="CB106" s="22">
        <f t="shared" si="64"/>
        <v>598.977956129316</v>
      </c>
      <c r="CC106" s="62">
        <f t="shared" si="65"/>
        <v>892.31128946264926</v>
      </c>
      <c r="CD106" s="62">
        <f ca="1">AVERAGE(OFFSET($CC$3,0,0,'Données projet'!$E$12+1,1))-AVERAGE(OFFSET($H$3,0,0,'Données projet'!$E$12+1,1))</f>
        <v>496.71400086768705</v>
      </c>
      <c r="CE106" s="62">
        <f t="shared" si="94"/>
        <v>206.75063396134982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6.071794871794876</v>
      </c>
      <c r="CT106" s="13">
        <f>IF('Données projet'!$A$140&gt;35,CT105+CS106-DB105,IF(A106&lt;'Données projet'!$A$140,$CQ$205^A106,IF(A106='Données projet'!$A$140,'Données projet'!$B$140,CT105+CS106-DB105)))</f>
        <v>273.64615384615371</v>
      </c>
      <c r="CU106" s="18">
        <f>CT106*VLOOKUP('Données projet'!$B$13,Paramètres!$A$1:$I$89,3,0)*VLOOKUP('Données projet'!$B$13,Paramètres!$A$1:$I$89,5,0)</f>
        <v>294.55271999999985</v>
      </c>
      <c r="CV106" s="14">
        <f t="shared" si="95"/>
        <v>70.033289330984772</v>
      </c>
      <c r="CW106" s="22">
        <f t="shared" si="67"/>
        <v>634.98729958479817</v>
      </c>
      <c r="CX106" s="62">
        <f t="shared" si="68"/>
        <v>928.32063291813142</v>
      </c>
      <c r="CY106" s="62">
        <f ca="1">AVERAGE(OFFSET($CX$3,0,0,'Données projet'!$E$13+1,1))-AVERAGE(OFFSET($H$3,0,0,'Données projet'!$E$13+1,1))</f>
        <v>524.55238798353344</v>
      </c>
      <c r="CZ106" s="62">
        <f t="shared" si="96"/>
        <v>216.94512104983255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-2.0395418687257919E-13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260.01925143568263</v>
      </c>
      <c r="T107" s="62">
        <f t="shared" si="88"/>
        <v>269.95358755269427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-2.8421709430404007E-13</v>
      </c>
      <c r="AJ107" s="14">
        <f>AI107*VLOOKUP('Données projet'!$B$10,Paramètres!$A$1:$I$89,3,0)*VLOOKUP('Données projet'!$B$10,Paramètres!$A$1:$I$89,5,0)</f>
        <v>-1.69961822393816E-13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289.24721145176682</v>
      </c>
      <c r="AO107" s="62">
        <f t="shared" si="90"/>
        <v>229.06617320689003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7.9089743589743575</v>
      </c>
      <c r="BD107" s="13">
        <f>IF('Données projet'!$A$88&gt;35,BD106+BC107-BL106,IF(A107&lt;'Données projet'!$A$88,$BA$205^A107,IF(A107='Données projet'!$A$88,'Données projet'!$B$88,BD106+BC107-BL106)))</f>
        <v>373.65512820512822</v>
      </c>
      <c r="BE107" s="14">
        <f>BD107*VLOOKUP('Données projet'!$B$11,Paramètres!$A$1:$I$89,3,0)*VLOOKUP('Données projet'!$B$11,Paramètres!$A$1:$I$89,5,0)</f>
        <v>174.8706</v>
      </c>
      <c r="BF107" s="14">
        <f t="shared" si="91"/>
        <v>44.17907610892069</v>
      </c>
      <c r="BG107" s="22">
        <f t="shared" si="61"/>
        <v>381.51151922303688</v>
      </c>
      <c r="BH107" s="62">
        <f t="shared" si="62"/>
        <v>674.84485255637014</v>
      </c>
      <c r="BI107" s="62">
        <f ca="1">AVERAGE(OFFSET($BH$3,0,0,'Données projet'!$E$11+1,1))-AVERAGE(OFFSET($H$3,0,0,'Données projet'!$E$11+1,1))</f>
        <v>284.72381074796073</v>
      </c>
      <c r="BJ107" s="62">
        <f t="shared" si="92"/>
        <v>190.4880882944471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>
        <f>VLOOKUP(A107,'Données projet'!$A$113:$I$133,2,0)</f>
        <v>279.71794871794873</v>
      </c>
      <c r="BW107" s="13">
        <f>VLOOKUP(A107,'Données projet'!$A$113:$I$133,9,0)</f>
        <v>6.071794871794876</v>
      </c>
      <c r="BX107" s="13">
        <f t="array" ref="BX107">INDEX(BW:BW,MIN(IF(ISNUMBER(BW107:BW303),ROW(BW107:BW303),"")))</f>
        <v>6.071794871794876</v>
      </c>
      <c r="BY107" s="13">
        <f>IF('Données projet'!$A$114&gt;35,BY106+BX107-CG106,IF(A107&lt;'Données projet'!$A$114,$BV$205^A107,IF(A107='Données projet'!$A$114,'Données projet'!$B$114,BY106+BX107-CG106)))</f>
        <v>279.71794871794856</v>
      </c>
      <c r="BZ107" s="14">
        <f>BY107*VLOOKUP('Données projet'!$B$12,Paramètres!$A$1:$I$89,3,0)*VLOOKUP('Données projet'!$B$12,Paramètres!$A$1:$I$89,5,0)</f>
        <v>283.63399999999984</v>
      </c>
      <c r="CA107" s="14">
        <f t="shared" si="93"/>
        <v>67.734400241515701</v>
      </c>
      <c r="CB107" s="22">
        <f t="shared" si="64"/>
        <v>611.96663042063949</v>
      </c>
      <c r="CC107" s="62">
        <f t="shared" si="65"/>
        <v>905.29996375397286</v>
      </c>
      <c r="CD107" s="62">
        <f ca="1">AVERAGE(OFFSET($CC$3,0,0,'Données projet'!$E$12+1,1))-AVERAGE(OFFSET($H$3,0,0,'Données projet'!$E$12+1,1))</f>
        <v>496.71400086768705</v>
      </c>
      <c r="CE107" s="62">
        <f t="shared" si="94"/>
        <v>206.75063396134982</v>
      </c>
      <c r="CF107" s="16">
        <f>IF(ISNA(VLOOKUP(A107,'Données projet'!$A$113:$I$133,3,0)),0,VLOOKUP(A107,'Données projet'!$A$113:$I$133,3,0))</f>
        <v>8</v>
      </c>
      <c r="CG107" s="16">
        <f>IF(ISNA(VLOOKUP(A107,'Données projet'!$A$113:$I$133,4,0)),0,VLOOKUP(A107,'Données projet'!$A$113:$I$133,4,0))</f>
        <v>45.987179487179482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>
        <f>VLOOKUP(A107,'Données projet'!$A$139:$I$159,2,0)</f>
        <v>279.71794871794873</v>
      </c>
      <c r="CR107" s="13">
        <f>VLOOKUP(A107,'Données projet'!$A$139:$I$159,9,0)</f>
        <v>6.071794871794876</v>
      </c>
      <c r="CS107" s="13">
        <f t="array" ref="CS107">INDEX(CR:CR,MIN(IF(ISNUMBER(CR107:CR303),ROW(CR107:CR303),"")))</f>
        <v>6.071794871794876</v>
      </c>
      <c r="CT107" s="13">
        <f>IF('Données projet'!$A$140&gt;35,CT106+CS107-DB106,IF(A107&lt;'Données projet'!$A$140,$CQ$205^A107,IF(A107='Données projet'!$A$140,'Données projet'!$B$140,CT106+CS107-DB106)))</f>
        <v>279.71794871794856</v>
      </c>
      <c r="CU107" s="18">
        <f>CT107*VLOOKUP('Données projet'!$B$13,Paramètres!$A$1:$I$89,3,0)*VLOOKUP('Données projet'!$B$13,Paramètres!$A$1:$I$89,5,0)</f>
        <v>301.08839999999981</v>
      </c>
      <c r="CV107" s="14">
        <f t="shared" si="95"/>
        <v>71.404585808415703</v>
      </c>
      <c r="CW107" s="22">
        <f t="shared" si="67"/>
        <v>648.75861694965693</v>
      </c>
      <c r="CX107" s="62">
        <f t="shared" si="68"/>
        <v>942.09195028299018</v>
      </c>
      <c r="CY107" s="62">
        <f ca="1">AVERAGE(OFFSET($CX$3,0,0,'Données projet'!$E$13+1,1))-AVERAGE(OFFSET($H$3,0,0,'Données projet'!$E$13+1,1))</f>
        <v>524.55238798353344</v>
      </c>
      <c r="CZ107" s="62">
        <f t="shared" si="96"/>
        <v>216.94512104983255</v>
      </c>
      <c r="DA107" s="16">
        <f>IF(ISNA(VLOOKUP(A107,'Données projet'!$A$139:$I$159,3,0)),0,VLOOKUP(A107,'Données projet'!$A$139:$I$159,3,0))</f>
        <v>8</v>
      </c>
      <c r="DB107" s="16">
        <f>IF(ISNA(VLOOKUP(A107,'Données projet'!$A$139:$I$159,4,0)),0,VLOOKUP(A107,'Données projet'!$A$139:$I$159,4,0))</f>
        <v>45.987179487179482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-2.0395418687257919E-13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260.01925143568263</v>
      </c>
      <c r="T108" s="62">
        <f t="shared" si="88"/>
        <v>269.95358755269427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-2.8421709430404007E-13</v>
      </c>
      <c r="AJ108" s="14">
        <f>AI108*VLOOKUP('Données projet'!$B$10,Paramètres!$A$1:$I$89,3,0)*VLOOKUP('Données projet'!$B$10,Paramètres!$A$1:$I$89,5,0)</f>
        <v>-1.69961822393816E-13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289.24721145176682</v>
      </c>
      <c r="AO108" s="62">
        <f t="shared" si="90"/>
        <v>229.06617320689003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7.9089743589743575</v>
      </c>
      <c r="BD108" s="13">
        <f>IF('Données projet'!$A$88&gt;35,BD107+BC108-BL107,IF(A108&lt;'Données projet'!$A$88,$BA$205^A108,IF(A108='Données projet'!$A$88,'Données projet'!$B$88,BD107+BC108-BL107)))</f>
        <v>381.5641025641026</v>
      </c>
      <c r="BE108" s="14">
        <f>BD108*VLOOKUP('Données projet'!$B$11,Paramètres!$A$1:$I$89,3,0)*VLOOKUP('Données projet'!$B$11,Paramètres!$A$1:$I$89,5,0)</f>
        <v>178.57200000000003</v>
      </c>
      <c r="BF108" s="14">
        <f t="shared" si="91"/>
        <v>45.004335350860913</v>
      </c>
      <c r="BG108" s="22">
        <f t="shared" si="61"/>
        <v>389.39545073608275</v>
      </c>
      <c r="BH108" s="62">
        <f t="shared" si="62"/>
        <v>682.72878406941606</v>
      </c>
      <c r="BI108" s="62">
        <f ca="1">AVERAGE(OFFSET($BH$3,0,0,'Données projet'!$E$11+1,1))-AVERAGE(OFFSET($H$3,0,0,'Données projet'!$E$11+1,1))</f>
        <v>284.72381074796073</v>
      </c>
      <c r="BJ108" s="62">
        <f t="shared" si="92"/>
        <v>190.4880882944471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5.9865384615384558</v>
      </c>
      <c r="BY108" s="13">
        <f>IF('Données projet'!$A$114&gt;35,BY107+BX108-CG107,IF(A108&lt;'Données projet'!$A$114,$BV$205^A108,IF(A108='Données projet'!$A$114,'Données projet'!$B$114,BY107+BX108-CG107)))</f>
        <v>239.71730769230751</v>
      </c>
      <c r="BZ108" s="14">
        <f>BY108*VLOOKUP('Données projet'!$B$12,Paramètres!$A$1:$I$89,3,0)*VLOOKUP('Données projet'!$B$12,Paramètres!$A$1:$I$89,5,0)</f>
        <v>243.07334999999983</v>
      </c>
      <c r="CA108" s="14">
        <f t="shared" si="93"/>
        <v>59.100286220435621</v>
      </c>
      <c r="CB108" s="22">
        <f t="shared" si="64"/>
        <v>526.28574975059178</v>
      </c>
      <c r="CC108" s="62">
        <f t="shared" si="65"/>
        <v>819.61908308392503</v>
      </c>
      <c r="CD108" s="62">
        <f ca="1">AVERAGE(OFFSET($CC$3,0,0,'Données projet'!$E$12+1,1))-AVERAGE(OFFSET($H$3,0,0,'Données projet'!$E$12+1,1))</f>
        <v>496.71400086768705</v>
      </c>
      <c r="CE108" s="62">
        <f t="shared" si="94"/>
        <v>206.75063396134982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5.9865384615384558</v>
      </c>
      <c r="CT108" s="13">
        <f>IF('Données projet'!$A$140&gt;35,CT107+CS108-DB107,IF(A108&lt;'Données projet'!$A$140,$CQ$205^A108,IF(A108='Données projet'!$A$140,'Données projet'!$B$140,CT107+CS108-DB107)))</f>
        <v>239.71730769230751</v>
      </c>
      <c r="CU108" s="18">
        <f>CT108*VLOOKUP('Données projet'!$B$13,Paramètres!$A$1:$I$89,3,0)*VLOOKUP('Données projet'!$B$13,Paramètres!$A$1:$I$89,5,0)</f>
        <v>258.0317099999998</v>
      </c>
      <c r="CV108" s="14">
        <f t="shared" si="95"/>
        <v>62.302632690065245</v>
      </c>
      <c r="CW108" s="22">
        <f t="shared" si="67"/>
        <v>557.91564685186324</v>
      </c>
      <c r="CX108" s="62">
        <f t="shared" si="68"/>
        <v>851.24898018519661</v>
      </c>
      <c r="CY108" s="62">
        <f ca="1">AVERAGE(OFFSET($CX$3,0,0,'Données projet'!$E$13+1,1))-AVERAGE(OFFSET($H$3,0,0,'Données projet'!$E$13+1,1))</f>
        <v>524.55238798353344</v>
      </c>
      <c r="CZ108" s="62">
        <f t="shared" si="96"/>
        <v>216.94512104983255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-2.0395418687257919E-13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260.01925143568263</v>
      </c>
      <c r="T109" s="62">
        <f t="shared" si="88"/>
        <v>269.95358755269427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-2.8421709430404007E-13</v>
      </c>
      <c r="AJ109" s="14">
        <f>AI109*VLOOKUP('Données projet'!$B$10,Paramètres!$A$1:$I$89,3,0)*VLOOKUP('Données projet'!$B$10,Paramètres!$A$1:$I$89,5,0)</f>
        <v>-1.69961822393816E-13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289.24721145176682</v>
      </c>
      <c r="AO109" s="62">
        <f t="shared" si="90"/>
        <v>229.06617320689003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7.9089743589743575</v>
      </c>
      <c r="BD109" s="13">
        <f>IF('Données projet'!$A$88&gt;35,BD108+BC109-BL108,IF(A109&lt;'Données projet'!$A$88,$BA$205^A109,IF(A109='Données projet'!$A$88,'Données projet'!$B$88,BD108+BC109-BL108)))</f>
        <v>389.47307692307697</v>
      </c>
      <c r="BE109" s="14">
        <f>BD109*VLOOKUP('Données projet'!$B$11,Paramètres!$A$1:$I$89,3,0)*VLOOKUP('Données projet'!$B$11,Paramètres!$A$1:$I$89,5,0)</f>
        <v>182.27340000000004</v>
      </c>
      <c r="BF109" s="14">
        <f t="shared" si="91"/>
        <v>45.827605728742469</v>
      </c>
      <c r="BG109" s="22">
        <f t="shared" si="61"/>
        <v>397.27591831089313</v>
      </c>
      <c r="BH109" s="62">
        <f t="shared" si="62"/>
        <v>690.60925164422645</v>
      </c>
      <c r="BI109" s="62">
        <f ca="1">AVERAGE(OFFSET($BH$3,0,0,'Données projet'!$E$11+1,1))-AVERAGE(OFFSET($H$3,0,0,'Données projet'!$E$11+1,1))</f>
        <v>284.72381074796073</v>
      </c>
      <c r="BJ109" s="62">
        <f t="shared" si="92"/>
        <v>190.4880882944471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5.9865384615384558</v>
      </c>
      <c r="BY109" s="13">
        <f>IF('Données projet'!$A$114&gt;35,BY108+BX109-CG108,IF(A109&lt;'Données projet'!$A$114,$BV$205^A109,IF(A109='Données projet'!$A$114,'Données projet'!$B$114,BY108+BX109-CG108)))</f>
        <v>245.70384615384597</v>
      </c>
      <c r="BZ109" s="14">
        <f>BY109*VLOOKUP('Données projet'!$B$12,Paramètres!$A$1:$I$89,3,0)*VLOOKUP('Données projet'!$B$12,Paramètres!$A$1:$I$89,5,0)</f>
        <v>249.14369999999985</v>
      </c>
      <c r="CA109" s="14">
        <f t="shared" si="93"/>
        <v>60.402540495592561</v>
      </c>
      <c r="CB109" s="22">
        <f t="shared" si="64"/>
        <v>539.12636886315681</v>
      </c>
      <c r="CC109" s="62">
        <f t="shared" si="65"/>
        <v>832.45970219649007</v>
      </c>
      <c r="CD109" s="62">
        <f ca="1">AVERAGE(OFFSET($CC$3,0,0,'Données projet'!$E$12+1,1))-AVERAGE(OFFSET($H$3,0,0,'Données projet'!$E$12+1,1))</f>
        <v>496.71400086768705</v>
      </c>
      <c r="CE109" s="62">
        <f t="shared" si="94"/>
        <v>206.75063396134982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5.9865384615384558</v>
      </c>
      <c r="CT109" s="13">
        <f>IF('Données projet'!$A$140&gt;35,CT108+CS109-DB108,IF(A109&lt;'Données projet'!$A$140,$CQ$205^A109,IF(A109='Données projet'!$A$140,'Données projet'!$B$140,CT108+CS109-DB108)))</f>
        <v>245.70384615384597</v>
      </c>
      <c r="CU109" s="18">
        <f>CT109*VLOOKUP('Données projet'!$B$13,Paramètres!$A$1:$I$89,3,0)*VLOOKUP('Données projet'!$B$13,Paramètres!$A$1:$I$89,5,0)</f>
        <v>264.47561999999976</v>
      </c>
      <c r="CV109" s="14">
        <f t="shared" si="95"/>
        <v>63.675449557170687</v>
      </c>
      <c r="CW109" s="22">
        <f t="shared" si="67"/>
        <v>571.52977947873853</v>
      </c>
      <c r="CX109" s="62">
        <f t="shared" si="68"/>
        <v>864.8631128120719</v>
      </c>
      <c r="CY109" s="62">
        <f ca="1">AVERAGE(OFFSET($CX$3,0,0,'Données projet'!$E$13+1,1))-AVERAGE(OFFSET($H$3,0,0,'Données projet'!$E$13+1,1))</f>
        <v>524.55238798353344</v>
      </c>
      <c r="CZ109" s="62">
        <f t="shared" si="96"/>
        <v>216.94512104983255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-2.0395418687257919E-13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260.01925143568263</v>
      </c>
      <c r="T110" s="62">
        <f t="shared" si="88"/>
        <v>269.95358755269427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-2.8421709430404007E-13</v>
      </c>
      <c r="AJ110" s="14">
        <f>AI110*VLOOKUP('Données projet'!$B$10,Paramètres!$A$1:$I$89,3,0)*VLOOKUP('Données projet'!$B$10,Paramètres!$A$1:$I$89,5,0)</f>
        <v>-1.69961822393816E-13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289.24721145176682</v>
      </c>
      <c r="AO110" s="62">
        <f t="shared" si="90"/>
        <v>229.06617320689003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7.9089743589743575</v>
      </c>
      <c r="BD110" s="13">
        <f>IF('Données projet'!$A$88&gt;35,BD109+BC110-BL109,IF(A110&lt;'Données projet'!$A$88,$BA$205^A110,IF(A110='Données projet'!$A$88,'Données projet'!$B$88,BD109+BC110-BL109)))</f>
        <v>397.38205128205135</v>
      </c>
      <c r="BE110" s="14">
        <f>BD110*VLOOKUP('Données projet'!$B$11,Paramètres!$A$1:$I$89,3,0)*VLOOKUP('Données projet'!$B$11,Paramètres!$A$1:$I$89,5,0)</f>
        <v>185.97480000000004</v>
      </c>
      <c r="BF110" s="14">
        <f t="shared" si="91"/>
        <v>46.648932284261306</v>
      </c>
      <c r="BG110" s="22">
        <f t="shared" si="61"/>
        <v>405.15300039508844</v>
      </c>
      <c r="BH110" s="62">
        <f t="shared" si="62"/>
        <v>698.48633372842176</v>
      </c>
      <c r="BI110" s="62">
        <f ca="1">AVERAGE(OFFSET($BH$3,0,0,'Données projet'!$E$11+1,1))-AVERAGE(OFFSET($H$3,0,0,'Données projet'!$E$11+1,1))</f>
        <v>284.72381074796073</v>
      </c>
      <c r="BJ110" s="62">
        <f t="shared" si="92"/>
        <v>190.4880882944471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5.9865384615384558</v>
      </c>
      <c r="BY110" s="13">
        <f>IF('Données projet'!$A$114&gt;35,BY109+BX110-CG109,IF(A110&lt;'Données projet'!$A$114,$BV$205^A110,IF(A110='Données projet'!$A$114,'Données projet'!$B$114,BY109+BX110-CG109)))</f>
        <v>251.69038461538443</v>
      </c>
      <c r="BZ110" s="14">
        <f>BY110*VLOOKUP('Données projet'!$B$12,Paramètres!$A$1:$I$89,3,0)*VLOOKUP('Données projet'!$B$12,Paramètres!$A$1:$I$89,5,0)</f>
        <v>255.21404999999982</v>
      </c>
      <c r="CA110" s="14">
        <f t="shared" si="93"/>
        <v>61.701106334256792</v>
      </c>
      <c r="CB110" s="22">
        <f t="shared" si="64"/>
        <v>551.96056394883033</v>
      </c>
      <c r="CC110" s="62">
        <f t="shared" si="65"/>
        <v>845.2938972821637</v>
      </c>
      <c r="CD110" s="62">
        <f ca="1">AVERAGE(OFFSET($CC$3,0,0,'Données projet'!$E$12+1,1))-AVERAGE(OFFSET($H$3,0,0,'Données projet'!$E$12+1,1))</f>
        <v>496.71400086768705</v>
      </c>
      <c r="CE110" s="62">
        <f t="shared" si="94"/>
        <v>206.75063396134982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5.9865384615384558</v>
      </c>
      <c r="CT110" s="13">
        <f>IF('Données projet'!$A$140&gt;35,CT109+CS110-DB109,IF(A110&lt;'Données projet'!$A$140,$CQ$205^A110,IF(A110='Données projet'!$A$140,'Données projet'!$B$140,CT109+CS110-DB109)))</f>
        <v>251.69038461538443</v>
      </c>
      <c r="CU110" s="18">
        <f>CT110*VLOOKUP('Données projet'!$B$13,Paramètres!$A$1:$I$89,3,0)*VLOOKUP('Données projet'!$B$13,Paramètres!$A$1:$I$89,5,0)</f>
        <v>270.91952999999978</v>
      </c>
      <c r="CV110" s="14">
        <f t="shared" si="95"/>
        <v>65.044378130010486</v>
      </c>
      <c r="CW110" s="22">
        <f t="shared" si="67"/>
        <v>585.13713999310119</v>
      </c>
      <c r="CX110" s="62">
        <f t="shared" si="68"/>
        <v>878.47047332643456</v>
      </c>
      <c r="CY110" s="62">
        <f ca="1">AVERAGE(OFFSET($CX$3,0,0,'Données projet'!$E$13+1,1))-AVERAGE(OFFSET($H$3,0,0,'Données projet'!$E$13+1,1))</f>
        <v>524.55238798353344</v>
      </c>
      <c r="CZ110" s="62">
        <f t="shared" si="96"/>
        <v>216.94512104983255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-2.0395418687257919E-13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260.01925143568263</v>
      </c>
      <c r="T111" s="62">
        <f t="shared" si="88"/>
        <v>269.95358755269427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-2.8421709430404007E-13</v>
      </c>
      <c r="AJ111" s="14">
        <f>AI111*VLOOKUP('Données projet'!$B$10,Paramètres!$A$1:$I$89,3,0)*VLOOKUP('Données projet'!$B$10,Paramètres!$A$1:$I$89,5,0)</f>
        <v>-1.69961822393816E-13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289.24721145176682</v>
      </c>
      <c r="AO111" s="62">
        <f t="shared" si="90"/>
        <v>229.06617320689003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7.9089743589743575</v>
      </c>
      <c r="BD111" s="13">
        <f>IF('Données projet'!$A$88&gt;35,BD110+BC111-BL110,IF(A111&lt;'Données projet'!$A$88,$BA$205^A111,IF(A111='Données projet'!$A$88,'Données projet'!$B$88,BD110+BC111-BL110)))</f>
        <v>405.29102564102573</v>
      </c>
      <c r="BE111" s="14">
        <f>BD111*VLOOKUP('Données projet'!$B$11,Paramètres!$A$1:$I$89,3,0)*VLOOKUP('Données projet'!$B$11,Paramètres!$A$1:$I$89,5,0)</f>
        <v>189.67620000000005</v>
      </c>
      <c r="BF111" s="14">
        <f t="shared" si="91"/>
        <v>47.468358163684492</v>
      </c>
      <c r="BG111" s="22">
        <f t="shared" si="61"/>
        <v>413.02677213508395</v>
      </c>
      <c r="BH111" s="62">
        <f t="shared" si="62"/>
        <v>706.36010546841726</v>
      </c>
      <c r="BI111" s="62">
        <f ca="1">AVERAGE(OFFSET($BH$3,0,0,'Données projet'!$E$11+1,1))-AVERAGE(OFFSET($H$3,0,0,'Données projet'!$E$11+1,1))</f>
        <v>284.72381074796073</v>
      </c>
      <c r="BJ111" s="62">
        <f t="shared" si="92"/>
        <v>190.4880882944471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5.9865384615384558</v>
      </c>
      <c r="BY111" s="13">
        <f>IF('Données projet'!$A$114&gt;35,BY110+BX111-CG110,IF(A111&lt;'Données projet'!$A$114,$BV$205^A111,IF(A111='Données projet'!$A$114,'Données projet'!$B$114,BY110+BX111-CG110)))</f>
        <v>257.67692307692289</v>
      </c>
      <c r="BZ111" s="14">
        <f>BY111*VLOOKUP('Données projet'!$B$12,Paramètres!$A$1:$I$89,3,0)*VLOOKUP('Données projet'!$B$12,Paramètres!$A$1:$I$89,5,0)</f>
        <v>261.28439999999983</v>
      </c>
      <c r="CA111" s="14">
        <f t="shared" si="93"/>
        <v>62.99608156214429</v>
      </c>
      <c r="CB111" s="22">
        <f t="shared" si="64"/>
        <v>564.78850538740096</v>
      </c>
      <c r="CC111" s="62">
        <f t="shared" si="65"/>
        <v>858.12183872073433</v>
      </c>
      <c r="CD111" s="62">
        <f ca="1">AVERAGE(OFFSET($CC$3,0,0,'Données projet'!$E$12+1,1))-AVERAGE(OFFSET($H$3,0,0,'Données projet'!$E$12+1,1))</f>
        <v>496.71400086768705</v>
      </c>
      <c r="CE111" s="62">
        <f t="shared" si="94"/>
        <v>206.75063396134982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5.9865384615384558</v>
      </c>
      <c r="CT111" s="13">
        <f>IF('Données projet'!$A$140&gt;35,CT110+CS111-DB110,IF(A111&lt;'Données projet'!$A$140,$CQ$205^A111,IF(A111='Données projet'!$A$140,'Données projet'!$B$140,CT110+CS111-DB110)))</f>
        <v>257.67692307692289</v>
      </c>
      <c r="CU111" s="18">
        <f>CT111*VLOOKUP('Données projet'!$B$13,Paramètres!$A$1:$I$89,3,0)*VLOOKUP('Données projet'!$B$13,Paramètres!$A$1:$I$89,5,0)</f>
        <v>277.3634399999998</v>
      </c>
      <c r="CV111" s="14">
        <f t="shared" si="95"/>
        <v>66.409521534982929</v>
      </c>
      <c r="CW111" s="22">
        <f t="shared" si="67"/>
        <v>598.73790800676159</v>
      </c>
      <c r="CX111" s="62">
        <f t="shared" si="68"/>
        <v>892.07124134009496</v>
      </c>
      <c r="CY111" s="62">
        <f ca="1">AVERAGE(OFFSET($CX$3,0,0,'Données projet'!$E$13+1,1))-AVERAGE(OFFSET($H$3,0,0,'Données projet'!$E$13+1,1))</f>
        <v>524.55238798353344</v>
      </c>
      <c r="CZ111" s="62">
        <f t="shared" si="96"/>
        <v>216.94512104983255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-2.0395418687257919E-13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260.01925143568263</v>
      </c>
      <c r="T112" s="62">
        <f t="shared" si="88"/>
        <v>269.95358755269427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-2.8421709430404007E-13</v>
      </c>
      <c r="AJ112" s="14">
        <f>AI112*VLOOKUP('Données projet'!$B$10,Paramètres!$A$1:$I$89,3,0)*VLOOKUP('Données projet'!$B$10,Paramètres!$A$1:$I$89,5,0)</f>
        <v>-1.69961822393816E-13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289.24721145176682</v>
      </c>
      <c r="AO112" s="62">
        <f t="shared" si="90"/>
        <v>229.06617320689003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>
        <f>VLOOKUP(A112,'Données projet'!$A$87:$I$107,2,0)</f>
        <v>413.2</v>
      </c>
      <c r="BB112" s="13">
        <f>VLOOKUP(A112,'Données projet'!$A$87:$I$107,9,0)</f>
        <v>7.9089743589743575</v>
      </c>
      <c r="BC112" s="13">
        <f t="array" ref="BC112">INDEX(BB:BB,MIN(IF(ISNUMBER(BB112:BB308),ROW(BB112:BB308),"")))</f>
        <v>7.9089743589743575</v>
      </c>
      <c r="BD112" s="13">
        <f>IF('Données projet'!$A$88&gt;35,BD111+BC112-BL111,IF(A112&lt;'Données projet'!$A$88,$BA$205^A112,IF(A112='Données projet'!$A$88,'Données projet'!$B$88,BD111+BC112-BL111)))</f>
        <v>413.2000000000001</v>
      </c>
      <c r="BE112" s="14">
        <f>BD112*VLOOKUP('Données projet'!$B$11,Paramètres!$A$1:$I$89,3,0)*VLOOKUP('Données projet'!$B$11,Paramètres!$A$1:$I$89,5,0)</f>
        <v>193.37760000000006</v>
      </c>
      <c r="BF112" s="14">
        <f t="shared" si="91"/>
        <v>48.285924733018277</v>
      </c>
      <c r="BG112" s="22">
        <f t="shared" si="61"/>
        <v>420.89730557667355</v>
      </c>
      <c r="BH112" s="62">
        <f t="shared" si="62"/>
        <v>714.23063891000686</v>
      </c>
      <c r="BI112" s="62">
        <f ca="1">AVERAGE(OFFSET($BH$3,0,0,'Données projet'!$E$11+1,1))-AVERAGE(OFFSET($H$3,0,0,'Données projet'!$E$11+1,1))</f>
        <v>284.72381074796073</v>
      </c>
      <c r="BJ112" s="62">
        <f t="shared" si="92"/>
        <v>190.4880882944471</v>
      </c>
      <c r="BK112" s="16">
        <f>IF(ISNA(VLOOKUP(A112,'Données projet'!$A$87:$I$107,3,0)),0,VLOOKUP(A112,'Données projet'!$A$87:$I$107,3,0))</f>
        <v>6</v>
      </c>
      <c r="BL112" s="16">
        <f>IF(ISNA(VLOOKUP(A112,'Données projet'!$A$87:$I$107,4,0)),0,VLOOKUP(A112,'Données projet'!$A$87:$I$107,4,0))</f>
        <v>80.653846153846146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5.9865384615384558</v>
      </c>
      <c r="BY112" s="13">
        <f>IF('Données projet'!$A$114&gt;35,BY111+BX112-CG111,IF(A112&lt;'Données projet'!$A$114,$BV$205^A112,IF(A112='Données projet'!$A$114,'Données projet'!$B$114,BY111+BX112-CG111)))</f>
        <v>263.66346153846132</v>
      </c>
      <c r="BZ112" s="14">
        <f>BY112*VLOOKUP('Données projet'!$B$12,Paramètres!$A$1:$I$89,3,0)*VLOOKUP('Données projet'!$B$12,Paramètres!$A$1:$I$89,5,0)</f>
        <v>267.3547499999998</v>
      </c>
      <c r="CA112" s="14">
        <f t="shared" si="93"/>
        <v>64.287559200102251</v>
      </c>
      <c r="CB112" s="22">
        <f t="shared" si="64"/>
        <v>577.61035519017764</v>
      </c>
      <c r="CC112" s="62">
        <f t="shared" si="65"/>
        <v>870.9436885235109</v>
      </c>
      <c r="CD112" s="62">
        <f ca="1">AVERAGE(OFFSET($CC$3,0,0,'Données projet'!$E$12+1,1))-AVERAGE(OFFSET($H$3,0,0,'Données projet'!$E$12+1,1))</f>
        <v>496.71400086768705</v>
      </c>
      <c r="CE112" s="62">
        <f t="shared" si="94"/>
        <v>206.75063396134982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5.9865384615384558</v>
      </c>
      <c r="CT112" s="13">
        <f>IF('Données projet'!$A$140&gt;35,CT111+CS112-DB111,IF(A112&lt;'Données projet'!$A$140,$CQ$205^A112,IF(A112='Données projet'!$A$140,'Données projet'!$B$140,CT111+CS112-DB111)))</f>
        <v>263.66346153846132</v>
      </c>
      <c r="CU112" s="18">
        <f>CT112*VLOOKUP('Données projet'!$B$13,Paramètres!$A$1:$I$89,3,0)*VLOOKUP('Données projet'!$B$13,Paramètres!$A$1:$I$89,5,0)</f>
        <v>283.80734999999976</v>
      </c>
      <c r="CV112" s="14">
        <f t="shared" si="95"/>
        <v>67.770977833265661</v>
      </c>
      <c r="CW112" s="22">
        <f t="shared" si="67"/>
        <v>612.33225430960385</v>
      </c>
      <c r="CX112" s="62">
        <f t="shared" si="68"/>
        <v>905.66558764293723</v>
      </c>
      <c r="CY112" s="62">
        <f ca="1">AVERAGE(OFFSET($CX$3,0,0,'Données projet'!$E$13+1,1))-AVERAGE(OFFSET($H$3,0,0,'Données projet'!$E$13+1,1))</f>
        <v>524.55238798353344</v>
      </c>
      <c r="CZ112" s="62">
        <f t="shared" si="96"/>
        <v>216.94512104983255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-2.0395418687257919E-13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260.01925143568263</v>
      </c>
      <c r="T113" s="62">
        <f t="shared" si="88"/>
        <v>269.95358755269427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-2.8421709430404007E-13</v>
      </c>
      <c r="AJ113" s="14">
        <f>AI113*VLOOKUP('Données projet'!$B$10,Paramètres!$A$1:$I$89,3,0)*VLOOKUP('Données projet'!$B$10,Paramètres!$A$1:$I$89,5,0)</f>
        <v>-1.69961822393816E-13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289.24721145176682</v>
      </c>
      <c r="AO113" s="62">
        <f t="shared" si="90"/>
        <v>229.06617320689003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7.0935897435897362</v>
      </c>
      <c r="BD113" s="13">
        <f>IF('Données projet'!$A$88&gt;35,BD112+BC113-BL112,IF(A113&lt;'Données projet'!$A$88,$BA$205^A113,IF(A113='Données projet'!$A$88,'Données projet'!$B$88,BD112+BC113-BL112)))</f>
        <v>339.63974358974372</v>
      </c>
      <c r="BE113" s="14">
        <f>BD113*VLOOKUP('Données projet'!$B$11,Paramètres!$A$1:$I$89,3,0)*VLOOKUP('Données projet'!$B$11,Paramètres!$A$1:$I$89,5,0)</f>
        <v>158.95140000000006</v>
      </c>
      <c r="BF113" s="14">
        <f t="shared" si="91"/>
        <v>40.605910315547213</v>
      </c>
      <c r="BG113" s="22">
        <f t="shared" si="61"/>
        <v>347.56231546624485</v>
      </c>
      <c r="BH113" s="62">
        <f t="shared" si="62"/>
        <v>640.89564879957811</v>
      </c>
      <c r="BI113" s="62">
        <f ca="1">AVERAGE(OFFSET($BH$3,0,0,'Données projet'!$E$11+1,1))-AVERAGE(OFFSET($H$3,0,0,'Données projet'!$E$11+1,1))</f>
        <v>284.72381074796073</v>
      </c>
      <c r="BJ113" s="62">
        <f t="shared" si="92"/>
        <v>190.4880882944471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5.9865384615384558</v>
      </c>
      <c r="BY113" s="13">
        <f>IF('Données projet'!$A$114&gt;35,BY112+BX113-CG112,IF(A113&lt;'Données projet'!$A$114,$BV$205^A113,IF(A113='Données projet'!$A$114,'Données projet'!$B$114,BY112+BX113-CG112)))</f>
        <v>269.64999999999975</v>
      </c>
      <c r="BZ113" s="14">
        <f>BY113*VLOOKUP('Données projet'!$B$12,Paramètres!$A$1:$I$89,3,0)*VLOOKUP('Données projet'!$B$12,Paramètres!$A$1:$I$89,5,0)</f>
        <v>273.42509999999976</v>
      </c>
      <c r="CA113" s="14">
        <f t="shared" si="93"/>
        <v>65.57562780376314</v>
      </c>
      <c r="CB113" s="22">
        <f t="shared" si="64"/>
        <v>590.42626759155371</v>
      </c>
      <c r="CC113" s="62">
        <f t="shared" si="65"/>
        <v>883.75960092488708</v>
      </c>
      <c r="CD113" s="62">
        <f ca="1">AVERAGE(OFFSET($CC$3,0,0,'Données projet'!$E$12+1,1))-AVERAGE(OFFSET($H$3,0,0,'Données projet'!$E$12+1,1))</f>
        <v>496.71400086768705</v>
      </c>
      <c r="CE113" s="62">
        <f t="shared" si="94"/>
        <v>206.75063396134982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5.9865384615384558</v>
      </c>
      <c r="CT113" s="13">
        <f>IF('Données projet'!$A$140&gt;35,CT112+CS113-DB112,IF(A113&lt;'Données projet'!$A$140,$CQ$205^A113,IF(A113='Données projet'!$A$140,'Données projet'!$B$140,CT112+CS113-DB112)))</f>
        <v>269.64999999999975</v>
      </c>
      <c r="CU113" s="18">
        <f>CT113*VLOOKUP('Données projet'!$B$13,Paramètres!$A$1:$I$89,3,0)*VLOOKUP('Données projet'!$B$13,Paramètres!$A$1:$I$89,5,0)</f>
        <v>290.25125999999972</v>
      </c>
      <c r="CV113" s="14">
        <f t="shared" si="95"/>
        <v>69.128840378874486</v>
      </c>
      <c r="CW113" s="22">
        <f t="shared" si="67"/>
        <v>625.92034149320591</v>
      </c>
      <c r="CX113" s="62">
        <f t="shared" si="68"/>
        <v>919.25367482653928</v>
      </c>
      <c r="CY113" s="62">
        <f ca="1">AVERAGE(OFFSET($CX$3,0,0,'Données projet'!$E$13+1,1))-AVERAGE(OFFSET($H$3,0,0,'Données projet'!$E$13+1,1))</f>
        <v>524.55238798353344</v>
      </c>
      <c r="CZ113" s="62">
        <f t="shared" si="96"/>
        <v>216.94512104983255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-2.0395418687257919E-13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260.01925143568263</v>
      </c>
      <c r="T114" s="62">
        <f t="shared" si="88"/>
        <v>269.95358755269427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-2.8421709430404007E-13</v>
      </c>
      <c r="AJ114" s="14">
        <f>AI114*VLOOKUP('Données projet'!$B$10,Paramètres!$A$1:$I$89,3,0)*VLOOKUP('Données projet'!$B$10,Paramètres!$A$1:$I$89,5,0)</f>
        <v>-1.69961822393816E-13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289.24721145176682</v>
      </c>
      <c r="AO114" s="62">
        <f t="shared" si="90"/>
        <v>229.06617320689003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7.0935897435897362</v>
      </c>
      <c r="BD114" s="13">
        <f>IF('Données projet'!$A$88&gt;35,BD113+BC114-BL113,IF(A114&lt;'Données projet'!$A$88,$BA$205^A114,IF(A114='Données projet'!$A$88,'Données projet'!$B$88,BD113+BC114-BL113)))</f>
        <v>346.73333333333346</v>
      </c>
      <c r="BE114" s="14">
        <f>BD114*VLOOKUP('Données projet'!$B$11,Paramètres!$A$1:$I$89,3,0)*VLOOKUP('Données projet'!$B$11,Paramètres!$A$1:$I$89,5,0)</f>
        <v>162.27120000000005</v>
      </c>
      <c r="BF114" s="14">
        <f t="shared" si="91"/>
        <v>41.354369909446504</v>
      </c>
      <c r="BG114" s="22">
        <f t="shared" si="61"/>
        <v>354.64786759228605</v>
      </c>
      <c r="BH114" s="62">
        <f t="shared" si="62"/>
        <v>647.98120092561931</v>
      </c>
      <c r="BI114" s="62">
        <f ca="1">AVERAGE(OFFSET($BH$3,0,0,'Données projet'!$E$11+1,1))-AVERAGE(OFFSET($H$3,0,0,'Données projet'!$E$11+1,1))</f>
        <v>284.72381074796073</v>
      </c>
      <c r="BJ114" s="62">
        <f t="shared" si="92"/>
        <v>190.4880882944471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5.9865384615384558</v>
      </c>
      <c r="BY114" s="13">
        <f>IF('Données projet'!$A$114&gt;35,BY113+BX114-CG113,IF(A114&lt;'Données projet'!$A$114,$BV$205^A114,IF(A114='Données projet'!$A$114,'Données projet'!$B$114,BY113+BX114-CG113)))</f>
        <v>275.63653846153818</v>
      </c>
      <c r="BZ114" s="14">
        <f>BY114*VLOOKUP('Données projet'!$B$12,Paramètres!$A$1:$I$89,3,0)*VLOOKUP('Données projet'!$B$12,Paramètres!$A$1:$I$89,5,0)</f>
        <v>279.49544999999972</v>
      </c>
      <c r="CA114" s="14">
        <f t="shared" si="93"/>
        <v>66.860371772185445</v>
      </c>
      <c r="CB114" s="22">
        <f t="shared" si="64"/>
        <v>603.23638958655579</v>
      </c>
      <c r="CC114" s="62">
        <f t="shared" si="65"/>
        <v>896.56972291988905</v>
      </c>
      <c r="CD114" s="62">
        <f ca="1">AVERAGE(OFFSET($CC$3,0,0,'Données projet'!$E$12+1,1))-AVERAGE(OFFSET($H$3,0,0,'Données projet'!$E$12+1,1))</f>
        <v>496.71400086768705</v>
      </c>
      <c r="CE114" s="62">
        <f t="shared" si="94"/>
        <v>206.75063396134982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5.9865384615384558</v>
      </c>
      <c r="CT114" s="13">
        <f>IF('Données projet'!$A$140&gt;35,CT113+CS114-DB113,IF(A114&lt;'Données projet'!$A$140,$CQ$205^A114,IF(A114='Données projet'!$A$140,'Données projet'!$B$140,CT113+CS114-DB113)))</f>
        <v>275.63653846153818</v>
      </c>
      <c r="CU114" s="18">
        <f>CT114*VLOOKUP('Données projet'!$B$13,Paramètres!$A$1:$I$89,3,0)*VLOOKUP('Données projet'!$B$13,Paramètres!$A$1:$I$89,5,0)</f>
        <v>296.69516999999968</v>
      </c>
      <c r="CV114" s="14">
        <f t="shared" si="95"/>
        <v>70.483198144027199</v>
      </c>
      <c r="CW114" s="22">
        <f t="shared" si="67"/>
        <v>639.50232451751344</v>
      </c>
      <c r="CX114" s="62">
        <f t="shared" si="68"/>
        <v>932.8356578508467</v>
      </c>
      <c r="CY114" s="62">
        <f ca="1">AVERAGE(OFFSET($CX$3,0,0,'Données projet'!$E$13+1,1))-AVERAGE(OFFSET($H$3,0,0,'Données projet'!$E$13+1,1))</f>
        <v>524.55238798353344</v>
      </c>
      <c r="CZ114" s="62">
        <f t="shared" si="96"/>
        <v>216.94512104983255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-2.0395418687257919E-13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260.01925143568263</v>
      </c>
      <c r="T115" s="62">
        <f t="shared" si="88"/>
        <v>269.95358755269427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-2.8421709430404007E-13</v>
      </c>
      <c r="AJ115" s="14">
        <f>AI115*VLOOKUP('Données projet'!$B$10,Paramètres!$A$1:$I$89,3,0)*VLOOKUP('Données projet'!$B$10,Paramètres!$A$1:$I$89,5,0)</f>
        <v>-1.69961822393816E-13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289.24721145176682</v>
      </c>
      <c r="AO115" s="62">
        <f t="shared" si="90"/>
        <v>229.06617320689003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7.0935897435897362</v>
      </c>
      <c r="BD115" s="13">
        <f>IF('Données projet'!$A$88&gt;35,BD114+BC115-BL114,IF(A115&lt;'Données projet'!$A$88,$BA$205^A115,IF(A115='Données projet'!$A$88,'Données projet'!$B$88,BD114+BC115-BL114)))</f>
        <v>353.82692307692321</v>
      </c>
      <c r="BE115" s="14">
        <f>BD115*VLOOKUP('Données projet'!$B$11,Paramètres!$A$1:$I$89,3,0)*VLOOKUP('Données projet'!$B$11,Paramètres!$A$1:$I$89,5,0)</f>
        <v>165.59100000000007</v>
      </c>
      <c r="BF115" s="14">
        <f t="shared" si="91"/>
        <v>42.101049147412809</v>
      </c>
      <c r="BG115" s="22">
        <f t="shared" si="61"/>
        <v>361.73031893174408</v>
      </c>
      <c r="BH115" s="62">
        <f t="shared" si="62"/>
        <v>655.06365226507739</v>
      </c>
      <c r="BI115" s="62">
        <f ca="1">AVERAGE(OFFSET($BH$3,0,0,'Données projet'!$E$11+1,1))-AVERAGE(OFFSET($H$3,0,0,'Données projet'!$E$11+1,1))</f>
        <v>284.72381074796073</v>
      </c>
      <c r="BJ115" s="62">
        <f t="shared" si="92"/>
        <v>190.4880882944471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5.9865384615384558</v>
      </c>
      <c r="BY115" s="13">
        <f>IF('Données projet'!$A$114&gt;35,BY114+BX115-CG114,IF(A115&lt;'Données projet'!$A$114,$BV$205^A115,IF(A115='Données projet'!$A$114,'Données projet'!$B$114,BY114+BX115-CG114)))</f>
        <v>281.62307692307661</v>
      </c>
      <c r="BZ115" s="14">
        <f>BY115*VLOOKUP('Données projet'!$B$12,Paramètres!$A$1:$I$89,3,0)*VLOOKUP('Données projet'!$B$12,Paramètres!$A$1:$I$89,5,0)</f>
        <v>285.56579999999968</v>
      </c>
      <c r="CA115" s="14">
        <f t="shared" si="93"/>
        <v>68.141871628924491</v>
      </c>
      <c r="CB115" s="22">
        <f t="shared" si="64"/>
        <v>616.04086142037625</v>
      </c>
      <c r="CC115" s="62">
        <f t="shared" si="65"/>
        <v>909.37419475370962</v>
      </c>
      <c r="CD115" s="62">
        <f ca="1">AVERAGE(OFFSET($CC$3,0,0,'Données projet'!$E$12+1,1))-AVERAGE(OFFSET($H$3,0,0,'Données projet'!$E$12+1,1))</f>
        <v>496.71400086768705</v>
      </c>
      <c r="CE115" s="62">
        <f t="shared" si="94"/>
        <v>206.75063396134982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5.9865384615384558</v>
      </c>
      <c r="CT115" s="13">
        <f>IF('Données projet'!$A$140&gt;35,CT114+CS115-DB114,IF(A115&lt;'Données projet'!$A$140,$CQ$205^A115,IF(A115='Données projet'!$A$140,'Données projet'!$B$140,CT114+CS115-DB114)))</f>
        <v>281.62307692307661</v>
      </c>
      <c r="CU115" s="18">
        <f>CT115*VLOOKUP('Données projet'!$B$13,Paramètres!$A$1:$I$89,3,0)*VLOOKUP('Données projet'!$B$13,Paramètres!$A$1:$I$89,5,0)</f>
        <v>303.13907999999964</v>
      </c>
      <c r="CV115" s="14">
        <f t="shared" si="95"/>
        <v>71.834136015444372</v>
      </c>
      <c r="CW115" s="22">
        <f t="shared" si="67"/>
        <v>653.07835122689823</v>
      </c>
      <c r="CX115" s="62">
        <f t="shared" si="68"/>
        <v>946.41168456023161</v>
      </c>
      <c r="CY115" s="62">
        <f ca="1">AVERAGE(OFFSET($CX$3,0,0,'Données projet'!$E$13+1,1))-AVERAGE(OFFSET($H$3,0,0,'Données projet'!$E$13+1,1))</f>
        <v>524.55238798353344</v>
      </c>
      <c r="CZ115" s="62">
        <f t="shared" si="96"/>
        <v>216.94512104983255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-2.0395418687257919E-13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260.01925143568263</v>
      </c>
      <c r="T116" s="62">
        <f t="shared" si="88"/>
        <v>269.95358755269427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-2.8421709430404007E-13</v>
      </c>
      <c r="AJ116" s="14">
        <f>AI116*VLOOKUP('Données projet'!$B$10,Paramètres!$A$1:$I$89,3,0)*VLOOKUP('Données projet'!$B$10,Paramètres!$A$1:$I$89,5,0)</f>
        <v>-1.69961822393816E-13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289.24721145176682</v>
      </c>
      <c r="AO116" s="62">
        <f t="shared" si="90"/>
        <v>229.06617320689003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7.0935897435897362</v>
      </c>
      <c r="BD116" s="13">
        <f>IF('Données projet'!$A$88&gt;35,BD115+BC116-BL115,IF(A116&lt;'Données projet'!$A$88,$BA$205^A116,IF(A116='Données projet'!$A$88,'Données projet'!$B$88,BD115+BC116-BL115)))</f>
        <v>360.92051282051295</v>
      </c>
      <c r="BE116" s="14">
        <f>BD116*VLOOKUP('Données projet'!$B$11,Paramètres!$A$1:$I$89,3,0)*VLOOKUP('Données projet'!$B$11,Paramètres!$A$1:$I$89,5,0)</f>
        <v>168.91080000000008</v>
      </c>
      <c r="BF116" s="14">
        <f t="shared" si="91"/>
        <v>42.845987835941031</v>
      </c>
      <c r="BG116" s="22">
        <f t="shared" si="61"/>
        <v>368.80973881426411</v>
      </c>
      <c r="BH116" s="62">
        <f t="shared" si="62"/>
        <v>662.14307214759742</v>
      </c>
      <c r="BI116" s="62">
        <f ca="1">AVERAGE(OFFSET($BH$3,0,0,'Données projet'!$E$11+1,1))-AVERAGE(OFFSET($H$3,0,0,'Données projet'!$E$11+1,1))</f>
        <v>284.72381074796073</v>
      </c>
      <c r="BJ116" s="62">
        <f t="shared" si="92"/>
        <v>190.4880882944471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5.9865384615384558</v>
      </c>
      <c r="BY116" s="13">
        <f>IF('Données projet'!$A$114&gt;35,BY115+BX116-CG115,IF(A116&lt;'Données projet'!$A$114,$BV$205^A116,IF(A116='Données projet'!$A$114,'Données projet'!$B$114,BY115+BX116-CG115)))</f>
        <v>287.60961538461504</v>
      </c>
      <c r="BZ116" s="14">
        <f>BY116*VLOOKUP('Données projet'!$B$12,Paramètres!$A$1:$I$89,3,0)*VLOOKUP('Données projet'!$B$12,Paramètres!$A$1:$I$89,5,0)</f>
        <v>291.6361499999997</v>
      </c>
      <c r="CA116" s="14">
        <f t="shared" si="93"/>
        <v>69.420204278529567</v>
      </c>
      <c r="CB116" s="22">
        <f t="shared" si="64"/>
        <v>628.83981703510517</v>
      </c>
      <c r="CC116" s="62">
        <f t="shared" si="65"/>
        <v>922.17315036843843</v>
      </c>
      <c r="CD116" s="62">
        <f ca="1">AVERAGE(OFFSET($CC$3,0,0,'Données projet'!$E$12+1,1))-AVERAGE(OFFSET($H$3,0,0,'Données projet'!$E$12+1,1))</f>
        <v>496.71400086768705</v>
      </c>
      <c r="CE116" s="62">
        <f t="shared" si="94"/>
        <v>206.75063396134982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5.9865384615384558</v>
      </c>
      <c r="CT116" s="13">
        <f>IF('Données projet'!$A$140&gt;35,CT115+CS116-DB115,IF(A116&lt;'Données projet'!$A$140,$CQ$205^A116,IF(A116='Données projet'!$A$140,'Données projet'!$B$140,CT115+CS116-DB115)))</f>
        <v>287.60961538461504</v>
      </c>
      <c r="CU116" s="18">
        <f>CT116*VLOOKUP('Données projet'!$B$13,Paramètres!$A$1:$I$89,3,0)*VLOOKUP('Données projet'!$B$13,Paramètres!$A$1:$I$89,5,0)</f>
        <v>309.5829899999996</v>
      </c>
      <c r="CV116" s="14">
        <f t="shared" si="95"/>
        <v>73.181735064745141</v>
      </c>
      <c r="CW116" s="22">
        <f t="shared" si="67"/>
        <v>666.64856282109702</v>
      </c>
      <c r="CX116" s="62">
        <f t="shared" si="68"/>
        <v>959.98189615443039</v>
      </c>
      <c r="CY116" s="62">
        <f ca="1">AVERAGE(OFFSET($CX$3,0,0,'Données projet'!$E$13+1,1))-AVERAGE(OFFSET($H$3,0,0,'Données projet'!$E$13+1,1))</f>
        <v>524.55238798353344</v>
      </c>
      <c r="CZ116" s="62">
        <f t="shared" si="96"/>
        <v>216.94512104983255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-2.0395418687257919E-13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260.01925143568263</v>
      </c>
      <c r="T117" s="62">
        <f t="shared" si="88"/>
        <v>269.95358755269427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-2.8421709430404007E-13</v>
      </c>
      <c r="AJ117" s="14">
        <f>AI117*VLOOKUP('Données projet'!$B$10,Paramètres!$A$1:$I$89,3,0)*VLOOKUP('Données projet'!$B$10,Paramètres!$A$1:$I$89,5,0)</f>
        <v>-1.69961822393816E-13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289.24721145176682</v>
      </c>
      <c r="AO117" s="62">
        <f t="shared" si="90"/>
        <v>229.06617320689003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7.0935897435897362</v>
      </c>
      <c r="BD117" s="13">
        <f>IF('Données projet'!$A$88&gt;35,BD116+BC117-BL116,IF(A117&lt;'Données projet'!$A$88,$BA$205^A117,IF(A117='Données projet'!$A$88,'Données projet'!$B$88,BD116+BC117-BL116)))</f>
        <v>368.0141025641027</v>
      </c>
      <c r="BE117" s="14">
        <f>BD117*VLOOKUP('Données projet'!$B$11,Paramètres!$A$1:$I$89,3,0)*VLOOKUP('Données projet'!$B$11,Paramètres!$A$1:$I$89,5,0)</f>
        <v>172.23060000000007</v>
      </c>
      <c r="BF117" s="14">
        <f t="shared" si="91"/>
        <v>43.58922412730584</v>
      </c>
      <c r="BG117" s="22">
        <f t="shared" si="61"/>
        <v>375.88619368839113</v>
      </c>
      <c r="BH117" s="62">
        <f t="shared" si="62"/>
        <v>669.21952702172439</v>
      </c>
      <c r="BI117" s="62">
        <f ca="1">AVERAGE(OFFSET($BH$3,0,0,'Données projet'!$E$11+1,1))-AVERAGE(OFFSET($H$3,0,0,'Données projet'!$E$11+1,1))</f>
        <v>284.72381074796073</v>
      </c>
      <c r="BJ117" s="62">
        <f t="shared" si="92"/>
        <v>190.4880882944471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>
        <f>VLOOKUP(A117,'Données projet'!$A$113:$I$133,2,0)</f>
        <v>293.59615384615381</v>
      </c>
      <c r="BW117" s="13">
        <f>VLOOKUP(A117,'Données projet'!$A$113:$I$133,9,0)</f>
        <v>5.9865384615384558</v>
      </c>
      <c r="BX117" s="13">
        <f t="array" ref="BX117">INDEX(BW:BW,MIN(IF(ISNUMBER(BW117:BW313),ROW(BW117:BW313),"")))</f>
        <v>5.9865384615384558</v>
      </c>
      <c r="BY117" s="13">
        <f>IF('Données projet'!$A$114&gt;35,BY116+BX117-CG116,IF(A117&lt;'Données projet'!$A$114,$BV$205^A117,IF(A117='Données projet'!$A$114,'Données projet'!$B$114,BY116+BX117-CG116)))</f>
        <v>293.59615384615347</v>
      </c>
      <c r="BZ117" s="14">
        <f>BY117*VLOOKUP('Données projet'!$B$12,Paramètres!$A$1:$I$89,3,0)*VLOOKUP('Données projet'!$B$12,Paramètres!$A$1:$I$89,5,0)</f>
        <v>297.70649999999961</v>
      </c>
      <c r="CA117" s="14">
        <f t="shared" si="93"/>
        <v>70.695443241083026</v>
      </c>
      <c r="CB117" s="22">
        <f t="shared" si="64"/>
        <v>641.63338447821877</v>
      </c>
      <c r="CC117" s="62">
        <f t="shared" si="65"/>
        <v>934.96671781155214</v>
      </c>
      <c r="CD117" s="62">
        <f ca="1">AVERAGE(OFFSET($CC$3,0,0,'Données projet'!$E$12+1,1))-AVERAGE(OFFSET($H$3,0,0,'Données projet'!$E$12+1,1))</f>
        <v>496.71400086768705</v>
      </c>
      <c r="CE117" s="62">
        <f t="shared" si="94"/>
        <v>206.75063396134982</v>
      </c>
      <c r="CF117" s="16">
        <f>IF(ISNA(VLOOKUP(A117,'Données projet'!$A$113:$I$133,3,0)),0,VLOOKUP(A117,'Données projet'!$A$113:$I$133,3,0))</f>
        <v>9</v>
      </c>
      <c r="CG117" s="16">
        <f>IF(ISNA(VLOOKUP(A117,'Données projet'!$A$113:$I$133,4,0)),0,VLOOKUP(A117,'Données projet'!$A$113:$I$133,4,0))</f>
        <v>42.78846153846154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>
        <f>VLOOKUP(A117,'Données projet'!$A$139:$I$159,2,0)</f>
        <v>293.59615384615381</v>
      </c>
      <c r="CR117" s="13">
        <f>VLOOKUP(A117,'Données projet'!$A$139:$I$159,9,0)</f>
        <v>5.9865384615384558</v>
      </c>
      <c r="CS117" s="13">
        <f t="array" ref="CS117">INDEX(CR:CR,MIN(IF(ISNUMBER(CR117:CR313),ROW(CR117:CR313),"")))</f>
        <v>5.9865384615384558</v>
      </c>
      <c r="CT117" s="13">
        <f>IF('Données projet'!$A$140&gt;35,CT116+CS117-DB116,IF(A117&lt;'Données projet'!$A$140,$CQ$205^A117,IF(A117='Données projet'!$A$140,'Données projet'!$B$140,CT116+CS117-DB116)))</f>
        <v>293.59615384615347</v>
      </c>
      <c r="CU117" s="18">
        <f>CT117*VLOOKUP('Données projet'!$B$13,Paramètres!$A$1:$I$89,3,0)*VLOOKUP('Données projet'!$B$13,Paramètres!$A$1:$I$89,5,0)</f>
        <v>316.02689999999961</v>
      </c>
      <c r="CV117" s="14">
        <f t="shared" si="95"/>
        <v>74.526072795694404</v>
      </c>
      <c r="CW117" s="22">
        <f t="shared" si="67"/>
        <v>680.21309428583368</v>
      </c>
      <c r="CX117" s="62">
        <f t="shared" si="68"/>
        <v>973.54642761916693</v>
      </c>
      <c r="CY117" s="62">
        <f ca="1">AVERAGE(OFFSET($CX$3,0,0,'Données projet'!$E$13+1,1))-AVERAGE(OFFSET($H$3,0,0,'Données projet'!$E$13+1,1))</f>
        <v>524.55238798353344</v>
      </c>
      <c r="CZ117" s="62">
        <f t="shared" si="96"/>
        <v>216.94512104983255</v>
      </c>
      <c r="DA117" s="16">
        <f>IF(ISNA(VLOOKUP(A117,'Données projet'!$A$139:$I$159,3,0)),0,VLOOKUP(A117,'Données projet'!$A$139:$I$159,3,0))</f>
        <v>9</v>
      </c>
      <c r="DB117" s="16">
        <f>IF(ISNA(VLOOKUP(A117,'Données projet'!$A$139:$I$159,4,0)),0,VLOOKUP(A117,'Données projet'!$A$139:$I$159,4,0))</f>
        <v>42.78846153846154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-2.0395418687257919E-13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260.01925143568263</v>
      </c>
      <c r="T118" s="62">
        <f t="shared" si="88"/>
        <v>269.95358755269427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-2.8421709430404007E-13</v>
      </c>
      <c r="AJ118" s="14">
        <f>AI118*VLOOKUP('Données projet'!$B$10,Paramètres!$A$1:$I$89,3,0)*VLOOKUP('Données projet'!$B$10,Paramètres!$A$1:$I$89,5,0)</f>
        <v>-1.69961822393816E-13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289.24721145176682</v>
      </c>
      <c r="AO118" s="62">
        <f t="shared" si="90"/>
        <v>229.06617320689003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375.10769230769228</v>
      </c>
      <c r="BB118" s="13">
        <f>VLOOKUP(A118,'Données projet'!$A$87:$I$107,9,0)</f>
        <v>7.0935897435897362</v>
      </c>
      <c r="BC118" s="13">
        <f t="array" ref="BC118">INDEX(BB:BB,MIN(IF(ISNUMBER(BB118:BB314),ROW(BB118:BB314),"")))</f>
        <v>7.0935897435897362</v>
      </c>
      <c r="BD118" s="13">
        <f>IF('Données projet'!$A$88&gt;35,BD117+BC118-BL117,IF(A118&lt;'Données projet'!$A$88,$BA$205^A118,IF(A118='Données projet'!$A$88,'Données projet'!$B$88,BD117+BC118-BL117)))</f>
        <v>375.10769230769245</v>
      </c>
      <c r="BE118" s="14">
        <f>BD118*VLOOKUP('Données projet'!$B$11,Paramètres!$A$1:$I$89,3,0)*VLOOKUP('Données projet'!$B$11,Paramètres!$A$1:$I$89,5,0)</f>
        <v>175.55040000000005</v>
      </c>
      <c r="BF118" s="14">
        <f t="shared" si="91"/>
        <v>44.330794618843079</v>
      </c>
      <c r="BG118" s="22">
        <f t="shared" si="61"/>
        <v>382.95974729448511</v>
      </c>
      <c r="BH118" s="62">
        <f t="shared" si="62"/>
        <v>676.29308062781843</v>
      </c>
      <c r="BI118" s="62">
        <f ca="1">AVERAGE(OFFSET($BH$3,0,0,'Données projet'!$E$11+1,1))-AVERAGE(OFFSET($H$3,0,0,'Données projet'!$E$11+1,1))</f>
        <v>284.72381074796073</v>
      </c>
      <c r="BJ118" s="62">
        <f t="shared" si="92"/>
        <v>190.4880882944471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6.0153846153846189</v>
      </c>
      <c r="BY118" s="13">
        <f>IF('Données projet'!$A$114&gt;35,BY117+BX118-CG117,IF(A118&lt;'Données projet'!$A$114,$BV$205^A118,IF(A118='Données projet'!$A$114,'Données projet'!$B$114,BY117+BX118-CG117)))</f>
        <v>256.82307692307654</v>
      </c>
      <c r="BZ118" s="14">
        <f>BY118*VLOOKUP('Données projet'!$B$12,Paramètres!$A$1:$I$89,3,0)*VLOOKUP('Données projet'!$B$12,Paramètres!$A$1:$I$89,5,0)</f>
        <v>260.41859999999963</v>
      </c>
      <c r="CA118" s="14">
        <f t="shared" si="93"/>
        <v>62.811598204259923</v>
      </c>
      <c r="CB118" s="22">
        <f t="shared" si="64"/>
        <v>562.95926187241867</v>
      </c>
      <c r="CC118" s="62">
        <f t="shared" si="65"/>
        <v>856.29259520575192</v>
      </c>
      <c r="CD118" s="62">
        <f ca="1">AVERAGE(OFFSET($CC$3,0,0,'Données projet'!$E$12+1,1))-AVERAGE(OFFSET($H$3,0,0,'Données projet'!$E$12+1,1))</f>
        <v>496.71400086768705</v>
      </c>
      <c r="CE118" s="62">
        <f t="shared" si="94"/>
        <v>206.75063396134982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6.0153846153846189</v>
      </c>
      <c r="CT118" s="13">
        <f>IF('Données projet'!$A$140&gt;35,CT117+CS118-DB117,IF(A118&lt;'Données projet'!$A$140,$CQ$205^A118,IF(A118='Données projet'!$A$140,'Données projet'!$B$140,CT117+CS118-DB117)))</f>
        <v>256.82307692307654</v>
      </c>
      <c r="CU118" s="18">
        <f>CT118*VLOOKUP('Données projet'!$B$13,Paramètres!$A$1:$I$89,3,0)*VLOOKUP('Données projet'!$B$13,Paramètres!$A$1:$I$89,5,0)</f>
        <v>276.44435999999962</v>
      </c>
      <c r="CV118" s="14">
        <f t="shared" si="95"/>
        <v>66.215041954277808</v>
      </c>
      <c r="CW118" s="22">
        <f t="shared" si="67"/>
        <v>596.79845840369978</v>
      </c>
      <c r="CX118" s="62">
        <f t="shared" si="68"/>
        <v>890.13179173703315</v>
      </c>
      <c r="CY118" s="62">
        <f ca="1">AVERAGE(OFFSET($CX$3,0,0,'Données projet'!$E$13+1,1))-AVERAGE(OFFSET($H$3,0,0,'Données projet'!$E$13+1,1))</f>
        <v>524.55238798353344</v>
      </c>
      <c r="CZ118" s="62">
        <f t="shared" si="96"/>
        <v>216.94512104983255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-2.0395418687257919E-13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260.01925143568263</v>
      </c>
      <c r="T119" s="62">
        <f t="shared" si="88"/>
        <v>269.95358755269427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-2.8421709430404007E-13</v>
      </c>
      <c r="AJ119" s="14">
        <f>AI119*VLOOKUP('Données projet'!$B$10,Paramètres!$A$1:$I$89,3,0)*VLOOKUP('Données projet'!$B$10,Paramètres!$A$1:$I$89,5,0)</f>
        <v>-1.69961822393816E-13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289.24721145176682</v>
      </c>
      <c r="AO119" s="62">
        <f t="shared" si="90"/>
        <v>229.06617320689003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7.083333333333333</v>
      </c>
      <c r="BD119" s="13">
        <f>IF('Données projet'!$A$88&gt;35,BD118+BC119-BL118,IF(A119&lt;'Données projet'!$A$88,$BA$205^A119,IF(A119='Données projet'!$A$88,'Données projet'!$B$88,BD118+BC119-BL118)))</f>
        <v>382.19102564102576</v>
      </c>
      <c r="BE119" s="14">
        <f>BD119*VLOOKUP('Données projet'!$B$11,Paramètres!$A$1:$I$89,3,0)*VLOOKUP('Données projet'!$B$11,Paramètres!$A$1:$I$89,5,0)</f>
        <v>178.86540000000005</v>
      </c>
      <c r="BF119" s="14">
        <f t="shared" si="91"/>
        <v>45.069665748308438</v>
      </c>
      <c r="BG119" s="22">
        <f t="shared" si="61"/>
        <v>390.02023951163727</v>
      </c>
      <c r="BH119" s="62">
        <f t="shared" si="62"/>
        <v>683.35357284497059</v>
      </c>
      <c r="BI119" s="62">
        <f ca="1">AVERAGE(OFFSET($BH$3,0,0,'Données projet'!$E$11+1,1))-AVERAGE(OFFSET($H$3,0,0,'Données projet'!$E$11+1,1))</f>
        <v>284.72381074796073</v>
      </c>
      <c r="BJ119" s="62">
        <f t="shared" si="92"/>
        <v>190.4880882944471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6.0153846153846189</v>
      </c>
      <c r="BY119" s="13">
        <f>IF('Données projet'!$A$114&gt;35,BY118+BX119-CG118,IF(A119&lt;'Données projet'!$A$114,$BV$205^A119,IF(A119='Données projet'!$A$114,'Données projet'!$B$114,BY118+BX119-CG118)))</f>
        <v>262.83846153846116</v>
      </c>
      <c r="BZ119" s="14">
        <f>BY119*VLOOKUP('Données projet'!$B$12,Paramètres!$A$1:$I$89,3,0)*VLOOKUP('Données projet'!$B$12,Paramètres!$A$1:$I$89,5,0)</f>
        <v>266.51819999999964</v>
      </c>
      <c r="CA119" s="14">
        <f t="shared" si="93"/>
        <v>64.109786193841643</v>
      </c>
      <c r="CB119" s="22">
        <f t="shared" si="64"/>
        <v>575.84374262094013</v>
      </c>
      <c r="CC119" s="62">
        <f t="shared" si="65"/>
        <v>869.1770759542735</v>
      </c>
      <c r="CD119" s="62">
        <f ca="1">AVERAGE(OFFSET($CC$3,0,0,'Données projet'!$E$12+1,1))-AVERAGE(OFFSET($H$3,0,0,'Données projet'!$E$12+1,1))</f>
        <v>496.71400086768705</v>
      </c>
      <c r="CE119" s="62">
        <f t="shared" si="94"/>
        <v>206.75063396134982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6.0153846153846189</v>
      </c>
      <c r="CT119" s="13">
        <f>IF('Données projet'!$A$140&gt;35,CT118+CS119-DB118,IF(A119&lt;'Données projet'!$A$140,$CQ$205^A119,IF(A119='Données projet'!$A$140,'Données projet'!$B$140,CT118+CS119-DB118)))</f>
        <v>262.83846153846116</v>
      </c>
      <c r="CU119" s="18">
        <f>CT119*VLOOKUP('Données projet'!$B$13,Paramètres!$A$1:$I$89,3,0)*VLOOKUP('Données projet'!$B$13,Paramètres!$A$1:$I$89,5,0)</f>
        <v>282.91931999999957</v>
      </c>
      <c r="CV119" s="14">
        <f t="shared" si="95"/>
        <v>67.583572204298719</v>
      </c>
      <c r="CW119" s="22">
        <f t="shared" si="67"/>
        <v>610.45920392248615</v>
      </c>
      <c r="CX119" s="62">
        <f t="shared" si="68"/>
        <v>903.79253725581952</v>
      </c>
      <c r="CY119" s="62">
        <f ca="1">AVERAGE(OFFSET($CX$3,0,0,'Données projet'!$E$13+1,1))-AVERAGE(OFFSET($H$3,0,0,'Données projet'!$E$13+1,1))</f>
        <v>524.55238798353344</v>
      </c>
      <c r="CZ119" s="62">
        <f t="shared" si="96"/>
        <v>216.94512104983255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-2.0395418687257919E-13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260.01925143568263</v>
      </c>
      <c r="T120" s="62">
        <f t="shared" si="88"/>
        <v>269.95358755269427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-2.8421709430404007E-13</v>
      </c>
      <c r="AJ120" s="14">
        <f>AI120*VLOOKUP('Données projet'!$B$10,Paramètres!$A$1:$I$89,3,0)*VLOOKUP('Données projet'!$B$10,Paramètres!$A$1:$I$89,5,0)</f>
        <v>-1.69961822393816E-13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289.24721145176682</v>
      </c>
      <c r="AO120" s="62">
        <f t="shared" si="90"/>
        <v>229.06617320689003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7.083333333333333</v>
      </c>
      <c r="BD120" s="13">
        <f>IF('Données projet'!$A$88&gt;35,BD119+BC120-BL119,IF(A120&lt;'Données projet'!$A$88,$BA$205^A120,IF(A120='Données projet'!$A$88,'Données projet'!$B$88,BD119+BC120-BL119)))</f>
        <v>389.27435897435907</v>
      </c>
      <c r="BE120" s="14">
        <f>BD120*VLOOKUP('Données projet'!$B$11,Paramètres!$A$1:$I$89,3,0)*VLOOKUP('Données projet'!$B$11,Paramètres!$A$1:$I$89,5,0)</f>
        <v>182.18040000000005</v>
      </c>
      <c r="BF120" s="14">
        <f t="shared" si="91"/>
        <v>45.806944534163691</v>
      </c>
      <c r="BG120" s="22">
        <f t="shared" si="61"/>
        <v>397.07795839700185</v>
      </c>
      <c r="BH120" s="62">
        <f t="shared" si="62"/>
        <v>690.41129173033517</v>
      </c>
      <c r="BI120" s="62">
        <f ca="1">AVERAGE(OFFSET($BH$3,0,0,'Données projet'!$E$11+1,1))-AVERAGE(OFFSET($H$3,0,0,'Données projet'!$E$11+1,1))</f>
        <v>284.72381074796073</v>
      </c>
      <c r="BJ120" s="62">
        <f t="shared" si="92"/>
        <v>190.4880882944471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6.0153846153846189</v>
      </c>
      <c r="BY120" s="13">
        <f>IF('Données projet'!$A$114&gt;35,BY119+BX120-CG119,IF(A120&lt;'Données projet'!$A$114,$BV$205^A120,IF(A120='Données projet'!$A$114,'Données projet'!$B$114,BY119+BX120-CG119)))</f>
        <v>268.85384615384578</v>
      </c>
      <c r="BZ120" s="14">
        <f>BY120*VLOOKUP('Données projet'!$B$12,Paramètres!$A$1:$I$89,3,0)*VLOOKUP('Données projet'!$B$12,Paramètres!$A$1:$I$89,5,0)</f>
        <v>272.61779999999965</v>
      </c>
      <c r="CA120" s="14">
        <f t="shared" si="93"/>
        <v>65.404520148048675</v>
      </c>
      <c r="CB120" s="22">
        <f t="shared" si="64"/>
        <v>588.72220759118409</v>
      </c>
      <c r="CC120" s="62">
        <f t="shared" si="65"/>
        <v>882.05554092451735</v>
      </c>
      <c r="CD120" s="62">
        <f ca="1">AVERAGE(OFFSET($CC$3,0,0,'Données projet'!$E$12+1,1))-AVERAGE(OFFSET($H$3,0,0,'Données projet'!$E$12+1,1))</f>
        <v>496.71400086768705</v>
      </c>
      <c r="CE120" s="62">
        <f t="shared" si="94"/>
        <v>206.75063396134982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6.0153846153846189</v>
      </c>
      <c r="CT120" s="13">
        <f>IF('Données projet'!$A$140&gt;35,CT119+CS120-DB119,IF(A120&lt;'Données projet'!$A$140,$CQ$205^A120,IF(A120='Données projet'!$A$140,'Données projet'!$B$140,CT119+CS120-DB119)))</f>
        <v>268.85384615384578</v>
      </c>
      <c r="CU120" s="18">
        <f>CT120*VLOOKUP('Données projet'!$B$13,Paramètres!$A$1:$I$89,3,0)*VLOOKUP('Données projet'!$B$13,Paramètres!$A$1:$I$89,5,0)</f>
        <v>289.39427999999958</v>
      </c>
      <c r="CV120" s="14">
        <f t="shared" si="95"/>
        <v>68.948461262186697</v>
      </c>
      <c r="CW120" s="22">
        <f t="shared" si="67"/>
        <v>624.11360769830765</v>
      </c>
      <c r="CX120" s="62">
        <f t="shared" si="68"/>
        <v>917.44694103164102</v>
      </c>
      <c r="CY120" s="62">
        <f ca="1">AVERAGE(OFFSET($CX$3,0,0,'Données projet'!$E$13+1,1))-AVERAGE(OFFSET($H$3,0,0,'Données projet'!$E$13+1,1))</f>
        <v>524.55238798353344</v>
      </c>
      <c r="CZ120" s="62">
        <f t="shared" si="96"/>
        <v>216.94512104983255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-2.0395418687257919E-13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260.01925143568263</v>
      </c>
      <c r="T121" s="62">
        <f t="shared" si="88"/>
        <v>269.95358755269427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-2.8421709430404007E-13</v>
      </c>
      <c r="AJ121" s="14">
        <f>AI121*VLOOKUP('Données projet'!$B$10,Paramètres!$A$1:$I$89,3,0)*VLOOKUP('Données projet'!$B$10,Paramètres!$A$1:$I$89,5,0)</f>
        <v>-1.69961822393816E-13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289.24721145176682</v>
      </c>
      <c r="AO121" s="62">
        <f t="shared" si="90"/>
        <v>229.06617320689003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7.083333333333333</v>
      </c>
      <c r="BD121" s="13">
        <f>IF('Données projet'!$A$88&gt;35,BD120+BC121-BL120,IF(A121&lt;'Données projet'!$A$88,$BA$205^A121,IF(A121='Données projet'!$A$88,'Données projet'!$B$88,BD120+BC121-BL120)))</f>
        <v>396.35769230769239</v>
      </c>
      <c r="BE121" s="14">
        <f>BD121*VLOOKUP('Données projet'!$B$11,Paramètres!$A$1:$I$89,3,0)*VLOOKUP('Données projet'!$B$11,Paramètres!$A$1:$I$89,5,0)</f>
        <v>185.49540000000005</v>
      </c>
      <c r="BF121" s="14">
        <f t="shared" si="91"/>
        <v>46.542663293107267</v>
      </c>
      <c r="BG121" s="22">
        <f t="shared" si="61"/>
        <v>404.1329602354952</v>
      </c>
      <c r="BH121" s="62">
        <f t="shared" si="62"/>
        <v>697.46629356882852</v>
      </c>
      <c r="BI121" s="62">
        <f ca="1">AVERAGE(OFFSET($BH$3,0,0,'Données projet'!$E$11+1,1))-AVERAGE(OFFSET($H$3,0,0,'Données projet'!$E$11+1,1))</f>
        <v>284.72381074796073</v>
      </c>
      <c r="BJ121" s="62">
        <f t="shared" si="92"/>
        <v>190.4880882944471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6.0153846153846189</v>
      </c>
      <c r="BY121" s="13">
        <f>IF('Données projet'!$A$114&gt;35,BY120+BX121-CG120,IF(A121&lt;'Données projet'!$A$114,$BV$205^A121,IF(A121='Données projet'!$A$114,'Données projet'!$B$114,BY120+BX121-CG120)))</f>
        <v>274.8692307692304</v>
      </c>
      <c r="BZ121" s="14">
        <f>BY121*VLOOKUP('Données projet'!$B$12,Paramètres!$A$1:$I$89,3,0)*VLOOKUP('Données projet'!$B$12,Paramètres!$A$1:$I$89,5,0)</f>
        <v>278.71739999999966</v>
      </c>
      <c r="CA121" s="14">
        <f t="shared" si="93"/>
        <v>66.69588624590456</v>
      </c>
      <c r="CB121" s="22">
        <f t="shared" si="64"/>
        <v>601.59480687828307</v>
      </c>
      <c r="CC121" s="62">
        <f t="shared" si="65"/>
        <v>894.92814021161644</v>
      </c>
      <c r="CD121" s="62">
        <f ca="1">AVERAGE(OFFSET($CC$3,0,0,'Données projet'!$E$12+1,1))-AVERAGE(OFFSET($H$3,0,0,'Données projet'!$E$12+1,1))</f>
        <v>496.71400086768705</v>
      </c>
      <c r="CE121" s="62">
        <f t="shared" si="94"/>
        <v>206.75063396134982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6.0153846153846189</v>
      </c>
      <c r="CT121" s="13">
        <f>IF('Données projet'!$A$140&gt;35,CT120+CS121-DB120,IF(A121&lt;'Données projet'!$A$140,$CQ$205^A121,IF(A121='Données projet'!$A$140,'Données projet'!$B$140,CT120+CS121-DB120)))</f>
        <v>274.8692307692304</v>
      </c>
      <c r="CU121" s="18">
        <f>CT121*VLOOKUP('Données projet'!$B$13,Paramètres!$A$1:$I$89,3,0)*VLOOKUP('Données projet'!$B$13,Paramètres!$A$1:$I$89,5,0)</f>
        <v>295.86923999999959</v>
      </c>
      <c r="CV121" s="14">
        <f t="shared" si="95"/>
        <v>70.309799976571782</v>
      </c>
      <c r="CW121" s="22">
        <f t="shared" si="67"/>
        <v>637.7618279591951</v>
      </c>
      <c r="CX121" s="62">
        <f t="shared" si="68"/>
        <v>931.09516129252847</v>
      </c>
      <c r="CY121" s="62">
        <f ca="1">AVERAGE(OFFSET($CX$3,0,0,'Données projet'!$E$13+1,1))-AVERAGE(OFFSET($H$3,0,0,'Données projet'!$E$13+1,1))</f>
        <v>524.55238798353344</v>
      </c>
      <c r="CZ121" s="62">
        <f t="shared" si="96"/>
        <v>216.94512104983255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-2.0395418687257919E-13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260.01925143568263</v>
      </c>
      <c r="T122" s="62">
        <f t="shared" si="88"/>
        <v>269.95358755269427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-2.8421709430404007E-13</v>
      </c>
      <c r="AJ122" s="14">
        <f>AI122*VLOOKUP('Données projet'!$B$10,Paramètres!$A$1:$I$89,3,0)*VLOOKUP('Données projet'!$B$10,Paramètres!$A$1:$I$89,5,0)</f>
        <v>-1.69961822393816E-13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289.24721145176682</v>
      </c>
      <c r="AO122" s="62">
        <f t="shared" si="90"/>
        <v>229.06617320689003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7.083333333333333</v>
      </c>
      <c r="BD122" s="13">
        <f>IF('Données projet'!$A$88&gt;35,BD121+BC122-BL121,IF(A122&lt;'Données projet'!$A$88,$BA$205^A122,IF(A122='Données projet'!$A$88,'Données projet'!$B$88,BD121+BC122-BL121)))</f>
        <v>403.4410256410257</v>
      </c>
      <c r="BE122" s="14">
        <f>BD122*VLOOKUP('Données projet'!$B$11,Paramètres!$A$1:$I$89,3,0)*VLOOKUP('Données projet'!$B$11,Paramètres!$A$1:$I$89,5,0)</f>
        <v>188.81040000000002</v>
      </c>
      <c r="BF122" s="14">
        <f t="shared" si="91"/>
        <v>47.276853120620757</v>
      </c>
      <c r="BG122" s="22">
        <f t="shared" si="61"/>
        <v>411.18529918508119</v>
      </c>
      <c r="BH122" s="62">
        <f t="shared" si="62"/>
        <v>704.51863251841451</v>
      </c>
      <c r="BI122" s="62">
        <f ca="1">AVERAGE(OFFSET($BH$3,0,0,'Données projet'!$E$11+1,1))-AVERAGE(OFFSET($H$3,0,0,'Données projet'!$E$11+1,1))</f>
        <v>284.72381074796073</v>
      </c>
      <c r="BJ122" s="62">
        <f t="shared" si="92"/>
        <v>190.4880882944471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6.0153846153846189</v>
      </c>
      <c r="BY122" s="13">
        <f>IF('Données projet'!$A$114&gt;35,BY121+BX122-CG121,IF(A122&lt;'Données projet'!$A$114,$BV$205^A122,IF(A122='Données projet'!$A$114,'Données projet'!$B$114,BY121+BX122-CG121)))</f>
        <v>280.88461538461502</v>
      </c>
      <c r="BZ122" s="14">
        <f>BY122*VLOOKUP('Données projet'!$B$12,Paramètres!$A$1:$I$89,3,0)*VLOOKUP('Données projet'!$B$12,Paramètres!$A$1:$I$89,5,0)</f>
        <v>284.81699999999961</v>
      </c>
      <c r="CA122" s="14">
        <f t="shared" si="93"/>
        <v>67.983966679051804</v>
      </c>
      <c r="CB122" s="22">
        <f t="shared" si="64"/>
        <v>614.46168363268123</v>
      </c>
      <c r="CC122" s="62">
        <f t="shared" si="65"/>
        <v>907.7950169660146</v>
      </c>
      <c r="CD122" s="62">
        <f ca="1">AVERAGE(OFFSET($CC$3,0,0,'Données projet'!$E$12+1,1))-AVERAGE(OFFSET($H$3,0,0,'Données projet'!$E$12+1,1))</f>
        <v>496.71400086768705</v>
      </c>
      <c r="CE122" s="62">
        <f t="shared" si="94"/>
        <v>206.75063396134982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6.0153846153846189</v>
      </c>
      <c r="CT122" s="13">
        <f>IF('Données projet'!$A$140&gt;35,CT121+CS122-DB121,IF(A122&lt;'Données projet'!$A$140,$CQ$205^A122,IF(A122='Données projet'!$A$140,'Données projet'!$B$140,CT121+CS122-DB121)))</f>
        <v>280.88461538461502</v>
      </c>
      <c r="CU122" s="18">
        <f>CT122*VLOOKUP('Données projet'!$B$13,Paramètres!$A$1:$I$89,3,0)*VLOOKUP('Données projet'!$B$13,Paramètres!$A$1:$I$89,5,0)</f>
        <v>302.3441999999996</v>
      </c>
      <c r="CV122" s="14">
        <f t="shared" si="95"/>
        <v>71.66767499264715</v>
      </c>
      <c r="CW122" s="22">
        <f t="shared" si="67"/>
        <v>651.40401561219312</v>
      </c>
      <c r="CX122" s="62">
        <f t="shared" si="68"/>
        <v>944.73734894552649</v>
      </c>
      <c r="CY122" s="62">
        <f ca="1">AVERAGE(OFFSET($CX$3,0,0,'Données projet'!$E$13+1,1))-AVERAGE(OFFSET($H$3,0,0,'Données projet'!$E$13+1,1))</f>
        <v>524.55238798353344</v>
      </c>
      <c r="CZ122" s="62">
        <f t="shared" si="96"/>
        <v>216.94512104983255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-2.0395418687257919E-13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260.01925143568263</v>
      </c>
      <c r="T123" s="62">
        <f t="shared" si="88"/>
        <v>269.95358755269427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-2.8421709430404007E-13</v>
      </c>
      <c r="AJ123" s="14">
        <f>AI123*VLOOKUP('Données projet'!$B$10,Paramètres!$A$1:$I$89,3,0)*VLOOKUP('Données projet'!$B$10,Paramètres!$A$1:$I$89,5,0)</f>
        <v>-1.69961822393816E-13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289.24721145176682</v>
      </c>
      <c r="AO123" s="62">
        <f t="shared" si="90"/>
        <v>229.06617320689003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7.083333333333333</v>
      </c>
      <c r="BD123" s="13">
        <f>IF('Données projet'!$A$88&gt;35,BD122+BC123-BL122,IF(A123&lt;'Données projet'!$A$88,$BA$205^A123,IF(A123='Données projet'!$A$88,'Données projet'!$B$88,BD122+BC123-BL122)))</f>
        <v>410.52435897435902</v>
      </c>
      <c r="BE123" s="14">
        <f>BD123*VLOOKUP('Données projet'!$B$11,Paramètres!$A$1:$I$89,3,0)*VLOOKUP('Données projet'!$B$11,Paramètres!$A$1:$I$89,5,0)</f>
        <v>192.12540000000004</v>
      </c>
      <c r="BF123" s="14">
        <f t="shared" si="91"/>
        <v>48.009543957734422</v>
      </c>
      <c r="BG123" s="22">
        <f t="shared" si="61"/>
        <v>418.23502739305417</v>
      </c>
      <c r="BH123" s="62">
        <f t="shared" si="62"/>
        <v>711.56836072638748</v>
      </c>
      <c r="BI123" s="62">
        <f ca="1">AVERAGE(OFFSET($BH$3,0,0,'Données projet'!$E$11+1,1))-AVERAGE(OFFSET($H$3,0,0,'Données projet'!$E$11+1,1))</f>
        <v>284.72381074796073</v>
      </c>
      <c r="BJ123" s="62">
        <f t="shared" si="92"/>
        <v>190.4880882944471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6.0153846153846189</v>
      </c>
      <c r="BY123" s="13">
        <f>IF('Données projet'!$A$114&gt;35,BY122+BX123-CG122,IF(A123&lt;'Données projet'!$A$114,$BV$205^A123,IF(A123='Données projet'!$A$114,'Données projet'!$B$114,BY122+BX123-CG122)))</f>
        <v>286.89999999999964</v>
      </c>
      <c r="BZ123" s="14">
        <f>BY123*VLOOKUP('Données projet'!$B$12,Paramètres!$A$1:$I$89,3,0)*VLOOKUP('Données projet'!$B$12,Paramètres!$A$1:$I$89,5,0)</f>
        <v>290.91659999999962</v>
      </c>
      <c r="CA123" s="14">
        <f t="shared" si="93"/>
        <v>69.268839917621065</v>
      </c>
      <c r="CB123" s="22">
        <f t="shared" si="64"/>
        <v>627.32297452318937</v>
      </c>
      <c r="CC123" s="62">
        <f t="shared" si="65"/>
        <v>920.65630785652274</v>
      </c>
      <c r="CD123" s="62">
        <f ca="1">AVERAGE(OFFSET($CC$3,0,0,'Données projet'!$E$12+1,1))-AVERAGE(OFFSET($H$3,0,0,'Données projet'!$E$12+1,1))</f>
        <v>496.71400086768705</v>
      </c>
      <c r="CE123" s="62">
        <f t="shared" si="94"/>
        <v>206.75063396134982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6.0153846153846189</v>
      </c>
      <c r="CT123" s="13">
        <f>IF('Données projet'!$A$140&gt;35,CT122+CS123-DB122,IF(A123&lt;'Données projet'!$A$140,$CQ$205^A123,IF(A123='Données projet'!$A$140,'Données projet'!$B$140,CT122+CS123-DB122)))</f>
        <v>286.89999999999964</v>
      </c>
      <c r="CU123" s="18">
        <f>CT123*VLOOKUP('Données projet'!$B$13,Paramètres!$A$1:$I$89,3,0)*VLOOKUP('Données projet'!$B$13,Paramètres!$A$1:$I$89,5,0)</f>
        <v>308.81915999999961</v>
      </c>
      <c r="CV123" s="14">
        <f t="shared" si="95"/>
        <v>73.022169032444197</v>
      </c>
      <c r="CW123" s="22">
        <f t="shared" si="67"/>
        <v>665.04031473150633</v>
      </c>
      <c r="CX123" s="62">
        <f t="shared" si="68"/>
        <v>958.3736480648397</v>
      </c>
      <c r="CY123" s="62">
        <f ca="1">AVERAGE(OFFSET($CX$3,0,0,'Données projet'!$E$13+1,1))-AVERAGE(OFFSET($H$3,0,0,'Données projet'!$E$13+1,1))</f>
        <v>524.55238798353344</v>
      </c>
      <c r="CZ123" s="62">
        <f t="shared" si="96"/>
        <v>216.94512104983255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-2.0395418687257919E-13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260.01925143568263</v>
      </c>
      <c r="T124" s="62">
        <f t="shared" si="88"/>
        <v>269.95358755269427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-2.8421709430404007E-13</v>
      </c>
      <c r="AJ124" s="14">
        <f>AI124*VLOOKUP('Données projet'!$B$10,Paramètres!$A$1:$I$89,3,0)*VLOOKUP('Données projet'!$B$10,Paramètres!$A$1:$I$89,5,0)</f>
        <v>-1.69961822393816E-13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289.24721145176682</v>
      </c>
      <c r="AO124" s="62">
        <f t="shared" si="90"/>
        <v>229.06617320689003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>
        <f>VLOOKUP(A124,'Données projet'!$A$87:$I$107,2,0)</f>
        <v>417.60769230769228</v>
      </c>
      <c r="BB124" s="13">
        <f>VLOOKUP(A124,'Données projet'!$A$87:$I$107,9,0)</f>
        <v>7.083333333333333</v>
      </c>
      <c r="BC124" s="13">
        <f t="array" ref="BC124">INDEX(BB:BB,MIN(IF(ISNUMBER(BB124:BB320),ROW(BB124:BB320),"")))</f>
        <v>7.083333333333333</v>
      </c>
      <c r="BD124" s="13">
        <f>IF('Données projet'!$A$88&gt;35,BD123+BC124-BL123,IF(A124&lt;'Données projet'!$A$88,$BA$205^A124,IF(A124='Données projet'!$A$88,'Données projet'!$B$88,BD123+BC124-BL123)))</f>
        <v>417.60769230769233</v>
      </c>
      <c r="BE124" s="14">
        <f>BD124*VLOOKUP('Données projet'!$B$11,Paramètres!$A$1:$I$89,3,0)*VLOOKUP('Données projet'!$B$11,Paramètres!$A$1:$I$89,5,0)</f>
        <v>195.44040000000001</v>
      </c>
      <c r="BF124" s="14">
        <f t="shared" si="91"/>
        <v>48.740764653053269</v>
      </c>
      <c r="BG124" s="22">
        <f t="shared" si="61"/>
        <v>425.2821951040678</v>
      </c>
      <c r="BH124" s="62">
        <f t="shared" si="62"/>
        <v>718.61552843740105</v>
      </c>
      <c r="BI124" s="62">
        <f ca="1">AVERAGE(OFFSET($BH$3,0,0,'Données projet'!$E$11+1,1))-AVERAGE(OFFSET($H$3,0,0,'Données projet'!$E$11+1,1))</f>
        <v>284.72381074796073</v>
      </c>
      <c r="BJ124" s="62">
        <f t="shared" si="92"/>
        <v>190.4880882944471</v>
      </c>
      <c r="BK124" s="16">
        <f>IF(ISNA(VLOOKUP(A124,'Données projet'!$A$87:$I$107,3,0)),0,VLOOKUP(A124,'Données projet'!$A$87:$I$107,3,0))</f>
        <v>7</v>
      </c>
      <c r="BL124" s="16">
        <f>IF(ISNA(VLOOKUP(A124,'Données projet'!$A$87:$I$107,4,0)),0,VLOOKUP(A124,'Données projet'!$A$87:$I$107,4,0))</f>
        <v>207.07692307692307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6.0153846153846189</v>
      </c>
      <c r="BY124" s="13">
        <f>IF('Données projet'!$A$114&gt;35,BY123+BX124-CG123,IF(A124&lt;'Données projet'!$A$114,$BV$205^A124,IF(A124='Données projet'!$A$114,'Données projet'!$B$114,BY123+BX124-CG123)))</f>
        <v>292.91538461538426</v>
      </c>
      <c r="BZ124" s="14">
        <f>BY124*VLOOKUP('Données projet'!$B$12,Paramètres!$A$1:$I$89,3,0)*VLOOKUP('Données projet'!$B$12,Paramètres!$A$1:$I$89,5,0)</f>
        <v>297.01619999999969</v>
      </c>
      <c r="CA124" s="14">
        <f t="shared" si="93"/>
        <v>70.550580953173579</v>
      </c>
      <c r="CB124" s="22">
        <f t="shared" si="64"/>
        <v>640.17881016011006</v>
      </c>
      <c r="CC124" s="62">
        <f t="shared" si="65"/>
        <v>933.51214349344332</v>
      </c>
      <c r="CD124" s="62">
        <f ca="1">AVERAGE(OFFSET($CC$3,0,0,'Données projet'!$E$12+1,1))-AVERAGE(OFFSET($H$3,0,0,'Données projet'!$E$12+1,1))</f>
        <v>496.71400086768705</v>
      </c>
      <c r="CE124" s="62">
        <f t="shared" si="94"/>
        <v>206.75063396134982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6.0153846153846189</v>
      </c>
      <c r="CT124" s="13">
        <f>IF('Données projet'!$A$140&gt;35,CT123+CS124-DB123,IF(A124&lt;'Données projet'!$A$140,$CQ$205^A124,IF(A124='Données projet'!$A$140,'Données projet'!$B$140,CT123+CS124-DB123)))</f>
        <v>292.91538461538426</v>
      </c>
      <c r="CU124" s="18">
        <f>CT124*VLOOKUP('Données projet'!$B$13,Paramètres!$A$1:$I$89,3,0)*VLOOKUP('Données projet'!$B$13,Paramètres!$A$1:$I$89,5,0)</f>
        <v>315.29411999999957</v>
      </c>
      <c r="CV124" s="14">
        <f t="shared" si="95"/>
        <v>74.373361150938408</v>
      </c>
      <c r="CW124" s="22">
        <f t="shared" si="67"/>
        <v>678.67086300455026</v>
      </c>
      <c r="CX124" s="62">
        <f t="shared" si="68"/>
        <v>972.00419633788351</v>
      </c>
      <c r="CY124" s="62">
        <f ca="1">AVERAGE(OFFSET($CX$3,0,0,'Données projet'!$E$13+1,1))-AVERAGE(OFFSET($H$3,0,0,'Données projet'!$E$13+1,1))</f>
        <v>524.55238798353344</v>
      </c>
      <c r="CZ124" s="62">
        <f t="shared" si="96"/>
        <v>216.94512104983255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-2.0395418687257919E-13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260.01925143568263</v>
      </c>
      <c r="T125" s="62">
        <f t="shared" si="88"/>
        <v>269.95358755269427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-2.8421709430404007E-13</v>
      </c>
      <c r="AJ125" s="14">
        <f>AI125*VLOOKUP('Données projet'!$B$10,Paramètres!$A$1:$I$89,3,0)*VLOOKUP('Données projet'!$B$10,Paramètres!$A$1:$I$89,5,0)</f>
        <v>-1.69961822393816E-13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289.24721145176682</v>
      </c>
      <c r="AO125" s="62">
        <f t="shared" si="90"/>
        <v>229.06617320689003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5.1538461538461551</v>
      </c>
      <c r="BD125" s="13">
        <f>IF('Données projet'!$A$88&gt;35,BD124+BC125-BL124,IF(A125&lt;'Données projet'!$A$88,$BA$205^A125,IF(A125='Données projet'!$A$88,'Données projet'!$B$88,BD124+BC125-BL124)))</f>
        <v>215.6846153846154</v>
      </c>
      <c r="BE125" s="14">
        <f>BD125*VLOOKUP('Données projet'!$B$11,Paramètres!$A$1:$I$89,3,0)*VLOOKUP('Données projet'!$B$11,Paramètres!$A$1:$I$89,5,0)</f>
        <v>100.9404</v>
      </c>
      <c r="BF125" s="14">
        <f t="shared" si="91"/>
        <v>27.185912689038439</v>
      </c>
      <c r="BG125" s="22">
        <f t="shared" si="61"/>
        <v>223.15332793340858</v>
      </c>
      <c r="BH125" s="62">
        <f t="shared" si="62"/>
        <v>516.48666126674186</v>
      </c>
      <c r="BI125" s="62">
        <f ca="1">AVERAGE(OFFSET($BH$3,0,0,'Données projet'!$E$11+1,1))-AVERAGE(OFFSET($H$3,0,0,'Données projet'!$E$11+1,1))</f>
        <v>284.72381074796073</v>
      </c>
      <c r="BJ125" s="62">
        <f t="shared" si="92"/>
        <v>190.4880882944471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6.0153846153846189</v>
      </c>
      <c r="BY125" s="13">
        <f>IF('Données projet'!$A$114&gt;35,BY124+BX125-CG124,IF(A125&lt;'Données projet'!$A$114,$BV$205^A125,IF(A125='Données projet'!$A$114,'Données projet'!$B$114,BY124+BX125-CG124)))</f>
        <v>298.93076923076887</v>
      </c>
      <c r="BZ125" s="14">
        <f>BY125*VLOOKUP('Données projet'!$B$12,Paramètres!$A$1:$I$89,3,0)*VLOOKUP('Données projet'!$B$12,Paramètres!$A$1:$I$89,5,0)</f>
        <v>303.11579999999969</v>
      </c>
      <c r="CA125" s="14">
        <f t="shared" si="93"/>
        <v>71.829261521123314</v>
      </c>
      <c r="CB125" s="22">
        <f t="shared" si="64"/>
        <v>653.02931548262256</v>
      </c>
      <c r="CC125" s="62">
        <f t="shared" si="65"/>
        <v>946.36264881595594</v>
      </c>
      <c r="CD125" s="62">
        <f ca="1">AVERAGE(OFFSET($CC$3,0,0,'Données projet'!$E$12+1,1))-AVERAGE(OFFSET($H$3,0,0,'Données projet'!$E$12+1,1))</f>
        <v>496.71400086768705</v>
      </c>
      <c r="CE125" s="62">
        <f t="shared" si="94"/>
        <v>206.75063396134982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6.0153846153846189</v>
      </c>
      <c r="CT125" s="13">
        <f>IF('Données projet'!$A$140&gt;35,CT124+CS125-DB124,IF(A125&lt;'Données projet'!$A$140,$CQ$205^A125,IF(A125='Données projet'!$A$140,'Données projet'!$B$140,CT124+CS125-DB124)))</f>
        <v>298.93076923076887</v>
      </c>
      <c r="CU125" s="18">
        <f>CT125*VLOOKUP('Données projet'!$B$13,Paramètres!$A$1:$I$89,3,0)*VLOOKUP('Données projet'!$B$13,Paramètres!$A$1:$I$89,5,0)</f>
        <v>321.76907999999963</v>
      </c>
      <c r="CV125" s="14">
        <f t="shared" si="95"/>
        <v>75.721326970524544</v>
      </c>
      <c r="CW125" s="22">
        <f t="shared" si="67"/>
        <v>692.29579214032958</v>
      </c>
      <c r="CX125" s="62">
        <f t="shared" si="68"/>
        <v>985.62912547366295</v>
      </c>
      <c r="CY125" s="62">
        <f ca="1">AVERAGE(OFFSET($CX$3,0,0,'Données projet'!$E$13+1,1))-AVERAGE(OFFSET($H$3,0,0,'Données projet'!$E$13+1,1))</f>
        <v>524.55238798353344</v>
      </c>
      <c r="CZ125" s="62">
        <f t="shared" si="96"/>
        <v>216.94512104983255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-2.0395418687257919E-13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260.01925143568263</v>
      </c>
      <c r="T126" s="62">
        <f t="shared" si="88"/>
        <v>269.95358755269427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-2.8421709430404007E-13</v>
      </c>
      <c r="AJ126" s="14">
        <f>AI126*VLOOKUP('Données projet'!$B$10,Paramètres!$A$1:$I$89,3,0)*VLOOKUP('Données projet'!$B$10,Paramètres!$A$1:$I$89,5,0)</f>
        <v>-1.69961822393816E-13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289.24721145176682</v>
      </c>
      <c r="AO126" s="62">
        <f t="shared" si="90"/>
        <v>229.06617320689003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5.1538461538461551</v>
      </c>
      <c r="BD126" s="13">
        <f>IF('Données projet'!$A$88&gt;35,BD125+BC126-BL125,IF(A126&lt;'Données projet'!$A$88,$BA$205^A126,IF(A126='Données projet'!$A$88,'Données projet'!$B$88,BD125+BC126-BL125)))</f>
        <v>220.83846153846156</v>
      </c>
      <c r="BE126" s="14">
        <f>BD126*VLOOKUP('Données projet'!$B$11,Paramètres!$A$1:$I$89,3,0)*VLOOKUP('Données projet'!$B$11,Paramètres!$A$1:$I$89,5,0)</f>
        <v>103.35240000000002</v>
      </c>
      <c r="BF126" s="14">
        <f t="shared" si="91"/>
        <v>27.759121453172455</v>
      </c>
      <c r="BG126" s="22">
        <f t="shared" si="61"/>
        <v>228.35256653094208</v>
      </c>
      <c r="BH126" s="62">
        <f t="shared" si="62"/>
        <v>521.68589986427537</v>
      </c>
      <c r="BI126" s="62">
        <f ca="1">AVERAGE(OFFSET($BH$3,0,0,'Données projet'!$E$11+1,1))-AVERAGE(OFFSET($H$3,0,0,'Données projet'!$E$11+1,1))</f>
        <v>284.72381074796073</v>
      </c>
      <c r="BJ126" s="62">
        <f t="shared" si="92"/>
        <v>190.4880882944471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6.0153846153846189</v>
      </c>
      <c r="BY126" s="13">
        <f>IF('Données projet'!$A$114&gt;35,BY125+BX126-CG125,IF(A126&lt;'Données projet'!$A$114,$BV$205^A126,IF(A126='Données projet'!$A$114,'Données projet'!$B$114,BY125+BX126-CG125)))</f>
        <v>304.94615384615349</v>
      </c>
      <c r="BZ126" s="14">
        <f>BY126*VLOOKUP('Données projet'!$B$12,Paramètres!$A$1:$I$89,3,0)*VLOOKUP('Données projet'!$B$12,Paramètres!$A$1:$I$89,5,0)</f>
        <v>309.21539999999965</v>
      </c>
      <c r="CA126" s="14">
        <f t="shared" si="93"/>
        <v>73.104950304750915</v>
      </c>
      <c r="CB126" s="22">
        <f t="shared" si="64"/>
        <v>665.87461011410721</v>
      </c>
      <c r="CC126" s="62">
        <f t="shared" si="65"/>
        <v>959.20794344744058</v>
      </c>
      <c r="CD126" s="62">
        <f ca="1">AVERAGE(OFFSET($CC$3,0,0,'Données projet'!$E$12+1,1))-AVERAGE(OFFSET($H$3,0,0,'Données projet'!$E$12+1,1))</f>
        <v>496.71400086768705</v>
      </c>
      <c r="CE126" s="62">
        <f t="shared" si="94"/>
        <v>206.75063396134982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6.0153846153846189</v>
      </c>
      <c r="CT126" s="13">
        <f>IF('Données projet'!$A$140&gt;35,CT125+CS126-DB125,IF(A126&lt;'Données projet'!$A$140,$CQ$205^A126,IF(A126='Données projet'!$A$140,'Données projet'!$B$140,CT125+CS126-DB125)))</f>
        <v>304.94615384615349</v>
      </c>
      <c r="CU126" s="18">
        <f>CT126*VLOOKUP('Données projet'!$B$13,Paramètres!$A$1:$I$89,3,0)*VLOOKUP('Données projet'!$B$13,Paramètres!$A$1:$I$89,5,0)</f>
        <v>328.24403999999959</v>
      </c>
      <c r="CV126" s="14">
        <f t="shared" si="95"/>
        <v>77.066138896083373</v>
      </c>
      <c r="CW126" s="22">
        <f t="shared" si="67"/>
        <v>705.91522824401125</v>
      </c>
      <c r="CX126" s="62">
        <f t="shared" si="68"/>
        <v>999.24856157734462</v>
      </c>
      <c r="CY126" s="62">
        <f ca="1">AVERAGE(OFFSET($CX$3,0,0,'Données projet'!$E$13+1,1))-AVERAGE(OFFSET($H$3,0,0,'Données projet'!$E$13+1,1))</f>
        <v>524.55238798353344</v>
      </c>
      <c r="CZ126" s="62">
        <f t="shared" si="96"/>
        <v>216.94512104983255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-2.0395418687257919E-13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260.01925143568263</v>
      </c>
      <c r="T127" s="62">
        <f t="shared" si="88"/>
        <v>269.95358755269427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-2.8421709430404007E-13</v>
      </c>
      <c r="AJ127" s="14">
        <f>AI127*VLOOKUP('Données projet'!$B$10,Paramètres!$A$1:$I$89,3,0)*VLOOKUP('Données projet'!$B$10,Paramètres!$A$1:$I$89,5,0)</f>
        <v>-1.69961822393816E-13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289.24721145176682</v>
      </c>
      <c r="AO127" s="62">
        <f t="shared" si="90"/>
        <v>229.06617320689003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5.1538461538461551</v>
      </c>
      <c r="BD127" s="13">
        <f>IF('Données projet'!$A$88&gt;35,BD126+BC127-BL126,IF(A127&lt;'Données projet'!$A$88,$BA$205^A127,IF(A127='Données projet'!$A$88,'Données projet'!$B$88,BD126+BC127-BL126)))</f>
        <v>225.99230769230772</v>
      </c>
      <c r="BE127" s="14">
        <f>BD127*VLOOKUP('Données projet'!$B$11,Paramètres!$A$1:$I$89,3,0)*VLOOKUP('Données projet'!$B$11,Paramètres!$A$1:$I$89,5,0)</f>
        <v>105.76440000000002</v>
      </c>
      <c r="BF127" s="14">
        <f t="shared" si="91"/>
        <v>28.330775059514437</v>
      </c>
      <c r="BG127" s="22">
        <f t="shared" si="61"/>
        <v>233.54909656198768</v>
      </c>
      <c r="BH127" s="62">
        <f t="shared" si="62"/>
        <v>526.88242989532102</v>
      </c>
      <c r="BI127" s="62">
        <f ca="1">AVERAGE(OFFSET($BH$3,0,0,'Données projet'!$E$11+1,1))-AVERAGE(OFFSET($H$3,0,0,'Données projet'!$E$11+1,1))</f>
        <v>284.72381074796073</v>
      </c>
      <c r="BJ127" s="62">
        <f t="shared" si="92"/>
        <v>190.4880882944471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>
        <f>VLOOKUP(A127,'Données projet'!$A$113:$I$133,2,0)</f>
        <v>310.96153846153845</v>
      </c>
      <c r="BW127" s="13">
        <f>VLOOKUP(A127,'Données projet'!$A$113:$I$133,9,0)</f>
        <v>6.0153846153846189</v>
      </c>
      <c r="BX127" s="13">
        <f t="array" ref="BX127">INDEX(BW:BW,MIN(IF(ISNUMBER(BW127:BW323),ROW(BW127:BW323),"")))</f>
        <v>6.0153846153846189</v>
      </c>
      <c r="BY127" s="13">
        <f>IF('Données projet'!$A$114&gt;35,BY126+BX127-CG126,IF(A127&lt;'Données projet'!$A$114,$BV$205^A127,IF(A127='Données projet'!$A$114,'Données projet'!$B$114,BY126+BX127-CG126)))</f>
        <v>310.96153846153811</v>
      </c>
      <c r="BZ127" s="14">
        <f>BY127*VLOOKUP('Données projet'!$B$12,Paramètres!$A$1:$I$89,3,0)*VLOOKUP('Données projet'!$B$12,Paramètres!$A$1:$I$89,5,0)</f>
        <v>315.31499999999966</v>
      </c>
      <c r="CA127" s="14">
        <f t="shared" si="93"/>
        <v>74.377713122664062</v>
      </c>
      <c r="CB127" s="22">
        <f t="shared" si="64"/>
        <v>678.71480868863921</v>
      </c>
      <c r="CC127" s="62">
        <f t="shared" si="65"/>
        <v>972.04814202197258</v>
      </c>
      <c r="CD127" s="62">
        <f ca="1">AVERAGE(OFFSET($CC$3,0,0,'Données projet'!$E$12+1,1))-AVERAGE(OFFSET($H$3,0,0,'Données projet'!$E$12+1,1))</f>
        <v>496.71400086768705</v>
      </c>
      <c r="CE127" s="62">
        <f t="shared" si="94"/>
        <v>206.75063396134982</v>
      </c>
      <c r="CF127" s="16">
        <f>IF(ISNA(VLOOKUP(A127,'Données projet'!$A$113:$I$133,3,0)),0,VLOOKUP(A127,'Données projet'!$A$113:$I$133,3,0))</f>
        <v>10</v>
      </c>
      <c r="CG127" s="16">
        <f>IF(ISNA(VLOOKUP(A127,'Données projet'!$A$113:$I$133,4,0)),0,VLOOKUP(A127,'Données projet'!$A$113:$I$133,4,0))</f>
        <v>39.820512820512818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>
        <f>VLOOKUP(A127,'Données projet'!$A$139:$I$159,2,0)</f>
        <v>310.96153846153845</v>
      </c>
      <c r="CR127" s="13">
        <f>VLOOKUP(A127,'Données projet'!$A$139:$I$159,9,0)</f>
        <v>6.0153846153846189</v>
      </c>
      <c r="CS127" s="13">
        <f t="array" ref="CS127">INDEX(CR:CR,MIN(IF(ISNUMBER(CR127:CR323),ROW(CR127:CR323),"")))</f>
        <v>6.0153846153846189</v>
      </c>
      <c r="CT127" s="13">
        <f>IF('Données projet'!$A$140&gt;35,CT126+CS127-DB126,IF(A127&lt;'Données projet'!$A$140,$CQ$205^A127,IF(A127='Données projet'!$A$140,'Données projet'!$B$140,CT126+CS127-DB126)))</f>
        <v>310.96153846153811</v>
      </c>
      <c r="CU127" s="18">
        <f>CT127*VLOOKUP('Données projet'!$B$13,Paramètres!$A$1:$I$89,3,0)*VLOOKUP('Données projet'!$B$13,Paramètres!$A$1:$I$89,5,0)</f>
        <v>334.7189999999996</v>
      </c>
      <c r="CV127" s="14">
        <f t="shared" si="95"/>
        <v>78.407866312601229</v>
      </c>
      <c r="CW127" s="22">
        <f t="shared" si="67"/>
        <v>719.52929216111306</v>
      </c>
      <c r="CX127" s="62">
        <f t="shared" si="68"/>
        <v>1012.8626254944463</v>
      </c>
      <c r="CY127" s="62">
        <f ca="1">AVERAGE(OFFSET($CX$3,0,0,'Données projet'!$E$13+1,1))-AVERAGE(OFFSET($H$3,0,0,'Données projet'!$E$13+1,1))</f>
        <v>524.55238798353344</v>
      </c>
      <c r="CZ127" s="62">
        <f t="shared" si="96"/>
        <v>216.94512104983255</v>
      </c>
      <c r="DA127" s="16">
        <f>IF(ISNA(VLOOKUP(A127,'Données projet'!$A$139:$I$159,3,0)),0,VLOOKUP(A127,'Données projet'!$A$139:$I$159,3,0))</f>
        <v>10</v>
      </c>
      <c r="DB127" s="16">
        <f>IF(ISNA(VLOOKUP(A127,'Données projet'!$A$139:$I$159,4,0)),0,VLOOKUP(A127,'Données projet'!$A$139:$I$159,4,0))</f>
        <v>39.820512820512818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-2.0395418687257919E-13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260.01925143568263</v>
      </c>
      <c r="T128" s="62">
        <f t="shared" si="88"/>
        <v>269.95358755269427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-2.8421709430404007E-13</v>
      </c>
      <c r="AJ128" s="14">
        <f>AI128*VLOOKUP('Données projet'!$B$10,Paramètres!$A$1:$I$89,3,0)*VLOOKUP('Données projet'!$B$10,Paramètres!$A$1:$I$89,5,0)</f>
        <v>-1.69961822393816E-13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289.24721145176682</v>
      </c>
      <c r="AO128" s="62">
        <f t="shared" si="90"/>
        <v>229.06617320689003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5.1538461538461551</v>
      </c>
      <c r="BD128" s="13">
        <f>IF('Données projet'!$A$88&gt;35,BD127+BC128-BL127,IF(A128&lt;'Données projet'!$A$88,$BA$205^A128,IF(A128='Données projet'!$A$88,'Données projet'!$B$88,BD127+BC128-BL127)))</f>
        <v>231.14615384615388</v>
      </c>
      <c r="BE128" s="14">
        <f>BD128*VLOOKUP('Données projet'!$B$11,Paramètres!$A$1:$I$89,3,0)*VLOOKUP('Données projet'!$B$11,Paramètres!$A$1:$I$89,5,0)</f>
        <v>108.17640000000002</v>
      </c>
      <c r="BF128" s="14">
        <f t="shared" si="91"/>
        <v>28.900913056732801</v>
      </c>
      <c r="BG128" s="22">
        <f t="shared" si="61"/>
        <v>238.74298690714295</v>
      </c>
      <c r="BH128" s="62">
        <f t="shared" si="62"/>
        <v>532.07632024047621</v>
      </c>
      <c r="BI128" s="62">
        <f ca="1">AVERAGE(OFFSET($BH$3,0,0,'Données projet'!$E$11+1,1))-AVERAGE(OFFSET($H$3,0,0,'Données projet'!$E$11+1,1))</f>
        <v>284.72381074796073</v>
      </c>
      <c r="BJ128" s="62">
        <f t="shared" si="92"/>
        <v>190.4880882944471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6.0711538461538508</v>
      </c>
      <c r="BY128" s="13">
        <f>IF('Données projet'!$A$114&gt;35,BY127+BX128-CG127,IF(A128&lt;'Données projet'!$A$114,$BV$205^A128,IF(A128='Données projet'!$A$114,'Données projet'!$B$114,BY127+BX128-CG127)))</f>
        <v>277.21217948717913</v>
      </c>
      <c r="BZ128" s="14">
        <f>BY128*VLOOKUP('Données projet'!$B$12,Paramètres!$A$1:$I$89,3,0)*VLOOKUP('Données projet'!$B$12,Paramètres!$A$1:$I$89,5,0)</f>
        <v>281.09314999999964</v>
      </c>
      <c r="CA128" s="14">
        <f t="shared" si="93"/>
        <v>67.197970485772501</v>
      </c>
      <c r="CB128" s="22">
        <f t="shared" si="64"/>
        <v>606.60703484605312</v>
      </c>
      <c r="CC128" s="62">
        <f t="shared" si="65"/>
        <v>899.9403681793865</v>
      </c>
      <c r="CD128" s="62">
        <f ca="1">AVERAGE(OFFSET($CC$3,0,0,'Données projet'!$E$12+1,1))-AVERAGE(OFFSET($H$3,0,0,'Données projet'!$E$12+1,1))</f>
        <v>496.71400086768705</v>
      </c>
      <c r="CE128" s="62">
        <f t="shared" si="94"/>
        <v>206.75063396134982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6.0711538461538508</v>
      </c>
      <c r="CT128" s="13">
        <f>IF('Données projet'!$A$140&gt;35,CT127+CS128-DB127,IF(A128&lt;'Données projet'!$A$140,$CQ$205^A128,IF(A128='Données projet'!$A$140,'Données projet'!$B$140,CT127+CS128-DB127)))</f>
        <v>277.21217948717913</v>
      </c>
      <c r="CU128" s="18">
        <f>CT128*VLOOKUP('Données projet'!$B$13,Paramètres!$A$1:$I$89,3,0)*VLOOKUP('Données projet'!$B$13,Paramètres!$A$1:$I$89,5,0)</f>
        <v>298.3911899999996</v>
      </c>
      <c r="CV128" s="14">
        <f t="shared" si="95"/>
        <v>70.839089629405024</v>
      </c>
      <c r="CW128" s="22">
        <f t="shared" si="67"/>
        <v>643.07607035454623</v>
      </c>
      <c r="CX128" s="62">
        <f t="shared" si="68"/>
        <v>936.4094036878796</v>
      </c>
      <c r="CY128" s="62">
        <f ca="1">AVERAGE(OFFSET($CX$3,0,0,'Données projet'!$E$13+1,1))-AVERAGE(OFFSET($H$3,0,0,'Données projet'!$E$13+1,1))</f>
        <v>524.55238798353344</v>
      </c>
      <c r="CZ128" s="62">
        <f t="shared" si="96"/>
        <v>216.94512104983255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-2.0395418687257919E-13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260.01925143568263</v>
      </c>
      <c r="T129" s="62">
        <f t="shared" si="88"/>
        <v>269.95358755269427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-2.8421709430404007E-13</v>
      </c>
      <c r="AJ129" s="14">
        <f>AI129*VLOOKUP('Données projet'!$B$10,Paramètres!$A$1:$I$89,3,0)*VLOOKUP('Données projet'!$B$10,Paramètres!$A$1:$I$89,5,0)</f>
        <v>-1.69961822393816E-13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289.24721145176682</v>
      </c>
      <c r="AO129" s="62">
        <f t="shared" si="90"/>
        <v>229.06617320689003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>
        <f>VLOOKUP(A129,'Données projet'!$A$87:$I$107,2,0)</f>
        <v>236.29999999999998</v>
      </c>
      <c r="BB129" s="13">
        <f>VLOOKUP(A129,'Données projet'!$A$87:$I$107,9,0)</f>
        <v>5.1538461538461551</v>
      </c>
      <c r="BC129" s="13">
        <f t="array" ref="BC129">INDEX(BB:BB,MIN(IF(ISNUMBER(BB129:BB325),ROW(BB129:BB325),"")))</f>
        <v>5.1538461538461551</v>
      </c>
      <c r="BD129" s="13">
        <f>IF('Données projet'!$A$88&gt;35,BD128+BC129-BL128,IF(A129&lt;'Données projet'!$A$88,$BA$205^A129,IF(A129='Données projet'!$A$88,'Données projet'!$B$88,BD128+BC129-BL128)))</f>
        <v>236.30000000000004</v>
      </c>
      <c r="BE129" s="14">
        <f>BD129*VLOOKUP('Données projet'!$B$11,Paramètres!$A$1:$I$89,3,0)*VLOOKUP('Données projet'!$B$11,Paramètres!$A$1:$I$89,5,0)</f>
        <v>110.58840000000002</v>
      </c>
      <c r="BF129" s="14">
        <f t="shared" si="91"/>
        <v>29.469573129181672</v>
      </c>
      <c r="BG129" s="22">
        <f t="shared" si="61"/>
        <v>243.93430319999149</v>
      </c>
      <c r="BH129" s="62">
        <f t="shared" si="62"/>
        <v>537.26763653332478</v>
      </c>
      <c r="BI129" s="62">
        <f ca="1">AVERAGE(OFFSET($BH$3,0,0,'Données projet'!$E$11+1,1))-AVERAGE(OFFSET($H$3,0,0,'Données projet'!$E$11+1,1))</f>
        <v>284.72381074796073</v>
      </c>
      <c r="BJ129" s="62">
        <f t="shared" si="92"/>
        <v>190.4880882944471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6.0711538461538508</v>
      </c>
      <c r="BY129" s="13">
        <f>IF('Données projet'!$A$114&gt;35,BY128+BX129-CG128,IF(A129&lt;'Données projet'!$A$114,$BV$205^A129,IF(A129='Données projet'!$A$114,'Données projet'!$B$114,BY128+BX129-CG128)))</f>
        <v>283.28333333333296</v>
      </c>
      <c r="BZ129" s="14">
        <f>BY129*VLOOKUP('Données projet'!$B$12,Paramètres!$A$1:$I$89,3,0)*VLOOKUP('Données projet'!$B$12,Paramètres!$A$1:$I$89,5,0)</f>
        <v>287.24929999999966</v>
      </c>
      <c r="CA129" s="14">
        <f t="shared" si="93"/>
        <v>68.496707880372</v>
      </c>
      <c r="CB129" s="22">
        <f t="shared" si="64"/>
        <v>619.59096372498072</v>
      </c>
      <c r="CC129" s="62">
        <f t="shared" si="65"/>
        <v>912.9242970583141</v>
      </c>
      <c r="CD129" s="62">
        <f ca="1">AVERAGE(OFFSET($CC$3,0,0,'Données projet'!$E$12+1,1))-AVERAGE(OFFSET($H$3,0,0,'Données projet'!$E$12+1,1))</f>
        <v>496.71400086768705</v>
      </c>
      <c r="CE129" s="62">
        <f t="shared" si="94"/>
        <v>206.75063396134982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6.0711538461538508</v>
      </c>
      <c r="CT129" s="13">
        <f>IF('Données projet'!$A$140&gt;35,CT128+CS129-DB128,IF(A129&lt;'Données projet'!$A$140,$CQ$205^A129,IF(A129='Données projet'!$A$140,'Données projet'!$B$140,CT128+CS129-DB128)))</f>
        <v>283.28333333333296</v>
      </c>
      <c r="CU129" s="18">
        <f>CT129*VLOOKUP('Données projet'!$B$13,Paramètres!$A$1:$I$89,3,0)*VLOOKUP('Données projet'!$B$13,Paramètres!$A$1:$I$89,5,0)</f>
        <v>304.92617999999959</v>
      </c>
      <c r="CV129" s="14">
        <f t="shared" si="95"/>
        <v>72.208199053931139</v>
      </c>
      <c r="CW129" s="22">
        <f t="shared" si="67"/>
        <v>656.84237685226265</v>
      </c>
      <c r="CX129" s="62">
        <f t="shared" si="68"/>
        <v>950.17571018559602</v>
      </c>
      <c r="CY129" s="62">
        <f ca="1">AVERAGE(OFFSET($CX$3,0,0,'Données projet'!$E$13+1,1))-AVERAGE(OFFSET($H$3,0,0,'Données projet'!$E$13+1,1))</f>
        <v>524.55238798353344</v>
      </c>
      <c r="CZ129" s="62">
        <f t="shared" si="96"/>
        <v>216.94512104983255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-2.0395418687257919E-13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260.01925143568263</v>
      </c>
      <c r="T130" s="62">
        <f t="shared" si="88"/>
        <v>269.95358755269427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-2.8421709430404007E-13</v>
      </c>
      <c r="AJ130" s="14">
        <f>AI130*VLOOKUP('Données projet'!$B$10,Paramètres!$A$1:$I$89,3,0)*VLOOKUP('Données projet'!$B$10,Paramètres!$A$1:$I$89,5,0)</f>
        <v>-1.69961822393816E-13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289.24721145176682</v>
      </c>
      <c r="AO130" s="62">
        <f t="shared" si="90"/>
        <v>229.06617320689003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4.66307692307692</v>
      </c>
      <c r="BD130" s="13">
        <f>IF('Données projet'!$A$88&gt;35,BD129+BC130-BL129,IF(A130&lt;'Données projet'!$A$88,$BA$205^A130,IF(A130='Données projet'!$A$88,'Données projet'!$B$88,BD129+BC130-BL129)))</f>
        <v>240.96307692307695</v>
      </c>
      <c r="BE130" s="14">
        <f>BD130*VLOOKUP('Données projet'!$B$11,Paramètres!$A$1:$I$89,3,0)*VLOOKUP('Données projet'!$B$11,Paramètres!$A$1:$I$89,5,0)</f>
        <v>112.77072000000001</v>
      </c>
      <c r="BF130" s="14">
        <f t="shared" si="91"/>
        <v>29.982839682662103</v>
      </c>
      <c r="BG130" s="22">
        <f t="shared" si="61"/>
        <v>248.62911644730318</v>
      </c>
      <c r="BH130" s="62">
        <f t="shared" si="62"/>
        <v>541.96244978063646</v>
      </c>
      <c r="BI130" s="62">
        <f ca="1">AVERAGE(OFFSET($BH$3,0,0,'Données projet'!$E$11+1,1))-AVERAGE(OFFSET($H$3,0,0,'Données projet'!$E$11+1,1))</f>
        <v>284.72381074796073</v>
      </c>
      <c r="BJ130" s="62">
        <f t="shared" si="92"/>
        <v>190.4880882944471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6.0711538461538508</v>
      </c>
      <c r="BY130" s="13">
        <f>IF('Données projet'!$A$114&gt;35,BY129+BX130-CG129,IF(A130&lt;'Données projet'!$A$114,$BV$205^A130,IF(A130='Données projet'!$A$114,'Données projet'!$B$114,BY129+BX130-CG129)))</f>
        <v>289.3544871794868</v>
      </c>
      <c r="BZ130" s="14">
        <f>BY130*VLOOKUP('Données projet'!$B$12,Paramètres!$A$1:$I$89,3,0)*VLOOKUP('Données projet'!$B$12,Paramètres!$A$1:$I$89,5,0)</f>
        <v>293.40544999999963</v>
      </c>
      <c r="CA130" s="14">
        <f t="shared" si="93"/>
        <v>69.792209203565122</v>
      </c>
      <c r="CB130" s="22">
        <f t="shared" si="64"/>
        <v>632.56925644620856</v>
      </c>
      <c r="CC130" s="62">
        <f t="shared" si="65"/>
        <v>925.90258977954181</v>
      </c>
      <c r="CD130" s="62">
        <f ca="1">AVERAGE(OFFSET($CC$3,0,0,'Données projet'!$E$12+1,1))-AVERAGE(OFFSET($H$3,0,0,'Données projet'!$E$12+1,1))</f>
        <v>496.71400086768705</v>
      </c>
      <c r="CE130" s="62">
        <f t="shared" si="94"/>
        <v>206.75063396134982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6.0711538461538508</v>
      </c>
      <c r="CT130" s="13">
        <f>IF('Données projet'!$A$140&gt;35,CT129+CS130-DB129,IF(A130&lt;'Données projet'!$A$140,$CQ$205^A130,IF(A130='Données projet'!$A$140,'Données projet'!$B$140,CT129+CS130-DB129)))</f>
        <v>289.3544871794868</v>
      </c>
      <c r="CU130" s="18">
        <f>CT130*VLOOKUP('Données projet'!$B$13,Paramètres!$A$1:$I$89,3,0)*VLOOKUP('Données projet'!$B$13,Paramètres!$A$1:$I$89,5,0)</f>
        <v>311.46116999999958</v>
      </c>
      <c r="CV130" s="14">
        <f t="shared" si="95"/>
        <v>73.573897060660741</v>
      </c>
      <c r="CW130" s="22">
        <f t="shared" si="67"/>
        <v>670.60274179731664</v>
      </c>
      <c r="CX130" s="62">
        <f t="shared" si="68"/>
        <v>963.9360751306499</v>
      </c>
      <c r="CY130" s="62">
        <f ca="1">AVERAGE(OFFSET($CX$3,0,0,'Données projet'!$E$13+1,1))-AVERAGE(OFFSET($H$3,0,0,'Données projet'!$E$13+1,1))</f>
        <v>524.55238798353344</v>
      </c>
      <c r="CZ130" s="62">
        <f t="shared" si="96"/>
        <v>216.94512104983255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-2.0395418687257919E-13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260.01925143568263</v>
      </c>
      <c r="T131" s="62">
        <f t="shared" si="88"/>
        <v>269.95358755269427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-2.8421709430404007E-13</v>
      </c>
      <c r="AJ131" s="14">
        <f>AI131*VLOOKUP('Données projet'!$B$10,Paramètres!$A$1:$I$89,3,0)*VLOOKUP('Données projet'!$B$10,Paramètres!$A$1:$I$89,5,0)</f>
        <v>-1.69961822393816E-13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289.24721145176682</v>
      </c>
      <c r="AO131" s="62">
        <f t="shared" si="90"/>
        <v>229.06617320689003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4.66307692307692</v>
      </c>
      <c r="BD131" s="13">
        <f>IF('Données projet'!$A$88&gt;35,BD130+BC131-BL130,IF(A131&lt;'Données projet'!$A$88,$BA$205^A131,IF(A131='Données projet'!$A$88,'Données projet'!$B$88,BD130+BC131-BL130)))</f>
        <v>245.62615384615387</v>
      </c>
      <c r="BE131" s="14">
        <f>BD131*VLOOKUP('Données projet'!$B$11,Paramètres!$A$1:$I$89,3,0)*VLOOKUP('Données projet'!$B$11,Paramètres!$A$1:$I$89,5,0)</f>
        <v>114.95304000000002</v>
      </c>
      <c r="BF131" s="14">
        <f t="shared" si="91"/>
        <v>30.494951300893529</v>
      </c>
      <c r="BG131" s="22">
        <f t="shared" si="61"/>
        <v>253.32191818238957</v>
      </c>
      <c r="BH131" s="62">
        <f t="shared" si="62"/>
        <v>546.65525151572285</v>
      </c>
      <c r="BI131" s="62">
        <f ca="1">AVERAGE(OFFSET($BH$3,0,0,'Données projet'!$E$11+1,1))-AVERAGE(OFFSET($H$3,0,0,'Données projet'!$E$11+1,1))</f>
        <v>284.72381074796073</v>
      </c>
      <c r="BJ131" s="62">
        <f t="shared" si="92"/>
        <v>190.4880882944471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6.0711538461538508</v>
      </c>
      <c r="BY131" s="13">
        <f>IF('Données projet'!$A$114&gt;35,BY130+BX131-CG130,IF(A131&lt;'Données projet'!$A$114,$BV$205^A131,IF(A131='Données projet'!$A$114,'Données projet'!$B$114,BY130+BX131-CG130)))</f>
        <v>295.42564102564063</v>
      </c>
      <c r="BZ131" s="14">
        <f>BY131*VLOOKUP('Données projet'!$B$12,Paramètres!$A$1:$I$89,3,0)*VLOOKUP('Données projet'!$B$12,Paramètres!$A$1:$I$89,5,0)</f>
        <v>299.5615999999996</v>
      </c>
      <c r="CA131" s="14">
        <f t="shared" si="93"/>
        <v>71.084550175780223</v>
      </c>
      <c r="CB131" s="22">
        <f t="shared" si="64"/>
        <v>645.54204488948324</v>
      </c>
      <c r="CC131" s="62">
        <f t="shared" si="65"/>
        <v>938.87537822281661</v>
      </c>
      <c r="CD131" s="62">
        <f ca="1">AVERAGE(OFFSET($CC$3,0,0,'Données projet'!$E$12+1,1))-AVERAGE(OFFSET($H$3,0,0,'Données projet'!$E$12+1,1))</f>
        <v>496.71400086768705</v>
      </c>
      <c r="CE131" s="62">
        <f t="shared" si="94"/>
        <v>206.75063396134982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6.0711538461538508</v>
      </c>
      <c r="CT131" s="13">
        <f>IF('Données projet'!$A$140&gt;35,CT130+CS131-DB130,IF(A131&lt;'Données projet'!$A$140,$CQ$205^A131,IF(A131='Données projet'!$A$140,'Données projet'!$B$140,CT130+CS131-DB130)))</f>
        <v>295.42564102564063</v>
      </c>
      <c r="CU131" s="18">
        <f>CT131*VLOOKUP('Données projet'!$B$13,Paramètres!$A$1:$I$89,3,0)*VLOOKUP('Données projet'!$B$13,Paramètres!$A$1:$I$89,5,0)</f>
        <v>317.99615999999952</v>
      </c>
      <c r="CV131" s="14">
        <f t="shared" si="95"/>
        <v>74.936263472930236</v>
      </c>
      <c r="CW131" s="22">
        <f t="shared" si="67"/>
        <v>684.35730421535266</v>
      </c>
      <c r="CX131" s="62">
        <f t="shared" si="68"/>
        <v>977.69063754868603</v>
      </c>
      <c r="CY131" s="62">
        <f ca="1">AVERAGE(OFFSET($CX$3,0,0,'Données projet'!$E$13+1,1))-AVERAGE(OFFSET($H$3,0,0,'Données projet'!$E$13+1,1))</f>
        <v>524.55238798353344</v>
      </c>
      <c r="CZ131" s="62">
        <f t="shared" si="96"/>
        <v>216.94512104983255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-2.0395418687257919E-13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260.01925143568263</v>
      </c>
      <c r="T132" s="62">
        <f t="shared" si="88"/>
        <v>269.95358755269427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-2.8421709430404007E-13</v>
      </c>
      <c r="AJ132" s="14">
        <f>AI132*VLOOKUP('Données projet'!$B$10,Paramètres!$A$1:$I$89,3,0)*VLOOKUP('Données projet'!$B$10,Paramètres!$A$1:$I$89,5,0)</f>
        <v>-1.69961822393816E-13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289.24721145176682</v>
      </c>
      <c r="AO132" s="62">
        <f t="shared" si="90"/>
        <v>229.06617320689003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4.66307692307692</v>
      </c>
      <c r="BD132" s="13">
        <f>IF('Données projet'!$A$88&gt;35,BD131+BC132-BL131,IF(A132&lt;'Données projet'!$A$88,$BA$205^A132,IF(A132='Données projet'!$A$88,'Données projet'!$B$88,BD131+BC132-BL131)))</f>
        <v>250.28923076923078</v>
      </c>
      <c r="BE132" s="14">
        <f>BD132*VLOOKUP('Données projet'!$B$11,Paramètres!$A$1:$I$89,3,0)*VLOOKUP('Données projet'!$B$11,Paramètres!$A$1:$I$89,5,0)</f>
        <v>117.13536000000001</v>
      </c>
      <c r="BF132" s="14">
        <f t="shared" si="91"/>
        <v>31.005932437785589</v>
      </c>
      <c r="BG132" s="22">
        <f t="shared" ref="BG132:BG153" si="115">(BE132+BF132)*0.475*44/12</f>
        <v>258.01275099580988</v>
      </c>
      <c r="BH132" s="62">
        <f t="shared" ref="BH132:BH195" si="116">BG132+(AY132+AZ132)*44/12</f>
        <v>551.3460843291432</v>
      </c>
      <c r="BI132" s="62">
        <f ca="1">AVERAGE(OFFSET($BH$3,0,0,'Données projet'!$E$11+1,1))-AVERAGE(OFFSET($H$3,0,0,'Données projet'!$E$11+1,1))</f>
        <v>284.72381074796073</v>
      </c>
      <c r="BJ132" s="62">
        <f t="shared" si="92"/>
        <v>190.4880882944471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6.0711538461538508</v>
      </c>
      <c r="BY132" s="13">
        <f>IF('Données projet'!$A$114&gt;35,BY131+BX132-CG131,IF(A132&lt;'Données projet'!$A$114,$BV$205^A132,IF(A132='Données projet'!$A$114,'Données projet'!$B$114,BY131+BX132-CG131)))</f>
        <v>301.49679487179446</v>
      </c>
      <c r="BZ132" s="14">
        <f>BY132*VLOOKUP('Données projet'!$B$12,Paramètres!$A$1:$I$89,3,0)*VLOOKUP('Données projet'!$B$12,Paramètres!$A$1:$I$89,5,0)</f>
        <v>305.71774999999963</v>
      </c>
      <c r="CA132" s="14">
        <f t="shared" si="93"/>
        <v>72.373803227366807</v>
      </c>
      <c r="CB132" s="22">
        <f t="shared" ref="CB132:CB153" si="118">(BZ132+CA132)*0.475*44/12</f>
        <v>658.50945520432981</v>
      </c>
      <c r="CC132" s="62">
        <f t="shared" ref="CC132:CC195" si="119">CB132+(BT132+BU132)*44/12</f>
        <v>951.84278853766318</v>
      </c>
      <c r="CD132" s="62">
        <f ca="1">AVERAGE(OFFSET($CC$3,0,0,'Données projet'!$E$12+1,1))-AVERAGE(OFFSET($H$3,0,0,'Données projet'!$E$12+1,1))</f>
        <v>496.71400086768705</v>
      </c>
      <c r="CE132" s="62">
        <f t="shared" si="94"/>
        <v>206.75063396134982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6.0711538461538508</v>
      </c>
      <c r="CT132" s="13">
        <f>IF('Données projet'!$A$140&gt;35,CT131+CS132-DB131,IF(A132&lt;'Données projet'!$A$140,$CQ$205^A132,IF(A132='Données projet'!$A$140,'Données projet'!$B$140,CT131+CS132-DB131)))</f>
        <v>301.49679487179446</v>
      </c>
      <c r="CU132" s="18">
        <f>CT132*VLOOKUP('Données projet'!$B$13,Paramètres!$A$1:$I$89,3,0)*VLOOKUP('Données projet'!$B$13,Paramètres!$A$1:$I$89,5,0)</f>
        <v>324.53114999999951</v>
      </c>
      <c r="CV132" s="14">
        <f t="shared" si="95"/>
        <v>76.295374645724706</v>
      </c>
      <c r="CW132" s="22">
        <f t="shared" ref="CW132:CW153" si="121">(CU132+CV132)*0.475*44/12</f>
        <v>698.10619709130299</v>
      </c>
      <c r="CX132" s="62">
        <f t="shared" ref="CX132:CX195" si="122">CW132+(CO132+CP132)*44/12</f>
        <v>991.43953042463636</v>
      </c>
      <c r="CY132" s="62">
        <f ca="1">AVERAGE(OFFSET($CX$3,0,0,'Données projet'!$E$13+1,1))-AVERAGE(OFFSET($H$3,0,0,'Données projet'!$E$13+1,1))</f>
        <v>524.55238798353344</v>
      </c>
      <c r="CZ132" s="62">
        <f t="shared" si="96"/>
        <v>216.94512104983255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-2.0395418687257919E-13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260.01925143568263</v>
      </c>
      <c r="T133" s="62">
        <f t="shared" ref="T133:T196" si="142">$T$3</f>
        <v>269.95358755269427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-2.8421709430404007E-13</v>
      </c>
      <c r="AJ133" s="14">
        <f>AI133*VLOOKUP('Données projet'!$B$10,Paramètres!$A$1:$I$89,3,0)*VLOOKUP('Données projet'!$B$10,Paramètres!$A$1:$I$89,5,0)</f>
        <v>-1.69961822393816E-13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289.24721145176682</v>
      </c>
      <c r="AO133" s="62">
        <f t="shared" ref="AO133:AO196" si="144">$AO$3</f>
        <v>229.06617320689003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4.66307692307692</v>
      </c>
      <c r="BD133" s="13">
        <f>IF('Données projet'!$A$88&gt;35,BD132+BC133-BL132,IF(A133&lt;'Données projet'!$A$88,$BA$205^A133,IF(A133='Données projet'!$A$88,'Données projet'!$B$88,BD132+BC133-BL132)))</f>
        <v>254.9523076923077</v>
      </c>
      <c r="BE133" s="14">
        <f>BD133*VLOOKUP('Données projet'!$B$11,Paramètres!$A$1:$I$89,3,0)*VLOOKUP('Données projet'!$B$11,Paramètres!$A$1:$I$89,5,0)</f>
        <v>119.31768000000001</v>
      </c>
      <c r="BF133" s="14">
        <f t="shared" ref="BF133:BF153" si="145">EXP(-1.0587+0.8836*LN(BE133)+0.284)</f>
        <v>31.515806583905047</v>
      </c>
      <c r="BG133" s="22">
        <f t="shared" si="115"/>
        <v>262.70165580030135</v>
      </c>
      <c r="BH133" s="62">
        <f t="shared" si="116"/>
        <v>556.03498913363467</v>
      </c>
      <c r="BI133" s="62">
        <f ca="1">AVERAGE(OFFSET($BH$3,0,0,'Données projet'!$E$11+1,1))-AVERAGE(OFFSET($H$3,0,0,'Données projet'!$E$11+1,1))</f>
        <v>284.72381074796073</v>
      </c>
      <c r="BJ133" s="62">
        <f t="shared" ref="BJ133:BJ196" si="146">$BJ$3</f>
        <v>190.4880882944471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6.0711538461538508</v>
      </c>
      <c r="BY133" s="13">
        <f>IF('Données projet'!$A$114&gt;35,BY132+BX133-CG132,IF(A133&lt;'Données projet'!$A$114,$BV$205^A133,IF(A133='Données projet'!$A$114,'Données projet'!$B$114,BY132+BX133-CG132)))</f>
        <v>307.5679487179483</v>
      </c>
      <c r="BZ133" s="14">
        <f>BY133*VLOOKUP('Données projet'!$B$12,Paramètres!$A$1:$I$89,3,0)*VLOOKUP('Données projet'!$B$12,Paramètres!$A$1:$I$89,5,0)</f>
        <v>311.87389999999959</v>
      </c>
      <c r="CA133" s="14">
        <f t="shared" ref="CA133:CA153" si="147">EXP(-1.0587+0.8836*LN(BZ133)+0.284)</f>
        <v>73.660037704875649</v>
      </c>
      <c r="CB133" s="22">
        <f t="shared" si="118"/>
        <v>671.47160816932444</v>
      </c>
      <c r="CC133" s="62">
        <f t="shared" si="119"/>
        <v>964.80494150265781</v>
      </c>
      <c r="CD133" s="62">
        <f ca="1">AVERAGE(OFFSET($CC$3,0,0,'Données projet'!$E$12+1,1))-AVERAGE(OFFSET($H$3,0,0,'Données projet'!$E$12+1,1))</f>
        <v>496.71400086768705</v>
      </c>
      <c r="CE133" s="62">
        <f t="shared" ref="CE133:CE196" si="148">$CE$3</f>
        <v>206.75063396134982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6.0711538461538508</v>
      </c>
      <c r="CT133" s="13">
        <f>IF('Données projet'!$A$140&gt;35,CT132+CS133-DB132,IF(A133&lt;'Données projet'!$A$140,$CQ$205^A133,IF(A133='Données projet'!$A$140,'Données projet'!$B$140,CT132+CS133-DB132)))</f>
        <v>307.5679487179483</v>
      </c>
      <c r="CU133" s="18">
        <f>CT133*VLOOKUP('Données projet'!$B$13,Paramètres!$A$1:$I$89,3,0)*VLOOKUP('Données projet'!$B$13,Paramètres!$A$1:$I$89,5,0)</f>
        <v>331.06613999999956</v>
      </c>
      <c r="CV133" s="14">
        <f t="shared" ref="CV133:CV153" si="149">EXP(-1.0587+0.8836*LN(CU133)+0.284)</f>
        <v>77.651303683134728</v>
      </c>
      <c r="CW133" s="22">
        <f t="shared" si="121"/>
        <v>711.84954774812559</v>
      </c>
      <c r="CX133" s="62">
        <f t="shared" si="122"/>
        <v>1005.1828810814588</v>
      </c>
      <c r="CY133" s="62">
        <f ca="1">AVERAGE(OFFSET($CX$3,0,0,'Données projet'!$E$13+1,1))-AVERAGE(OFFSET($H$3,0,0,'Données projet'!$E$13+1,1))</f>
        <v>524.55238798353344</v>
      </c>
      <c r="CZ133" s="62">
        <f t="shared" ref="CZ133:CZ196" si="150">$CZ$3</f>
        <v>216.94512104983255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-2.0395418687257919E-13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260.01925143568263</v>
      </c>
      <c r="T134" s="62">
        <f t="shared" si="142"/>
        <v>269.95358755269427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-2.8421709430404007E-13</v>
      </c>
      <c r="AJ134" s="14">
        <f>AI134*VLOOKUP('Données projet'!$B$10,Paramètres!$A$1:$I$89,3,0)*VLOOKUP('Données projet'!$B$10,Paramètres!$A$1:$I$89,5,0)</f>
        <v>-1.69961822393816E-13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289.24721145176682</v>
      </c>
      <c r="AO134" s="62">
        <f t="shared" si="144"/>
        <v>229.06617320689003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>
        <f>VLOOKUP(A134,'Données projet'!$A$87:$I$107,2,0)</f>
        <v>259.61538461538458</v>
      </c>
      <c r="BB134" s="13">
        <f>VLOOKUP(A134,'Données projet'!$A$87:$I$107,9,0)</f>
        <v>4.66307692307692</v>
      </c>
      <c r="BC134" s="13">
        <f t="array" ref="BC134">INDEX(BB:BB,MIN(IF(ISNUMBER(BB134:BB330),ROW(BB134:BB330),"")))</f>
        <v>4.66307692307692</v>
      </c>
      <c r="BD134" s="13">
        <f>IF('Données projet'!$A$88&gt;35,BD133+BC134-BL133,IF(A134&lt;'Données projet'!$A$88,$BA$205^A134,IF(A134='Données projet'!$A$88,'Données projet'!$B$88,BD133+BC134-BL133)))</f>
        <v>259.61538461538464</v>
      </c>
      <c r="BE134" s="14">
        <f>BD134*VLOOKUP('Données projet'!$B$11,Paramètres!$A$1:$I$89,3,0)*VLOOKUP('Données projet'!$B$11,Paramètres!$A$1:$I$89,5,0)</f>
        <v>121.50000000000001</v>
      </c>
      <c r="BF134" s="14">
        <f t="shared" si="145"/>
        <v>32.024596321339054</v>
      </c>
      <c r="BG134" s="22">
        <f t="shared" si="115"/>
        <v>267.38867192633217</v>
      </c>
      <c r="BH134" s="62">
        <f t="shared" si="116"/>
        <v>560.72200525966548</v>
      </c>
      <c r="BI134" s="62">
        <f ca="1">AVERAGE(OFFSET($BH$3,0,0,'Données projet'!$E$11+1,1))-AVERAGE(OFFSET($H$3,0,0,'Données projet'!$E$11+1,1))</f>
        <v>284.72381074796073</v>
      </c>
      <c r="BJ134" s="62">
        <f t="shared" si="146"/>
        <v>190.4880882944471</v>
      </c>
      <c r="BK134" s="16">
        <f>IF(ISNA(VLOOKUP(A134,'Données projet'!$A$87:$I$107,3,0)),0,VLOOKUP(A134,'Données projet'!$A$87:$I$107,3,0))</f>
        <v>8</v>
      </c>
      <c r="BL134" s="16">
        <f>IF(ISNA(VLOOKUP(A134,'Données projet'!$A$87:$I$107,4,0)),0,VLOOKUP(A134,'Données projet'!$A$87:$I$107,4,0))</f>
        <v>259.61538461538458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6.0711538461538508</v>
      </c>
      <c r="BY134" s="13">
        <f>IF('Données projet'!$A$114&gt;35,BY133+BX134-CG133,IF(A134&lt;'Données projet'!$A$114,$BV$205^A134,IF(A134='Données projet'!$A$114,'Données projet'!$B$114,BY133+BX134-CG133)))</f>
        <v>313.63910256410213</v>
      </c>
      <c r="BZ134" s="14">
        <f>BY134*VLOOKUP('Données projet'!$B$12,Paramètres!$A$1:$I$89,3,0)*VLOOKUP('Données projet'!$B$12,Paramètres!$A$1:$I$89,5,0)</f>
        <v>318.03004999999956</v>
      </c>
      <c r="CA134" s="14">
        <f t="shared" si="147"/>
        <v>74.943320060590807</v>
      </c>
      <c r="CB134" s="22">
        <f t="shared" si="118"/>
        <v>684.42861952219482</v>
      </c>
      <c r="CC134" s="62">
        <f t="shared" si="119"/>
        <v>977.76195285552808</v>
      </c>
      <c r="CD134" s="62">
        <f ca="1">AVERAGE(OFFSET($CC$3,0,0,'Données projet'!$E$12+1,1))-AVERAGE(OFFSET($H$3,0,0,'Données projet'!$E$12+1,1))</f>
        <v>496.71400086768705</v>
      </c>
      <c r="CE134" s="62">
        <f t="shared" si="148"/>
        <v>206.75063396134982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6.0711538461538508</v>
      </c>
      <c r="CT134" s="13">
        <f>IF('Données projet'!$A$140&gt;35,CT133+CS134-DB133,IF(A134&lt;'Données projet'!$A$140,$CQ$205^A134,IF(A134='Données projet'!$A$140,'Données projet'!$B$140,CT133+CS134-DB133)))</f>
        <v>313.63910256410213</v>
      </c>
      <c r="CU134" s="18">
        <f>CT134*VLOOKUP('Données projet'!$B$13,Paramètres!$A$1:$I$89,3,0)*VLOOKUP('Données projet'!$B$13,Paramètres!$A$1:$I$89,5,0)</f>
        <v>337.60112999999956</v>
      </c>
      <c r="CV134" s="14">
        <f t="shared" si="149"/>
        <v>79.004120638158497</v>
      </c>
      <c r="CW134" s="22">
        <f t="shared" si="121"/>
        <v>725.58747819479186</v>
      </c>
      <c r="CX134" s="62">
        <f t="shared" si="122"/>
        <v>1018.9208115281251</v>
      </c>
      <c r="CY134" s="62">
        <f ca="1">AVERAGE(OFFSET($CX$3,0,0,'Données projet'!$E$13+1,1))-AVERAGE(OFFSET($H$3,0,0,'Données projet'!$E$13+1,1))</f>
        <v>524.55238798353344</v>
      </c>
      <c r="CZ134" s="62">
        <f t="shared" si="150"/>
        <v>216.94512104983255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-2.0395418687257919E-13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260.01925143568263</v>
      </c>
      <c r="T135" s="62">
        <f t="shared" si="142"/>
        <v>269.95358755269427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-2.8421709430404007E-13</v>
      </c>
      <c r="AJ135" s="14">
        <f>AI135*VLOOKUP('Données projet'!$B$10,Paramètres!$A$1:$I$89,3,0)*VLOOKUP('Données projet'!$B$10,Paramètres!$A$1:$I$89,5,0)</f>
        <v>-1.69961822393816E-13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289.24721145176682</v>
      </c>
      <c r="AO135" s="62">
        <f t="shared" si="144"/>
        <v>229.06617320689003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2.6602720026858149E-14</v>
      </c>
      <c r="BF135" s="14">
        <f t="shared" si="145"/>
        <v>4.6624771586320878E-13</v>
      </c>
      <c r="BG135" s="22">
        <f t="shared" si="115"/>
        <v>8.583811758418665E-13</v>
      </c>
      <c r="BH135" s="62">
        <f t="shared" si="116"/>
        <v>293.33333333333417</v>
      </c>
      <c r="BI135" s="62">
        <f ca="1">AVERAGE(OFFSET($BH$3,0,0,'Données projet'!$E$11+1,1))-AVERAGE(OFFSET($H$3,0,0,'Données projet'!$E$11+1,1))</f>
        <v>284.72381074796073</v>
      </c>
      <c r="BJ135" s="62">
        <f t="shared" si="146"/>
        <v>190.4880882944471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6.0711538461538508</v>
      </c>
      <c r="BY135" s="13">
        <f>IF('Données projet'!$A$114&gt;35,BY134+BX135-CG134,IF(A135&lt;'Données projet'!$A$114,$BV$205^A135,IF(A135='Données projet'!$A$114,'Données projet'!$B$114,BY134+BX135-CG134)))</f>
        <v>319.71025641025597</v>
      </c>
      <c r="BZ135" s="14">
        <f>BY135*VLOOKUP('Données projet'!$B$12,Paramètres!$A$1:$I$89,3,0)*VLOOKUP('Données projet'!$B$12,Paramètres!$A$1:$I$89,5,0)</f>
        <v>324.18619999999959</v>
      </c>
      <c r="CA135" s="14">
        <f t="shared" si="147"/>
        <v>76.223714026972232</v>
      </c>
      <c r="CB135" s="22">
        <f t="shared" si="118"/>
        <v>697.38060026364246</v>
      </c>
      <c r="CC135" s="62">
        <f t="shared" si="119"/>
        <v>990.71393359697572</v>
      </c>
      <c r="CD135" s="62">
        <f ca="1">AVERAGE(OFFSET($CC$3,0,0,'Données projet'!$E$12+1,1))-AVERAGE(OFFSET($H$3,0,0,'Données projet'!$E$12+1,1))</f>
        <v>496.71400086768705</v>
      </c>
      <c r="CE135" s="62">
        <f t="shared" si="148"/>
        <v>206.75063396134982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6.0711538461538508</v>
      </c>
      <c r="CT135" s="13">
        <f>IF('Données projet'!$A$140&gt;35,CT134+CS135-DB134,IF(A135&lt;'Données projet'!$A$140,$CQ$205^A135,IF(A135='Données projet'!$A$140,'Données projet'!$B$140,CT134+CS135-DB134)))</f>
        <v>319.71025641025597</v>
      </c>
      <c r="CU135" s="18">
        <f>CT135*VLOOKUP('Données projet'!$B$13,Paramètres!$A$1:$I$89,3,0)*VLOOKUP('Données projet'!$B$13,Paramètres!$A$1:$I$89,5,0)</f>
        <v>344.13611999999949</v>
      </c>
      <c r="CV135" s="14">
        <f t="shared" si="149"/>
        <v>80.353892696596574</v>
      </c>
      <c r="CW135" s="22">
        <f t="shared" si="121"/>
        <v>739.32010544657135</v>
      </c>
      <c r="CX135" s="62">
        <f t="shared" si="122"/>
        <v>1032.6534387799047</v>
      </c>
      <c r="CY135" s="62">
        <f ca="1">AVERAGE(OFFSET($CX$3,0,0,'Données projet'!$E$13+1,1))-AVERAGE(OFFSET($H$3,0,0,'Données projet'!$E$13+1,1))</f>
        <v>524.55238798353344</v>
      </c>
      <c r="CZ135" s="62">
        <f t="shared" si="150"/>
        <v>216.94512104983255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-2.0395418687257919E-13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260.01925143568263</v>
      </c>
      <c r="T136" s="62">
        <f t="shared" si="142"/>
        <v>269.95358755269427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-2.8421709430404007E-13</v>
      </c>
      <c r="AJ136" s="14">
        <f>AI136*VLOOKUP('Données projet'!$B$10,Paramètres!$A$1:$I$89,3,0)*VLOOKUP('Données projet'!$B$10,Paramètres!$A$1:$I$89,5,0)</f>
        <v>-1.69961822393816E-13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289.24721145176682</v>
      </c>
      <c r="AO136" s="62">
        <f t="shared" si="144"/>
        <v>229.06617320689003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2.6602720026858149E-14</v>
      </c>
      <c r="BF136" s="14">
        <f t="shared" si="145"/>
        <v>4.6624771586320878E-13</v>
      </c>
      <c r="BG136" s="22">
        <f t="shared" si="115"/>
        <v>8.583811758418665E-13</v>
      </c>
      <c r="BH136" s="62">
        <f t="shared" si="116"/>
        <v>293.33333333333417</v>
      </c>
      <c r="BI136" s="62">
        <f ca="1">AVERAGE(OFFSET($BH$3,0,0,'Données projet'!$E$11+1,1))-AVERAGE(OFFSET($H$3,0,0,'Données projet'!$E$11+1,1))</f>
        <v>284.72381074796073</v>
      </c>
      <c r="BJ136" s="62">
        <f t="shared" si="146"/>
        <v>190.4880882944471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6.0711538461538508</v>
      </c>
      <c r="BY136" s="13">
        <f>IF('Données projet'!$A$114&gt;35,BY135+BX136-CG135,IF(A136&lt;'Données projet'!$A$114,$BV$205^A136,IF(A136='Données projet'!$A$114,'Données projet'!$B$114,BY135+BX136-CG135)))</f>
        <v>325.7814102564098</v>
      </c>
      <c r="BZ136" s="14">
        <f>BY136*VLOOKUP('Données projet'!$B$12,Paramètres!$A$1:$I$89,3,0)*VLOOKUP('Données projet'!$B$12,Paramètres!$A$1:$I$89,5,0)</f>
        <v>330.34234999999956</v>
      </c>
      <c r="CA136" s="14">
        <f t="shared" si="147"/>
        <v>77.501280777473198</v>
      </c>
      <c r="CB136" s="22">
        <f t="shared" si="118"/>
        <v>710.32765693743158</v>
      </c>
      <c r="CC136" s="62">
        <f t="shared" si="119"/>
        <v>1003.6609902707648</v>
      </c>
      <c r="CD136" s="62">
        <f ca="1">AVERAGE(OFFSET($CC$3,0,0,'Données projet'!$E$12+1,1))-AVERAGE(OFFSET($H$3,0,0,'Données projet'!$E$12+1,1))</f>
        <v>496.71400086768705</v>
      </c>
      <c r="CE136" s="62">
        <f t="shared" si="148"/>
        <v>206.75063396134982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6.0711538461538508</v>
      </c>
      <c r="CT136" s="13">
        <f>IF('Données projet'!$A$140&gt;35,CT135+CS136-DB135,IF(A136&lt;'Données projet'!$A$140,$CQ$205^A136,IF(A136='Données projet'!$A$140,'Données projet'!$B$140,CT135+CS136-DB135)))</f>
        <v>325.7814102564098</v>
      </c>
      <c r="CU136" s="18">
        <f>CT136*VLOOKUP('Données projet'!$B$13,Paramètres!$A$1:$I$89,3,0)*VLOOKUP('Données projet'!$B$13,Paramètres!$A$1:$I$89,5,0)</f>
        <v>350.67110999999949</v>
      </c>
      <c r="CV136" s="14">
        <f t="shared" si="149"/>
        <v>81.700684346583202</v>
      </c>
      <c r="CW136" s="22">
        <f t="shared" si="121"/>
        <v>753.04754182029819</v>
      </c>
      <c r="CX136" s="62">
        <f t="shared" si="122"/>
        <v>1046.3808751536315</v>
      </c>
      <c r="CY136" s="62">
        <f ca="1">AVERAGE(OFFSET($CX$3,0,0,'Données projet'!$E$13+1,1))-AVERAGE(OFFSET($H$3,0,0,'Données projet'!$E$13+1,1))</f>
        <v>524.55238798353344</v>
      </c>
      <c r="CZ136" s="62">
        <f t="shared" si="150"/>
        <v>216.94512104983255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-2.0395418687257919E-13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260.01925143568263</v>
      </c>
      <c r="T137" s="62">
        <f t="shared" si="142"/>
        <v>269.95358755269427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-2.8421709430404007E-13</v>
      </c>
      <c r="AJ137" s="14">
        <f>AI137*VLOOKUP('Données projet'!$B$10,Paramètres!$A$1:$I$89,3,0)*VLOOKUP('Données projet'!$B$10,Paramètres!$A$1:$I$89,5,0)</f>
        <v>-1.69961822393816E-13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289.24721145176682</v>
      </c>
      <c r="AO137" s="62">
        <f t="shared" si="144"/>
        <v>229.06617320689003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2.6602720026858149E-14</v>
      </c>
      <c r="BF137" s="14">
        <f t="shared" si="145"/>
        <v>4.6624771586320878E-13</v>
      </c>
      <c r="BG137" s="22">
        <f t="shared" si="115"/>
        <v>8.583811758418665E-13</v>
      </c>
      <c r="BH137" s="62">
        <f t="shared" si="116"/>
        <v>293.33333333333417</v>
      </c>
      <c r="BI137" s="62">
        <f ca="1">AVERAGE(OFFSET($BH$3,0,0,'Données projet'!$E$11+1,1))-AVERAGE(OFFSET($H$3,0,0,'Données projet'!$E$11+1,1))</f>
        <v>284.72381074796073</v>
      </c>
      <c r="BJ137" s="62">
        <f t="shared" si="146"/>
        <v>190.4880882944471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>
        <f>VLOOKUP(A137,'Données projet'!$A$113:$I$133,2,0)</f>
        <v>331.85256410256414</v>
      </c>
      <c r="BW137" s="13">
        <f>VLOOKUP(A137,'Données projet'!$A$113:$I$133,9,0)</f>
        <v>6.0711538461538508</v>
      </c>
      <c r="BX137" s="13">
        <f t="array" ref="BX137">INDEX(BW:BW,MIN(IF(ISNUMBER(BW137:BW333),ROW(BW137:BW333),"")))</f>
        <v>6.0711538461538508</v>
      </c>
      <c r="BY137" s="13">
        <f>IF('Données projet'!$A$114&gt;35,BY136+BX137-CG136,IF(A137&lt;'Données projet'!$A$114,$BV$205^A137,IF(A137='Données projet'!$A$114,'Données projet'!$B$114,BY136+BX137-CG136)))</f>
        <v>331.85256410256363</v>
      </c>
      <c r="BZ137" s="14">
        <f>BY137*VLOOKUP('Données projet'!$B$12,Paramètres!$A$1:$I$89,3,0)*VLOOKUP('Données projet'!$B$12,Paramètres!$A$1:$I$89,5,0)</f>
        <v>336.49849999999952</v>
      </c>
      <c r="CA137" s="14">
        <f t="shared" si="147"/>
        <v>78.776079075030665</v>
      </c>
      <c r="CB137" s="22">
        <f t="shared" si="118"/>
        <v>723.26989188901098</v>
      </c>
      <c r="CC137" s="62">
        <f t="shared" si="119"/>
        <v>1016.6032252223442</v>
      </c>
      <c r="CD137" s="62">
        <f ca="1">AVERAGE(OFFSET($CC$3,0,0,'Données projet'!$E$12+1,1))-AVERAGE(OFFSET($H$3,0,0,'Données projet'!$E$12+1,1))</f>
        <v>496.71400086768705</v>
      </c>
      <c r="CE137" s="62">
        <f t="shared" si="148"/>
        <v>206.75063396134982</v>
      </c>
      <c r="CF137" s="16">
        <f>IF(ISNA(VLOOKUP(A137,'Données projet'!$A$113:$I$133,3,0)),0,VLOOKUP(A137,'Données projet'!$A$113:$I$133,3,0))</f>
        <v>11</v>
      </c>
      <c r="CG137" s="16">
        <f>IF(ISNA(VLOOKUP(A137,'Données projet'!$A$113:$I$133,4,0)),0,VLOOKUP(A137,'Données projet'!$A$113:$I$133,4,0))</f>
        <v>41.666666666666664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>
        <f>VLOOKUP(A137,'Données projet'!$A$139:$I$159,2,0)</f>
        <v>331.85256410256414</v>
      </c>
      <c r="CR137" s="13">
        <f>VLOOKUP(A137,'Données projet'!$A$139:$I$159,9,0)</f>
        <v>6.0711538461538508</v>
      </c>
      <c r="CS137" s="13">
        <f t="array" ref="CS137">INDEX(CR:CR,MIN(IF(ISNUMBER(CR137:CR333),ROW(CR137:CR333),"")))</f>
        <v>6.0711538461538508</v>
      </c>
      <c r="CT137" s="13">
        <f>IF('Données projet'!$A$140&gt;35,CT136+CS137-DB136,IF(A137&lt;'Données projet'!$A$140,$CQ$205^A137,IF(A137='Données projet'!$A$140,'Données projet'!$B$140,CT136+CS137-DB136)))</f>
        <v>331.85256410256363</v>
      </c>
      <c r="CU137" s="18">
        <f>CT137*VLOOKUP('Données projet'!$B$13,Paramètres!$A$1:$I$89,3,0)*VLOOKUP('Données projet'!$B$13,Paramètres!$A$1:$I$89,5,0)</f>
        <v>357.20609999999948</v>
      </c>
      <c r="CV137" s="14">
        <f t="shared" si="149"/>
        <v>83.044557535122607</v>
      </c>
      <c r="CW137" s="22">
        <f t="shared" si="121"/>
        <v>766.7698952070042</v>
      </c>
      <c r="CX137" s="62">
        <f t="shared" si="122"/>
        <v>1060.1032285403376</v>
      </c>
      <c r="CY137" s="62">
        <f ca="1">AVERAGE(OFFSET($CX$3,0,0,'Données projet'!$E$13+1,1))-AVERAGE(OFFSET($H$3,0,0,'Données projet'!$E$13+1,1))</f>
        <v>524.55238798353344</v>
      </c>
      <c r="CZ137" s="62">
        <f t="shared" si="150"/>
        <v>216.94512104983255</v>
      </c>
      <c r="DA137" s="16">
        <f>IF(ISNA(VLOOKUP(A137,'Données projet'!$A$139:$I$159,3,0)),0,VLOOKUP(A137,'Données projet'!$A$139:$I$159,3,0))</f>
        <v>11</v>
      </c>
      <c r="DB137" s="16">
        <f>IF(ISNA(VLOOKUP(A137,'Données projet'!$A$139:$I$159,4,0)),0,VLOOKUP(A137,'Données projet'!$A$139:$I$159,4,0))</f>
        <v>41.666666666666664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-2.0395418687257919E-13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260.01925143568263</v>
      </c>
      <c r="T138" s="62">
        <f t="shared" si="142"/>
        <v>269.95358755269427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-2.8421709430404007E-13</v>
      </c>
      <c r="AJ138" s="14">
        <f>AI138*VLOOKUP('Données projet'!$B$10,Paramètres!$A$1:$I$89,3,0)*VLOOKUP('Données projet'!$B$10,Paramètres!$A$1:$I$89,5,0)</f>
        <v>-1.69961822393816E-13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289.24721145176682</v>
      </c>
      <c r="AO138" s="62">
        <f t="shared" si="144"/>
        <v>229.06617320689003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2.6602720026858149E-14</v>
      </c>
      <c r="BF138" s="14">
        <f t="shared" si="145"/>
        <v>4.6624771586320878E-13</v>
      </c>
      <c r="BG138" s="22">
        <f t="shared" si="115"/>
        <v>8.583811758418665E-13</v>
      </c>
      <c r="BH138" s="62">
        <f t="shared" si="116"/>
        <v>293.33333333333417</v>
      </c>
      <c r="BI138" s="62">
        <f ca="1">AVERAGE(OFFSET($BH$3,0,0,'Données projet'!$E$11+1,1))-AVERAGE(OFFSET($H$3,0,0,'Données projet'!$E$11+1,1))</f>
        <v>284.72381074796073</v>
      </c>
      <c r="BJ138" s="62">
        <f t="shared" si="146"/>
        <v>190.4880882944471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6.1378205128205137</v>
      </c>
      <c r="BY138" s="13">
        <f>IF('Données projet'!$A$114&gt;35,BY137+BX138-CG137,IF(A138&lt;'Données projet'!$A$114,$BV$205^A138,IF(A138='Données projet'!$A$114,'Données projet'!$B$114,BY137+BX138-CG137)))</f>
        <v>296.32371794871744</v>
      </c>
      <c r="BZ138" s="14">
        <f>BY138*VLOOKUP('Données projet'!$B$12,Paramètres!$A$1:$I$89,3,0)*VLOOKUP('Données projet'!$B$12,Paramètres!$A$1:$I$89,5,0)</f>
        <v>300.47224999999952</v>
      </c>
      <c r="CA138" s="14">
        <f t="shared" si="147"/>
        <v>71.275456150126828</v>
      </c>
      <c r="CB138" s="22">
        <f t="shared" si="118"/>
        <v>647.46058821147005</v>
      </c>
      <c r="CC138" s="62">
        <f t="shared" si="119"/>
        <v>940.79392154480342</v>
      </c>
      <c r="CD138" s="62">
        <f ca="1">AVERAGE(OFFSET($CC$3,0,0,'Données projet'!$E$12+1,1))-AVERAGE(OFFSET($H$3,0,0,'Données projet'!$E$12+1,1))</f>
        <v>496.71400086768705</v>
      </c>
      <c r="CE138" s="62">
        <f t="shared" si="148"/>
        <v>206.75063396134982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6.1378205128205137</v>
      </c>
      <c r="CT138" s="13">
        <f>IF('Données projet'!$A$140&gt;35,CT137+CS138-DB137,IF(A138&lt;'Données projet'!$A$140,$CQ$205^A138,IF(A138='Données projet'!$A$140,'Données projet'!$B$140,CT137+CS138-DB137)))</f>
        <v>296.32371794871744</v>
      </c>
      <c r="CU138" s="18">
        <f>CT138*VLOOKUP('Données projet'!$B$13,Paramètres!$A$1:$I$89,3,0)*VLOOKUP('Données projet'!$B$13,Paramètres!$A$1:$I$89,5,0)</f>
        <v>318.96284999999943</v>
      </c>
      <c r="CV138" s="14">
        <f t="shared" si="149"/>
        <v>75.137513679294614</v>
      </c>
      <c r="CW138" s="22">
        <f t="shared" si="121"/>
        <v>686.39146674143706</v>
      </c>
      <c r="CX138" s="62">
        <f t="shared" si="122"/>
        <v>979.72480007477043</v>
      </c>
      <c r="CY138" s="62">
        <f ca="1">AVERAGE(OFFSET($CX$3,0,0,'Données projet'!$E$13+1,1))-AVERAGE(OFFSET($H$3,0,0,'Données projet'!$E$13+1,1))</f>
        <v>524.55238798353344</v>
      </c>
      <c r="CZ138" s="62">
        <f t="shared" si="150"/>
        <v>216.94512104983255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-2.0395418687257919E-13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260.01925143568263</v>
      </c>
      <c r="T139" s="62">
        <f t="shared" si="142"/>
        <v>269.95358755269427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-2.8421709430404007E-13</v>
      </c>
      <c r="AJ139" s="14">
        <f>AI139*VLOOKUP('Données projet'!$B$10,Paramètres!$A$1:$I$89,3,0)*VLOOKUP('Données projet'!$B$10,Paramètres!$A$1:$I$89,5,0)</f>
        <v>-1.69961822393816E-13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289.24721145176682</v>
      </c>
      <c r="AO139" s="62">
        <f t="shared" si="144"/>
        <v>229.06617320689003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2.6602720026858149E-14</v>
      </c>
      <c r="BF139" s="14">
        <f t="shared" si="145"/>
        <v>4.6624771586320878E-13</v>
      </c>
      <c r="BG139" s="22">
        <f t="shared" si="115"/>
        <v>8.583811758418665E-13</v>
      </c>
      <c r="BH139" s="62">
        <f t="shared" si="116"/>
        <v>293.33333333333417</v>
      </c>
      <c r="BI139" s="62">
        <f ca="1">AVERAGE(OFFSET($BH$3,0,0,'Données projet'!$E$11+1,1))-AVERAGE(OFFSET($H$3,0,0,'Données projet'!$E$11+1,1))</f>
        <v>284.72381074796073</v>
      </c>
      <c r="BJ139" s="62">
        <f t="shared" si="146"/>
        <v>190.4880882944471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6.1378205128205137</v>
      </c>
      <c r="BY139" s="13">
        <f>IF('Données projet'!$A$114&gt;35,BY138+BX139-CG138,IF(A139&lt;'Données projet'!$A$114,$BV$205^A139,IF(A139='Données projet'!$A$114,'Données projet'!$B$114,BY138+BX139-CG138)))</f>
        <v>302.46153846153794</v>
      </c>
      <c r="BZ139" s="14">
        <f>BY139*VLOOKUP('Données projet'!$B$12,Paramètres!$A$1:$I$89,3,0)*VLOOKUP('Données projet'!$B$12,Paramètres!$A$1:$I$89,5,0)</f>
        <v>306.69599999999951</v>
      </c>
      <c r="CA139" s="14">
        <f t="shared" si="147"/>
        <v>72.578393751024478</v>
      </c>
      <c r="CB139" s="22">
        <f t="shared" si="118"/>
        <v>660.56956911636678</v>
      </c>
      <c r="CC139" s="62">
        <f t="shared" si="119"/>
        <v>953.90290244970015</v>
      </c>
      <c r="CD139" s="62">
        <f ca="1">AVERAGE(OFFSET($CC$3,0,0,'Données projet'!$E$12+1,1))-AVERAGE(OFFSET($H$3,0,0,'Données projet'!$E$12+1,1))</f>
        <v>496.71400086768705</v>
      </c>
      <c r="CE139" s="62">
        <f t="shared" si="148"/>
        <v>206.75063396134982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6.1378205128205137</v>
      </c>
      <c r="CT139" s="13">
        <f>IF('Données projet'!$A$140&gt;35,CT138+CS139-DB138,IF(A139&lt;'Données projet'!$A$140,$CQ$205^A139,IF(A139='Données projet'!$A$140,'Données projet'!$B$140,CT138+CS139-DB138)))</f>
        <v>302.46153846153794</v>
      </c>
      <c r="CU139" s="18">
        <f>CT139*VLOOKUP('Données projet'!$B$13,Paramètres!$A$1:$I$89,3,0)*VLOOKUP('Données projet'!$B$13,Paramètres!$A$1:$I$89,5,0)</f>
        <v>325.56959999999947</v>
      </c>
      <c r="CV139" s="14">
        <f t="shared" si="149"/>
        <v>76.511050898116594</v>
      </c>
      <c r="CW139" s="22">
        <f t="shared" si="121"/>
        <v>700.29046698088541</v>
      </c>
      <c r="CX139" s="62">
        <f t="shared" si="122"/>
        <v>993.62380031421867</v>
      </c>
      <c r="CY139" s="62">
        <f ca="1">AVERAGE(OFFSET($CX$3,0,0,'Données projet'!$E$13+1,1))-AVERAGE(OFFSET($H$3,0,0,'Données projet'!$E$13+1,1))</f>
        <v>524.55238798353344</v>
      </c>
      <c r="CZ139" s="62">
        <f t="shared" si="150"/>
        <v>216.94512104983255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-2.0395418687257919E-13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260.01925143568263</v>
      </c>
      <c r="T140" s="62">
        <f t="shared" si="142"/>
        <v>269.95358755269427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-2.8421709430404007E-13</v>
      </c>
      <c r="AJ140" s="14">
        <f>AI140*VLOOKUP('Données projet'!$B$10,Paramètres!$A$1:$I$89,3,0)*VLOOKUP('Données projet'!$B$10,Paramètres!$A$1:$I$89,5,0)</f>
        <v>-1.69961822393816E-13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289.24721145176682</v>
      </c>
      <c r="AO140" s="62">
        <f t="shared" si="144"/>
        <v>229.06617320689003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2.6602720026858149E-14</v>
      </c>
      <c r="BF140" s="14">
        <f t="shared" si="145"/>
        <v>4.6624771586320878E-13</v>
      </c>
      <c r="BG140" s="22">
        <f t="shared" si="115"/>
        <v>8.583811758418665E-13</v>
      </c>
      <c r="BH140" s="62">
        <f t="shared" si="116"/>
        <v>293.33333333333417</v>
      </c>
      <c r="BI140" s="62">
        <f ca="1">AVERAGE(OFFSET($BH$3,0,0,'Données projet'!$E$11+1,1))-AVERAGE(OFFSET($H$3,0,0,'Données projet'!$E$11+1,1))</f>
        <v>284.72381074796073</v>
      </c>
      <c r="BJ140" s="62">
        <f t="shared" si="146"/>
        <v>190.4880882944471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6.1378205128205137</v>
      </c>
      <c r="BY140" s="13">
        <f>IF('Données projet'!$A$114&gt;35,BY139+BX140-CG139,IF(A140&lt;'Données projet'!$A$114,$BV$205^A140,IF(A140='Données projet'!$A$114,'Données projet'!$B$114,BY139+BX140-CG139)))</f>
        <v>308.59935897435844</v>
      </c>
      <c r="BZ140" s="14">
        <f>BY140*VLOOKUP('Données projet'!$B$12,Paramètres!$A$1:$I$89,3,0)*VLOOKUP('Données projet'!$B$12,Paramètres!$A$1:$I$89,5,0)</f>
        <v>312.91974999999951</v>
      </c>
      <c r="CA140" s="14">
        <f t="shared" si="147"/>
        <v>73.878257100991888</v>
      </c>
      <c r="CB140" s="22">
        <f t="shared" si="118"/>
        <v>673.67319570089342</v>
      </c>
      <c r="CC140" s="62">
        <f t="shared" si="119"/>
        <v>967.00652903422679</v>
      </c>
      <c r="CD140" s="62">
        <f ca="1">AVERAGE(OFFSET($CC$3,0,0,'Données projet'!$E$12+1,1))-AVERAGE(OFFSET($H$3,0,0,'Données projet'!$E$12+1,1))</f>
        <v>496.71400086768705</v>
      </c>
      <c r="CE140" s="62">
        <f t="shared" si="148"/>
        <v>206.75063396134982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6.1378205128205137</v>
      </c>
      <c r="CT140" s="13">
        <f>IF('Données projet'!$A$140&gt;35,CT139+CS140-DB139,IF(A140&lt;'Données projet'!$A$140,$CQ$205^A140,IF(A140='Données projet'!$A$140,'Données projet'!$B$140,CT139+CS140-DB139)))</f>
        <v>308.59935897435844</v>
      </c>
      <c r="CU140" s="18">
        <f>CT140*VLOOKUP('Données projet'!$B$13,Paramètres!$A$1:$I$89,3,0)*VLOOKUP('Données projet'!$B$13,Paramètres!$A$1:$I$89,5,0)</f>
        <v>332.17634999999945</v>
      </c>
      <c r="CV140" s="14">
        <f t="shared" si="149"/>
        <v>77.881347287853785</v>
      </c>
      <c r="CW140" s="22">
        <f t="shared" si="121"/>
        <v>714.1838227763443</v>
      </c>
      <c r="CX140" s="62">
        <f t="shared" si="122"/>
        <v>1007.5171561096777</v>
      </c>
      <c r="CY140" s="62">
        <f ca="1">AVERAGE(OFFSET($CX$3,0,0,'Données projet'!$E$13+1,1))-AVERAGE(OFFSET($H$3,0,0,'Données projet'!$E$13+1,1))</f>
        <v>524.55238798353344</v>
      </c>
      <c r="CZ140" s="62">
        <f t="shared" si="150"/>
        <v>216.94512104983255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-2.0395418687257919E-13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260.01925143568263</v>
      </c>
      <c r="T141" s="62">
        <f t="shared" si="142"/>
        <v>269.95358755269427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-2.8421709430404007E-13</v>
      </c>
      <c r="AJ141" s="14">
        <f>AI141*VLOOKUP('Données projet'!$B$10,Paramètres!$A$1:$I$89,3,0)*VLOOKUP('Données projet'!$B$10,Paramètres!$A$1:$I$89,5,0)</f>
        <v>-1.69961822393816E-13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289.24721145176682</v>
      </c>
      <c r="AO141" s="62">
        <f t="shared" si="144"/>
        <v>229.06617320689003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2.6602720026858149E-14</v>
      </c>
      <c r="BF141" s="14">
        <f t="shared" si="145"/>
        <v>4.6624771586320878E-13</v>
      </c>
      <c r="BG141" s="22">
        <f t="shared" si="115"/>
        <v>8.583811758418665E-13</v>
      </c>
      <c r="BH141" s="62">
        <f t="shared" si="116"/>
        <v>293.33333333333417</v>
      </c>
      <c r="BI141" s="62">
        <f ca="1">AVERAGE(OFFSET($BH$3,0,0,'Données projet'!$E$11+1,1))-AVERAGE(OFFSET($H$3,0,0,'Données projet'!$E$11+1,1))</f>
        <v>284.72381074796073</v>
      </c>
      <c r="BJ141" s="62">
        <f t="shared" si="146"/>
        <v>190.4880882944471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6.1378205128205137</v>
      </c>
      <c r="BY141" s="13">
        <f>IF('Données projet'!$A$114&gt;35,BY140+BX141-CG140,IF(A141&lt;'Données projet'!$A$114,$BV$205^A141,IF(A141='Données projet'!$A$114,'Données projet'!$B$114,BY140+BX141-CG140)))</f>
        <v>314.73717948717893</v>
      </c>
      <c r="BZ141" s="14">
        <f>BY141*VLOOKUP('Données projet'!$B$12,Paramètres!$A$1:$I$89,3,0)*VLOOKUP('Données projet'!$B$12,Paramètres!$A$1:$I$89,5,0)</f>
        <v>319.14349999999945</v>
      </c>
      <c r="CA141" s="14">
        <f t="shared" si="147"/>
        <v>75.175114392036065</v>
      </c>
      <c r="CB141" s="22">
        <f t="shared" si="118"/>
        <v>686.77158673279519</v>
      </c>
      <c r="CC141" s="62">
        <f t="shared" si="119"/>
        <v>980.10492006612844</v>
      </c>
      <c r="CD141" s="62">
        <f ca="1">AVERAGE(OFFSET($CC$3,0,0,'Données projet'!$E$12+1,1))-AVERAGE(OFFSET($H$3,0,0,'Données projet'!$E$12+1,1))</f>
        <v>496.71400086768705</v>
      </c>
      <c r="CE141" s="62">
        <f t="shared" si="148"/>
        <v>206.75063396134982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6.1378205128205137</v>
      </c>
      <c r="CT141" s="13">
        <f>IF('Données projet'!$A$140&gt;35,CT140+CS141-DB140,IF(A141&lt;'Données projet'!$A$140,$CQ$205^A141,IF(A141='Données projet'!$A$140,'Données projet'!$B$140,CT140+CS141-DB140)))</f>
        <v>314.73717948717893</v>
      </c>
      <c r="CU141" s="18">
        <f>CT141*VLOOKUP('Données projet'!$B$13,Paramètres!$A$1:$I$89,3,0)*VLOOKUP('Données projet'!$B$13,Paramètres!$A$1:$I$89,5,0)</f>
        <v>338.78309999999942</v>
      </c>
      <c r="CV141" s="14">
        <f t="shared" si="149"/>
        <v>79.248474735494142</v>
      </c>
      <c r="CW141" s="22">
        <f t="shared" si="121"/>
        <v>728.07165933098452</v>
      </c>
      <c r="CX141" s="62">
        <f t="shared" si="122"/>
        <v>1021.4049926643179</v>
      </c>
      <c r="CY141" s="62">
        <f ca="1">AVERAGE(OFFSET($CX$3,0,0,'Données projet'!$E$13+1,1))-AVERAGE(OFFSET($H$3,0,0,'Données projet'!$E$13+1,1))</f>
        <v>524.55238798353344</v>
      </c>
      <c r="CZ141" s="62">
        <f t="shared" si="150"/>
        <v>216.94512104983255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-2.0395418687257919E-13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260.01925143568263</v>
      </c>
      <c r="T142" s="62">
        <f t="shared" si="142"/>
        <v>269.95358755269427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-2.8421709430404007E-13</v>
      </c>
      <c r="AJ142" s="14">
        <f>AI142*VLOOKUP('Données projet'!$B$10,Paramètres!$A$1:$I$89,3,0)*VLOOKUP('Données projet'!$B$10,Paramètres!$A$1:$I$89,5,0)</f>
        <v>-1.69961822393816E-13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289.24721145176682</v>
      </c>
      <c r="AO142" s="62">
        <f t="shared" si="144"/>
        <v>229.06617320689003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2.6602720026858149E-14</v>
      </c>
      <c r="BF142" s="14">
        <f t="shared" si="145"/>
        <v>4.6624771586320878E-13</v>
      </c>
      <c r="BG142" s="22">
        <f t="shared" si="115"/>
        <v>8.583811758418665E-13</v>
      </c>
      <c r="BH142" s="62">
        <f t="shared" si="116"/>
        <v>293.33333333333417</v>
      </c>
      <c r="BI142" s="62">
        <f ca="1">AVERAGE(OFFSET($BH$3,0,0,'Données projet'!$E$11+1,1))-AVERAGE(OFFSET($H$3,0,0,'Données projet'!$E$11+1,1))</f>
        <v>284.72381074796073</v>
      </c>
      <c r="BJ142" s="62">
        <f t="shared" si="146"/>
        <v>190.4880882944471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6.1378205128205137</v>
      </c>
      <c r="BY142" s="13">
        <f>IF('Données projet'!$A$114&gt;35,BY141+BX142-CG141,IF(A142&lt;'Données projet'!$A$114,$BV$205^A142,IF(A142='Données projet'!$A$114,'Données projet'!$B$114,BY141+BX142-CG141)))</f>
        <v>320.87499999999943</v>
      </c>
      <c r="BZ142" s="14">
        <f>BY142*VLOOKUP('Données projet'!$B$12,Paramètres!$A$1:$I$89,3,0)*VLOOKUP('Données projet'!$B$12,Paramètres!$A$1:$I$89,5,0)</f>
        <v>325.36724999999944</v>
      </c>
      <c r="CA142" s="14">
        <f t="shared" si="147"/>
        <v>76.469031004346846</v>
      </c>
      <c r="CB142" s="22">
        <f t="shared" si="118"/>
        <v>699.86485608256964</v>
      </c>
      <c r="CC142" s="62">
        <f t="shared" si="119"/>
        <v>993.19818941590302</v>
      </c>
      <c r="CD142" s="62">
        <f ca="1">AVERAGE(OFFSET($CC$3,0,0,'Données projet'!$E$12+1,1))-AVERAGE(OFFSET($H$3,0,0,'Données projet'!$E$12+1,1))</f>
        <v>496.71400086768705</v>
      </c>
      <c r="CE142" s="62">
        <f t="shared" si="148"/>
        <v>206.75063396134982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6.1378205128205137</v>
      </c>
      <c r="CT142" s="13">
        <f>IF('Données projet'!$A$140&gt;35,CT141+CS142-DB141,IF(A142&lt;'Données projet'!$A$140,$CQ$205^A142,IF(A142='Données projet'!$A$140,'Données projet'!$B$140,CT141+CS142-DB141)))</f>
        <v>320.87499999999943</v>
      </c>
      <c r="CU142" s="18">
        <f>CT142*VLOOKUP('Données projet'!$B$13,Paramètres!$A$1:$I$89,3,0)*VLOOKUP('Données projet'!$B$13,Paramètres!$A$1:$I$89,5,0)</f>
        <v>345.3898499999994</v>
      </c>
      <c r="CV142" s="14">
        <f t="shared" si="149"/>
        <v>80.612502163850195</v>
      </c>
      <c r="CW142" s="22">
        <f t="shared" si="121"/>
        <v>741.95409668537138</v>
      </c>
      <c r="CX142" s="62">
        <f t="shared" si="122"/>
        <v>1035.2874300187048</v>
      </c>
      <c r="CY142" s="62">
        <f ca="1">AVERAGE(OFFSET($CX$3,0,0,'Données projet'!$E$13+1,1))-AVERAGE(OFFSET($H$3,0,0,'Données projet'!$E$13+1,1))</f>
        <v>524.55238798353344</v>
      </c>
      <c r="CZ142" s="62">
        <f t="shared" si="150"/>
        <v>216.94512104983255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-2.0395418687257919E-13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260.01925143568263</v>
      </c>
      <c r="T143" s="62">
        <f t="shared" si="142"/>
        <v>269.95358755269427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-2.8421709430404007E-13</v>
      </c>
      <c r="AJ143" s="14">
        <f>AI143*VLOOKUP('Données projet'!$B$10,Paramètres!$A$1:$I$89,3,0)*VLOOKUP('Données projet'!$B$10,Paramètres!$A$1:$I$89,5,0)</f>
        <v>-1.69961822393816E-13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289.24721145176682</v>
      </c>
      <c r="AO143" s="62">
        <f t="shared" si="144"/>
        <v>229.06617320689003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2.6602720026858149E-14</v>
      </c>
      <c r="BF143" s="14">
        <f t="shared" si="145"/>
        <v>4.6624771586320878E-13</v>
      </c>
      <c r="BG143" s="22">
        <f t="shared" si="115"/>
        <v>8.583811758418665E-13</v>
      </c>
      <c r="BH143" s="62">
        <f t="shared" si="116"/>
        <v>293.33333333333417</v>
      </c>
      <c r="BI143" s="62">
        <f ca="1">AVERAGE(OFFSET($BH$3,0,0,'Données projet'!$E$11+1,1))-AVERAGE(OFFSET($H$3,0,0,'Données projet'!$E$11+1,1))</f>
        <v>284.72381074796073</v>
      </c>
      <c r="BJ143" s="62">
        <f t="shared" si="146"/>
        <v>190.4880882944471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6.1378205128205137</v>
      </c>
      <c r="BY143" s="13">
        <f>IF('Données projet'!$A$114&gt;35,BY142+BX143-CG142,IF(A143&lt;'Données projet'!$A$114,$BV$205^A143,IF(A143='Données projet'!$A$114,'Données projet'!$B$114,BY142+BX143-CG142)))</f>
        <v>327.01282051281993</v>
      </c>
      <c r="BZ143" s="14">
        <f>BY143*VLOOKUP('Données projet'!$B$12,Paramètres!$A$1:$I$89,3,0)*VLOOKUP('Données projet'!$B$12,Paramètres!$A$1:$I$89,5,0)</f>
        <v>331.59099999999944</v>
      </c>
      <c r="CA143" s="14">
        <f t="shared" si="147"/>
        <v>77.760069673768342</v>
      </c>
      <c r="CB143" s="22">
        <f t="shared" si="118"/>
        <v>712.9531130151455</v>
      </c>
      <c r="CC143" s="62">
        <f t="shared" si="119"/>
        <v>1006.2864463484789</v>
      </c>
      <c r="CD143" s="62">
        <f ca="1">AVERAGE(OFFSET($CC$3,0,0,'Données projet'!$E$12+1,1))-AVERAGE(OFFSET($H$3,0,0,'Données projet'!$E$12+1,1))</f>
        <v>496.71400086768705</v>
      </c>
      <c r="CE143" s="62">
        <f t="shared" si="148"/>
        <v>206.75063396134982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6.1378205128205137</v>
      </c>
      <c r="CT143" s="13">
        <f>IF('Données projet'!$A$140&gt;35,CT142+CS143-DB142,IF(A143&lt;'Données projet'!$A$140,$CQ$205^A143,IF(A143='Données projet'!$A$140,'Données projet'!$B$140,CT142+CS143-DB142)))</f>
        <v>327.01282051281993</v>
      </c>
      <c r="CU143" s="18">
        <f>CT143*VLOOKUP('Données projet'!$B$13,Paramètres!$A$1:$I$89,3,0)*VLOOKUP('Données projet'!$B$13,Paramètres!$A$1:$I$89,5,0)</f>
        <v>351.99659999999932</v>
      </c>
      <c r="CV143" s="14">
        <f t="shared" si="149"/>
        <v>81.973495708105247</v>
      </c>
      <c r="CW143" s="22">
        <f t="shared" si="121"/>
        <v>755.83125002494864</v>
      </c>
      <c r="CX143" s="62">
        <f t="shared" si="122"/>
        <v>1049.164583358282</v>
      </c>
      <c r="CY143" s="62">
        <f ca="1">AVERAGE(OFFSET($CX$3,0,0,'Données projet'!$E$13+1,1))-AVERAGE(OFFSET($H$3,0,0,'Données projet'!$E$13+1,1))</f>
        <v>524.55238798353344</v>
      </c>
      <c r="CZ143" s="62">
        <f t="shared" si="150"/>
        <v>216.94512104983255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-2.0395418687257919E-13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260.01925143568263</v>
      </c>
      <c r="T144" s="62">
        <f t="shared" si="142"/>
        <v>269.95358755269427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-2.8421709430404007E-13</v>
      </c>
      <c r="AJ144" s="14">
        <f>AI144*VLOOKUP('Données projet'!$B$10,Paramètres!$A$1:$I$89,3,0)*VLOOKUP('Données projet'!$B$10,Paramètres!$A$1:$I$89,5,0)</f>
        <v>-1.69961822393816E-13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289.24721145176682</v>
      </c>
      <c r="AO144" s="62">
        <f t="shared" si="144"/>
        <v>229.06617320689003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2.6602720026858149E-14</v>
      </c>
      <c r="BF144" s="14">
        <f t="shared" si="145"/>
        <v>4.6624771586320878E-13</v>
      </c>
      <c r="BG144" s="22">
        <f t="shared" si="115"/>
        <v>8.583811758418665E-13</v>
      </c>
      <c r="BH144" s="62">
        <f t="shared" si="116"/>
        <v>293.33333333333417</v>
      </c>
      <c r="BI144" s="62">
        <f ca="1">AVERAGE(OFFSET($BH$3,0,0,'Données projet'!$E$11+1,1))-AVERAGE(OFFSET($H$3,0,0,'Données projet'!$E$11+1,1))</f>
        <v>284.72381074796073</v>
      </c>
      <c r="BJ144" s="62">
        <f t="shared" si="146"/>
        <v>190.4880882944471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6.1378205128205137</v>
      </c>
      <c r="BY144" s="13">
        <f>IF('Données projet'!$A$114&gt;35,BY143+BX144-CG143,IF(A144&lt;'Données projet'!$A$114,$BV$205^A144,IF(A144='Données projet'!$A$114,'Données projet'!$B$114,BY143+BX144-CG143)))</f>
        <v>333.15064102564043</v>
      </c>
      <c r="BZ144" s="14">
        <f>BY144*VLOOKUP('Données projet'!$B$12,Paramètres!$A$1:$I$89,3,0)*VLOOKUP('Données projet'!$B$12,Paramètres!$A$1:$I$89,5,0)</f>
        <v>337.81474999999944</v>
      </c>
      <c r="CA144" s="14">
        <f t="shared" si="147"/>
        <v>79.04829064634194</v>
      </c>
      <c r="CB144" s="22">
        <f t="shared" si="118"/>
        <v>726.0364624590444</v>
      </c>
      <c r="CC144" s="62">
        <f t="shared" si="119"/>
        <v>1019.3697957923778</v>
      </c>
      <c r="CD144" s="62">
        <f ca="1">AVERAGE(OFFSET($CC$3,0,0,'Données projet'!$E$12+1,1))-AVERAGE(OFFSET($H$3,0,0,'Données projet'!$E$12+1,1))</f>
        <v>496.71400086768705</v>
      </c>
      <c r="CE144" s="62">
        <f t="shared" si="148"/>
        <v>206.75063396134982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6.1378205128205137</v>
      </c>
      <c r="CT144" s="13">
        <f>IF('Données projet'!$A$140&gt;35,CT143+CS144-DB143,IF(A144&lt;'Données projet'!$A$140,$CQ$205^A144,IF(A144='Données projet'!$A$140,'Données projet'!$B$140,CT143+CS144-DB143)))</f>
        <v>333.15064102564043</v>
      </c>
      <c r="CU144" s="18">
        <f>CT144*VLOOKUP('Données projet'!$B$13,Paramètres!$A$1:$I$89,3,0)*VLOOKUP('Données projet'!$B$13,Paramètres!$A$1:$I$89,5,0)</f>
        <v>358.6033499999993</v>
      </c>
      <c r="CV144" s="14">
        <f t="shared" si="149"/>
        <v>83.331518878729753</v>
      </c>
      <c r="CW144" s="22">
        <f t="shared" si="121"/>
        <v>769.70322996378638</v>
      </c>
      <c r="CX144" s="62">
        <f t="shared" si="122"/>
        <v>1063.0365632971198</v>
      </c>
      <c r="CY144" s="62">
        <f ca="1">AVERAGE(OFFSET($CX$3,0,0,'Données projet'!$E$13+1,1))-AVERAGE(OFFSET($H$3,0,0,'Données projet'!$E$13+1,1))</f>
        <v>524.55238798353344</v>
      </c>
      <c r="CZ144" s="62">
        <f t="shared" si="150"/>
        <v>216.94512104983255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-2.0395418687257919E-13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260.01925143568263</v>
      </c>
      <c r="T145" s="62">
        <f t="shared" si="142"/>
        <v>269.95358755269427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-2.8421709430404007E-13</v>
      </c>
      <c r="AJ145" s="14">
        <f>AI145*VLOOKUP('Données projet'!$B$10,Paramètres!$A$1:$I$89,3,0)*VLOOKUP('Données projet'!$B$10,Paramètres!$A$1:$I$89,5,0)</f>
        <v>-1.69961822393816E-13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289.24721145176682</v>
      </c>
      <c r="AO145" s="62">
        <f t="shared" si="144"/>
        <v>229.06617320689003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2.6602720026858149E-14</v>
      </c>
      <c r="BF145" s="14">
        <f t="shared" si="145"/>
        <v>4.6624771586320878E-13</v>
      </c>
      <c r="BG145" s="22">
        <f t="shared" si="115"/>
        <v>8.583811758418665E-13</v>
      </c>
      <c r="BH145" s="62">
        <f t="shared" si="116"/>
        <v>293.33333333333417</v>
      </c>
      <c r="BI145" s="62">
        <f ca="1">AVERAGE(OFFSET($BH$3,0,0,'Données projet'!$E$11+1,1))-AVERAGE(OFFSET($H$3,0,0,'Données projet'!$E$11+1,1))</f>
        <v>284.72381074796073</v>
      </c>
      <c r="BJ145" s="62">
        <f t="shared" si="146"/>
        <v>190.4880882944471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6.1378205128205137</v>
      </c>
      <c r="BY145" s="13">
        <f>IF('Données projet'!$A$114&gt;35,BY144+BX145-CG144,IF(A145&lt;'Données projet'!$A$114,$BV$205^A145,IF(A145='Données projet'!$A$114,'Données projet'!$B$114,BY144+BX145-CG144)))</f>
        <v>339.28846153846092</v>
      </c>
      <c r="BZ145" s="14">
        <f>BY145*VLOOKUP('Données projet'!$B$12,Paramètres!$A$1:$I$89,3,0)*VLOOKUP('Données projet'!$B$12,Paramètres!$A$1:$I$89,5,0)</f>
        <v>344.03849999999937</v>
      </c>
      <c r="CA145" s="14">
        <f t="shared" si="147"/>
        <v>80.333751821137426</v>
      </c>
      <c r="CB145" s="22">
        <f t="shared" si="118"/>
        <v>739.11500525514657</v>
      </c>
      <c r="CC145" s="62">
        <f t="shared" si="119"/>
        <v>1032.4483385884798</v>
      </c>
      <c r="CD145" s="62">
        <f ca="1">AVERAGE(OFFSET($CC$3,0,0,'Données projet'!$E$12+1,1))-AVERAGE(OFFSET($H$3,0,0,'Données projet'!$E$12+1,1))</f>
        <v>496.71400086768705</v>
      </c>
      <c r="CE145" s="62">
        <f t="shared" si="148"/>
        <v>206.75063396134982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6.1378205128205137</v>
      </c>
      <c r="CT145" s="13">
        <f>IF('Données projet'!$A$140&gt;35,CT144+CS145-DB144,IF(A145&lt;'Données projet'!$A$140,$CQ$205^A145,IF(A145='Données projet'!$A$140,'Données projet'!$B$140,CT144+CS145-DB144)))</f>
        <v>339.28846153846092</v>
      </c>
      <c r="CU145" s="18">
        <f>CT145*VLOOKUP('Données projet'!$B$13,Paramètres!$A$1:$I$89,3,0)*VLOOKUP('Données projet'!$B$13,Paramètres!$A$1:$I$89,5,0)</f>
        <v>365.21009999999933</v>
      </c>
      <c r="CV145" s="14">
        <f t="shared" si="149"/>
        <v>84.686632712052173</v>
      </c>
      <c r="CW145" s="22">
        <f t="shared" si="121"/>
        <v>783.5701428068229</v>
      </c>
      <c r="CX145" s="62">
        <f t="shared" si="122"/>
        <v>1076.9034761401563</v>
      </c>
      <c r="CY145" s="62">
        <f ca="1">AVERAGE(OFFSET($CX$3,0,0,'Données projet'!$E$13+1,1))-AVERAGE(OFFSET($H$3,0,0,'Données projet'!$E$13+1,1))</f>
        <v>524.55238798353344</v>
      </c>
      <c r="CZ145" s="62">
        <f t="shared" si="150"/>
        <v>216.94512104983255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-2.0395418687257919E-13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260.01925143568263</v>
      </c>
      <c r="T146" s="62">
        <f t="shared" si="142"/>
        <v>269.95358755269427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-2.8421709430404007E-13</v>
      </c>
      <c r="AJ146" s="14">
        <f>AI146*VLOOKUP('Données projet'!$B$10,Paramètres!$A$1:$I$89,3,0)*VLOOKUP('Données projet'!$B$10,Paramètres!$A$1:$I$89,5,0)</f>
        <v>-1.69961822393816E-13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289.24721145176682</v>
      </c>
      <c r="AO146" s="62">
        <f t="shared" si="144"/>
        <v>229.06617320689003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2.6602720026858149E-14</v>
      </c>
      <c r="BF146" s="14">
        <f t="shared" si="145"/>
        <v>4.6624771586320878E-13</v>
      </c>
      <c r="BG146" s="22">
        <f t="shared" si="115"/>
        <v>8.583811758418665E-13</v>
      </c>
      <c r="BH146" s="62">
        <f t="shared" si="116"/>
        <v>293.33333333333417</v>
      </c>
      <c r="BI146" s="62">
        <f ca="1">AVERAGE(OFFSET($BH$3,0,0,'Données projet'!$E$11+1,1))-AVERAGE(OFFSET($H$3,0,0,'Données projet'!$E$11+1,1))</f>
        <v>284.72381074796073</v>
      </c>
      <c r="BJ146" s="62">
        <f t="shared" si="146"/>
        <v>190.4880882944471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6.1378205128205137</v>
      </c>
      <c r="BY146" s="13">
        <f>IF('Données projet'!$A$114&gt;35,BY145+BX146-CG145,IF(A146&lt;'Données projet'!$A$114,$BV$205^A146,IF(A146='Données projet'!$A$114,'Données projet'!$B$114,BY145+BX146-CG145)))</f>
        <v>345.42628205128142</v>
      </c>
      <c r="BZ146" s="14">
        <f>BY146*VLOOKUP('Données projet'!$B$12,Paramètres!$A$1:$I$89,3,0)*VLOOKUP('Données projet'!$B$12,Paramètres!$A$1:$I$89,5,0)</f>
        <v>350.26224999999937</v>
      </c>
      <c r="CA146" s="14">
        <f t="shared" si="147"/>
        <v>81.616508882457211</v>
      </c>
      <c r="CB146" s="22">
        <f t="shared" si="118"/>
        <v>752.18883838694512</v>
      </c>
      <c r="CC146" s="62">
        <f t="shared" si="119"/>
        <v>1045.5221717202785</v>
      </c>
      <c r="CD146" s="62">
        <f ca="1">AVERAGE(OFFSET($CC$3,0,0,'Données projet'!$E$12+1,1))-AVERAGE(OFFSET($H$3,0,0,'Données projet'!$E$12+1,1))</f>
        <v>496.71400086768705</v>
      </c>
      <c r="CE146" s="62">
        <f t="shared" si="148"/>
        <v>206.75063396134982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6.1378205128205137</v>
      </c>
      <c r="CT146" s="13">
        <f>IF('Données projet'!$A$140&gt;35,CT145+CS146-DB145,IF(A146&lt;'Données projet'!$A$140,$CQ$205^A146,IF(A146='Données projet'!$A$140,'Données projet'!$B$140,CT145+CS146-DB145)))</f>
        <v>345.42628205128142</v>
      </c>
      <c r="CU146" s="18">
        <f>CT146*VLOOKUP('Données projet'!$B$13,Paramètres!$A$1:$I$89,3,0)*VLOOKUP('Données projet'!$B$13,Paramètres!$A$1:$I$89,5,0)</f>
        <v>371.81684999999931</v>
      </c>
      <c r="CV146" s="14">
        <f t="shared" si="149"/>
        <v>86.038895909626333</v>
      </c>
      <c r="CW146" s="22">
        <f t="shared" si="121"/>
        <v>797.43209079259793</v>
      </c>
      <c r="CX146" s="62">
        <f t="shared" si="122"/>
        <v>1090.7654241259313</v>
      </c>
      <c r="CY146" s="62">
        <f ca="1">AVERAGE(OFFSET($CX$3,0,0,'Données projet'!$E$13+1,1))-AVERAGE(OFFSET($H$3,0,0,'Données projet'!$E$13+1,1))</f>
        <v>524.55238798353344</v>
      </c>
      <c r="CZ146" s="62">
        <f t="shared" si="150"/>
        <v>216.94512104983255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-2.0395418687257919E-13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260.01925143568263</v>
      </c>
      <c r="T147" s="62">
        <f t="shared" si="142"/>
        <v>269.95358755269427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-2.8421709430404007E-13</v>
      </c>
      <c r="AJ147" s="14">
        <f>AI147*VLOOKUP('Données projet'!$B$10,Paramètres!$A$1:$I$89,3,0)*VLOOKUP('Données projet'!$B$10,Paramètres!$A$1:$I$89,5,0)</f>
        <v>-1.69961822393816E-13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289.24721145176682</v>
      </c>
      <c r="AO147" s="62">
        <f t="shared" si="144"/>
        <v>229.06617320689003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2.6602720026858149E-14</v>
      </c>
      <c r="BF147" s="14">
        <f t="shared" si="145"/>
        <v>4.6624771586320878E-13</v>
      </c>
      <c r="BG147" s="22">
        <f t="shared" si="115"/>
        <v>8.583811758418665E-13</v>
      </c>
      <c r="BH147" s="62">
        <f t="shared" si="116"/>
        <v>293.33333333333417</v>
      </c>
      <c r="BI147" s="62">
        <f ca="1">AVERAGE(OFFSET($BH$3,0,0,'Données projet'!$E$11+1,1))-AVERAGE(OFFSET($H$3,0,0,'Données projet'!$E$11+1,1))</f>
        <v>284.72381074796073</v>
      </c>
      <c r="BJ147" s="62">
        <f t="shared" si="146"/>
        <v>190.4880882944471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>
        <f>VLOOKUP(A147,'Données projet'!$A$113:$I$133,2,0)</f>
        <v>351.5641025641026</v>
      </c>
      <c r="BW147" s="13">
        <f>VLOOKUP(A147,'Données projet'!$A$113:$I$133,9,0)</f>
        <v>6.1378205128205137</v>
      </c>
      <c r="BX147" s="13">
        <f t="array" ref="BX147">INDEX(BW:BW,MIN(IF(ISNUMBER(BW147:BW343),ROW(BW147:BW343),"")))</f>
        <v>6.1378205128205137</v>
      </c>
      <c r="BY147" s="13">
        <f>IF('Données projet'!$A$114&gt;35,BY146+BX147-CG146,IF(A147&lt;'Données projet'!$A$114,$BV$205^A147,IF(A147='Données projet'!$A$114,'Données projet'!$B$114,BY146+BX147-CG146)))</f>
        <v>351.56410256410192</v>
      </c>
      <c r="BZ147" s="14">
        <f>BY147*VLOOKUP('Données projet'!$B$12,Paramètres!$A$1:$I$89,3,0)*VLOOKUP('Données projet'!$B$12,Paramètres!$A$1:$I$89,5,0)</f>
        <v>356.48599999999936</v>
      </c>
      <c r="CA147" s="14">
        <f t="shared" si="147"/>
        <v>82.896615422376811</v>
      </c>
      <c r="CB147" s="22">
        <f t="shared" si="118"/>
        <v>765.2580551939717</v>
      </c>
      <c r="CC147" s="62">
        <f t="shared" si="119"/>
        <v>1058.5913885273051</v>
      </c>
      <c r="CD147" s="62">
        <f ca="1">AVERAGE(OFFSET($CC$3,0,0,'Données projet'!$E$12+1,1))-AVERAGE(OFFSET($H$3,0,0,'Données projet'!$E$12+1,1))</f>
        <v>496.71400086768705</v>
      </c>
      <c r="CE147" s="62">
        <f t="shared" si="148"/>
        <v>206.75063396134982</v>
      </c>
      <c r="CF147" s="16">
        <f>IF(ISNA(VLOOKUP(A147,'Données projet'!$A$113:$I$133,3,0)),0,VLOOKUP(A147,'Données projet'!$A$113:$I$133,3,0))</f>
        <v>12</v>
      </c>
      <c r="CG147" s="16">
        <f>IF(ISNA(VLOOKUP(A147,'Données projet'!$A$113:$I$133,4,0)),0,VLOOKUP(A147,'Données projet'!$A$113:$I$133,4,0))</f>
        <v>42.224358974358978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>
        <f>VLOOKUP(A147,'Données projet'!$A$139:$I$159,2,0)</f>
        <v>351.5641025641026</v>
      </c>
      <c r="CR147" s="13">
        <f>VLOOKUP(A147,'Données projet'!$A$139:$I$159,9,0)</f>
        <v>6.1378205128205137</v>
      </c>
      <c r="CS147" s="13">
        <f t="array" ref="CS147">INDEX(CR:CR,MIN(IF(ISNUMBER(CR147:CR343),ROW(CR147:CR343),"")))</f>
        <v>6.1378205128205137</v>
      </c>
      <c r="CT147" s="13">
        <f>IF('Données projet'!$A$140&gt;35,CT146+CS147-DB146,IF(A147&lt;'Données projet'!$A$140,$CQ$205^A147,IF(A147='Données projet'!$A$140,'Données projet'!$B$140,CT146+CS147-DB146)))</f>
        <v>351.56410256410192</v>
      </c>
      <c r="CU147" s="18">
        <f>CT147*VLOOKUP('Données projet'!$B$13,Paramètres!$A$1:$I$89,3,0)*VLOOKUP('Données projet'!$B$13,Paramètres!$A$1:$I$89,5,0)</f>
        <v>378.42359999999928</v>
      </c>
      <c r="CV147" s="14">
        <f t="shared" si="149"/>
        <v>87.388364967412116</v>
      </c>
      <c r="CW147" s="22">
        <f t="shared" si="121"/>
        <v>811.28917231824153</v>
      </c>
      <c r="CX147" s="62">
        <f t="shared" si="122"/>
        <v>1104.6225056515748</v>
      </c>
      <c r="CY147" s="62">
        <f ca="1">AVERAGE(OFFSET($CX$3,0,0,'Données projet'!$E$13+1,1))-AVERAGE(OFFSET($H$3,0,0,'Données projet'!$E$13+1,1))</f>
        <v>524.55238798353344</v>
      </c>
      <c r="CZ147" s="62">
        <f t="shared" si="150"/>
        <v>216.94512104983255</v>
      </c>
      <c r="DA147" s="16">
        <f>IF(ISNA(VLOOKUP(A147,'Données projet'!$A$139:$I$159,3,0)),0,VLOOKUP(A147,'Données projet'!$A$139:$I$159,3,0))</f>
        <v>12</v>
      </c>
      <c r="DB147" s="16">
        <f>IF(ISNA(VLOOKUP(A147,'Données projet'!$A$139:$I$159,4,0)),0,VLOOKUP(A147,'Données projet'!$A$139:$I$159,4,0))</f>
        <v>42.224358974358978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-2.0395418687257919E-13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260.01925143568263</v>
      </c>
      <c r="T148" s="62">
        <f t="shared" si="142"/>
        <v>269.95358755269427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-2.8421709430404007E-13</v>
      </c>
      <c r="AJ148" s="14">
        <f>AI148*VLOOKUP('Données projet'!$B$10,Paramètres!$A$1:$I$89,3,0)*VLOOKUP('Données projet'!$B$10,Paramètres!$A$1:$I$89,5,0)</f>
        <v>-1.69961822393816E-13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289.24721145176682</v>
      </c>
      <c r="AO148" s="62">
        <f t="shared" si="144"/>
        <v>229.06617320689003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2.6602720026858149E-14</v>
      </c>
      <c r="BF148" s="14">
        <f t="shared" si="145"/>
        <v>4.6624771586320878E-13</v>
      </c>
      <c r="BG148" s="22">
        <f t="shared" si="115"/>
        <v>8.583811758418665E-13</v>
      </c>
      <c r="BH148" s="62">
        <f t="shared" si="116"/>
        <v>293.33333333333417</v>
      </c>
      <c r="BI148" s="62">
        <f ca="1">AVERAGE(OFFSET($BH$3,0,0,'Données projet'!$E$11+1,1))-AVERAGE(OFFSET($H$3,0,0,'Données projet'!$E$11+1,1))</f>
        <v>284.72381074796073</v>
      </c>
      <c r="BJ148" s="62">
        <f t="shared" si="146"/>
        <v>190.4880882944471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6.2499999999999947</v>
      </c>
      <c r="BY148" s="13">
        <f>IF('Données projet'!$A$114&gt;35,BY147+BX148-CG147,IF(A148&lt;'Données projet'!$A$114,$BV$205^A148,IF(A148='Données projet'!$A$114,'Données projet'!$B$114,BY147+BX148-CG147)))</f>
        <v>315.58974358974297</v>
      </c>
      <c r="BZ148" s="14">
        <f>BY148*VLOOKUP('Données projet'!$B$12,Paramètres!$A$1:$I$89,3,0)*VLOOKUP('Données projet'!$B$12,Paramètres!$A$1:$I$89,5,0)</f>
        <v>320.00799999999936</v>
      </c>
      <c r="CA148" s="14">
        <f t="shared" si="147"/>
        <v>75.355018215989517</v>
      </c>
      <c r="CB148" s="22">
        <f t="shared" si="118"/>
        <v>688.59059005951383</v>
      </c>
      <c r="CC148" s="62">
        <f t="shared" si="119"/>
        <v>981.9239233928472</v>
      </c>
      <c r="CD148" s="62">
        <f ca="1">AVERAGE(OFFSET($CC$3,0,0,'Données projet'!$E$12+1,1))-AVERAGE(OFFSET($H$3,0,0,'Données projet'!$E$12+1,1))</f>
        <v>496.71400086768705</v>
      </c>
      <c r="CE148" s="62">
        <f t="shared" si="148"/>
        <v>206.75063396134982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6.2499999999999947</v>
      </c>
      <c r="CT148" s="13">
        <f>IF('Données projet'!$A$140&gt;35,CT147+CS148-DB147,IF(A148&lt;'Données projet'!$A$140,$CQ$205^A148,IF(A148='Données projet'!$A$140,'Données projet'!$B$140,CT147+CS148-DB147)))</f>
        <v>315.58974358974297</v>
      </c>
      <c r="CU148" s="18">
        <f>CT148*VLOOKUP('Données projet'!$B$13,Paramètres!$A$1:$I$89,3,0)*VLOOKUP('Données projet'!$B$13,Paramètres!$A$1:$I$89,5,0)</f>
        <v>339.70079999999928</v>
      </c>
      <c r="CV148" s="14">
        <f t="shared" si="149"/>
        <v>79.438126640419</v>
      </c>
      <c r="CW148" s="22">
        <f t="shared" si="121"/>
        <v>730.00029723206171</v>
      </c>
      <c r="CX148" s="62">
        <f t="shared" si="122"/>
        <v>1023.333630565395</v>
      </c>
      <c r="CY148" s="62">
        <f ca="1">AVERAGE(OFFSET($CX$3,0,0,'Données projet'!$E$13+1,1))-AVERAGE(OFFSET($H$3,0,0,'Données projet'!$E$13+1,1))</f>
        <v>524.55238798353344</v>
      </c>
      <c r="CZ148" s="62">
        <f t="shared" si="150"/>
        <v>216.94512104983255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-2.0395418687257919E-13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260.01925143568263</v>
      </c>
      <c r="T149" s="62">
        <f t="shared" si="142"/>
        <v>269.95358755269427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-2.8421709430404007E-13</v>
      </c>
      <c r="AJ149" s="14">
        <f>AI149*VLOOKUP('Données projet'!$B$10,Paramètres!$A$1:$I$89,3,0)*VLOOKUP('Données projet'!$B$10,Paramètres!$A$1:$I$89,5,0)</f>
        <v>-1.69961822393816E-13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289.24721145176682</v>
      </c>
      <c r="AO149" s="62">
        <f t="shared" si="144"/>
        <v>229.06617320689003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2.6602720026858149E-14</v>
      </c>
      <c r="BF149" s="14">
        <f t="shared" si="145"/>
        <v>4.6624771586320878E-13</v>
      </c>
      <c r="BG149" s="22">
        <f t="shared" si="115"/>
        <v>8.583811758418665E-13</v>
      </c>
      <c r="BH149" s="62">
        <f t="shared" si="116"/>
        <v>293.33333333333417</v>
      </c>
      <c r="BI149" s="62">
        <f ca="1">AVERAGE(OFFSET($BH$3,0,0,'Données projet'!$E$11+1,1))-AVERAGE(OFFSET($H$3,0,0,'Données projet'!$E$11+1,1))</f>
        <v>284.72381074796073</v>
      </c>
      <c r="BJ149" s="62">
        <f t="shared" si="146"/>
        <v>190.4880882944471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6.2499999999999947</v>
      </c>
      <c r="BY149" s="13">
        <f>IF('Données projet'!$A$114&gt;35,BY148+BX149-CG148,IF(A149&lt;'Données projet'!$A$114,$BV$205^A149,IF(A149='Données projet'!$A$114,'Données projet'!$B$114,BY148+BX149-CG148)))</f>
        <v>321.83974358974297</v>
      </c>
      <c r="BZ149" s="14">
        <f>BY149*VLOOKUP('Données projet'!$B$12,Paramètres!$A$1:$I$89,3,0)*VLOOKUP('Données projet'!$B$12,Paramètres!$A$1:$I$89,5,0)</f>
        <v>326.34549999999939</v>
      </c>
      <c r="CA149" s="14">
        <f t="shared" si="147"/>
        <v>76.672145723949598</v>
      </c>
      <c r="CB149" s="22">
        <f t="shared" si="118"/>
        <v>701.92239963587781</v>
      </c>
      <c r="CC149" s="62">
        <f t="shared" si="119"/>
        <v>995.25573296921107</v>
      </c>
      <c r="CD149" s="62">
        <f ca="1">AVERAGE(OFFSET($CC$3,0,0,'Données projet'!$E$12+1,1))-AVERAGE(OFFSET($H$3,0,0,'Données projet'!$E$12+1,1))</f>
        <v>496.71400086768705</v>
      </c>
      <c r="CE149" s="62">
        <f t="shared" si="148"/>
        <v>206.75063396134982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6.2499999999999947</v>
      </c>
      <c r="CT149" s="13">
        <f>IF('Données projet'!$A$140&gt;35,CT148+CS149-DB148,IF(A149&lt;'Données projet'!$A$140,$CQ$205^A149,IF(A149='Données projet'!$A$140,'Données projet'!$B$140,CT148+CS149-DB148)))</f>
        <v>321.83974358974297</v>
      </c>
      <c r="CU149" s="18">
        <f>CT149*VLOOKUP('Données projet'!$B$13,Paramètres!$A$1:$I$89,3,0)*VLOOKUP('Données projet'!$B$13,Paramètres!$A$1:$I$89,5,0)</f>
        <v>346.4282999999993</v>
      </c>
      <c r="CV149" s="14">
        <f t="shared" si="149"/>
        <v>80.826622645807944</v>
      </c>
      <c r="CW149" s="22">
        <f t="shared" si="121"/>
        <v>744.13565694144756</v>
      </c>
      <c r="CX149" s="62">
        <f t="shared" si="122"/>
        <v>1037.4689902747809</v>
      </c>
      <c r="CY149" s="62">
        <f ca="1">AVERAGE(OFFSET($CX$3,0,0,'Données projet'!$E$13+1,1))-AVERAGE(OFFSET($H$3,0,0,'Données projet'!$E$13+1,1))</f>
        <v>524.55238798353344</v>
      </c>
      <c r="CZ149" s="62">
        <f t="shared" si="150"/>
        <v>216.94512104983255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-2.0395418687257919E-13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260.01925143568263</v>
      </c>
      <c r="T150" s="62">
        <f t="shared" si="142"/>
        <v>269.95358755269427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-2.8421709430404007E-13</v>
      </c>
      <c r="AJ150" s="14">
        <f>AI150*VLOOKUP('Données projet'!$B$10,Paramètres!$A$1:$I$89,3,0)*VLOOKUP('Données projet'!$B$10,Paramètres!$A$1:$I$89,5,0)</f>
        <v>-1.69961822393816E-13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289.24721145176682</v>
      </c>
      <c r="AO150" s="62">
        <f t="shared" si="144"/>
        <v>229.06617320689003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2.6602720026858149E-14</v>
      </c>
      <c r="BF150" s="14">
        <f t="shared" si="145"/>
        <v>4.6624771586320878E-13</v>
      </c>
      <c r="BG150" s="22">
        <f t="shared" si="115"/>
        <v>8.583811758418665E-13</v>
      </c>
      <c r="BH150" s="62">
        <f t="shared" si="116"/>
        <v>293.33333333333417</v>
      </c>
      <c r="BI150" s="62">
        <f ca="1">AVERAGE(OFFSET($BH$3,0,0,'Données projet'!$E$11+1,1))-AVERAGE(OFFSET($H$3,0,0,'Données projet'!$E$11+1,1))</f>
        <v>284.72381074796073</v>
      </c>
      <c r="BJ150" s="62">
        <f t="shared" si="146"/>
        <v>190.4880882944471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6.2499999999999947</v>
      </c>
      <c r="BY150" s="13">
        <f>IF('Données projet'!$A$114&gt;35,BY149+BX150-CG149,IF(A150&lt;'Données projet'!$A$114,$BV$205^A150,IF(A150='Données projet'!$A$114,'Données projet'!$B$114,BY149+BX150-CG149)))</f>
        <v>328.08974358974297</v>
      </c>
      <c r="BZ150" s="14">
        <f>BY150*VLOOKUP('Données projet'!$B$12,Paramètres!$A$1:$I$89,3,0)*VLOOKUP('Données projet'!$B$12,Paramètres!$A$1:$I$89,5,0)</f>
        <v>332.68299999999937</v>
      </c>
      <c r="CA150" s="14">
        <f t="shared" si="147"/>
        <v>77.986299106725937</v>
      </c>
      <c r="CB150" s="22">
        <f t="shared" si="118"/>
        <v>715.24902927754647</v>
      </c>
      <c r="CC150" s="62">
        <f t="shared" si="119"/>
        <v>1008.5823626108797</v>
      </c>
      <c r="CD150" s="62">
        <f ca="1">AVERAGE(OFFSET($CC$3,0,0,'Données projet'!$E$12+1,1))-AVERAGE(OFFSET($H$3,0,0,'Données projet'!$E$12+1,1))</f>
        <v>496.71400086768705</v>
      </c>
      <c r="CE150" s="62">
        <f t="shared" si="148"/>
        <v>206.75063396134982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6.2499999999999947</v>
      </c>
      <c r="CT150" s="13">
        <f>IF('Données projet'!$A$140&gt;35,CT149+CS150-DB149,IF(A150&lt;'Données projet'!$A$140,$CQ$205^A150,IF(A150='Données projet'!$A$140,'Données projet'!$B$140,CT149+CS150-DB149)))</f>
        <v>328.08974358974297</v>
      </c>
      <c r="CU150" s="18">
        <f>CT150*VLOOKUP('Données projet'!$B$13,Paramètres!$A$1:$I$89,3,0)*VLOOKUP('Données projet'!$B$13,Paramètres!$A$1:$I$89,5,0)</f>
        <v>353.15579999999932</v>
      </c>
      <c r="CV150" s="14">
        <f t="shared" si="149"/>
        <v>82.211983373167911</v>
      </c>
      <c r="CW150" s="22">
        <f t="shared" si="121"/>
        <v>758.26555604159967</v>
      </c>
      <c r="CX150" s="62">
        <f t="shared" si="122"/>
        <v>1051.5988893749329</v>
      </c>
      <c r="CY150" s="62">
        <f ca="1">AVERAGE(OFFSET($CX$3,0,0,'Données projet'!$E$13+1,1))-AVERAGE(OFFSET($H$3,0,0,'Données projet'!$E$13+1,1))</f>
        <v>524.55238798353344</v>
      </c>
      <c r="CZ150" s="62">
        <f t="shared" si="150"/>
        <v>216.94512104983255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-2.0395418687257919E-13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260.01925143568263</v>
      </c>
      <c r="T151" s="62">
        <f t="shared" si="142"/>
        <v>269.95358755269427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-2.8421709430404007E-13</v>
      </c>
      <c r="AJ151" s="14">
        <f>AI151*VLOOKUP('Données projet'!$B$10,Paramètres!$A$1:$I$89,3,0)*VLOOKUP('Données projet'!$B$10,Paramètres!$A$1:$I$89,5,0)</f>
        <v>-1.69961822393816E-13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289.24721145176682</v>
      </c>
      <c r="AO151" s="62">
        <f t="shared" si="144"/>
        <v>229.06617320689003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2.6602720026858149E-14</v>
      </c>
      <c r="BF151" s="14">
        <f t="shared" si="145"/>
        <v>4.6624771586320878E-13</v>
      </c>
      <c r="BG151" s="22">
        <f t="shared" si="115"/>
        <v>8.583811758418665E-13</v>
      </c>
      <c r="BH151" s="62">
        <f t="shared" si="116"/>
        <v>293.33333333333417</v>
      </c>
      <c r="BI151" s="62">
        <f ca="1">AVERAGE(OFFSET($BH$3,0,0,'Données projet'!$E$11+1,1))-AVERAGE(OFFSET($H$3,0,0,'Données projet'!$E$11+1,1))</f>
        <v>284.72381074796073</v>
      </c>
      <c r="BJ151" s="62">
        <f t="shared" si="146"/>
        <v>190.4880882944471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6.2499999999999947</v>
      </c>
      <c r="BY151" s="13">
        <f>IF('Données projet'!$A$114&gt;35,BY150+BX151-CG150,IF(A151&lt;'Données projet'!$A$114,$BV$205^A151,IF(A151='Données projet'!$A$114,'Données projet'!$B$114,BY150+BX151-CG150)))</f>
        <v>334.33974358974297</v>
      </c>
      <c r="BZ151" s="14">
        <f>BY151*VLOOKUP('Données projet'!$B$12,Paramètres!$A$1:$I$89,3,0)*VLOOKUP('Données projet'!$B$12,Paramètres!$A$1:$I$89,5,0)</f>
        <v>339.0204999999994</v>
      </c>
      <c r="CA151" s="14">
        <f t="shared" si="147"/>
        <v>79.297541552814593</v>
      </c>
      <c r="CB151" s="22">
        <f t="shared" si="118"/>
        <v>728.57058903781763</v>
      </c>
      <c r="CC151" s="62">
        <f t="shared" si="119"/>
        <v>1021.9039223711509</v>
      </c>
      <c r="CD151" s="62">
        <f ca="1">AVERAGE(OFFSET($CC$3,0,0,'Données projet'!$E$12+1,1))-AVERAGE(OFFSET($H$3,0,0,'Données projet'!$E$12+1,1))</f>
        <v>496.71400086768705</v>
      </c>
      <c r="CE151" s="62">
        <f t="shared" si="148"/>
        <v>206.75063396134982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6.2499999999999947</v>
      </c>
      <c r="CT151" s="13">
        <f>IF('Données projet'!$A$140&gt;35,CT150+CS151-DB150,IF(A151&lt;'Données projet'!$A$140,$CQ$205^A151,IF(A151='Données projet'!$A$140,'Données projet'!$B$140,CT150+CS151-DB150)))</f>
        <v>334.33974358974297</v>
      </c>
      <c r="CU151" s="18">
        <f>CT151*VLOOKUP('Données projet'!$B$13,Paramètres!$A$1:$I$89,3,0)*VLOOKUP('Données projet'!$B$13,Paramètres!$A$1:$I$89,5,0)</f>
        <v>359.88329999999928</v>
      </c>
      <c r="CV151" s="14">
        <f t="shared" si="149"/>
        <v>83.594275434860705</v>
      </c>
      <c r="CW151" s="22">
        <f t="shared" si="121"/>
        <v>772.39011054904779</v>
      </c>
      <c r="CX151" s="62">
        <f t="shared" si="122"/>
        <v>1065.7234438823812</v>
      </c>
      <c r="CY151" s="62">
        <f ca="1">AVERAGE(OFFSET($CX$3,0,0,'Données projet'!$E$13+1,1))-AVERAGE(OFFSET($H$3,0,0,'Données projet'!$E$13+1,1))</f>
        <v>524.55238798353344</v>
      </c>
      <c r="CZ151" s="62">
        <f t="shared" si="150"/>
        <v>216.94512104983255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-2.0395418687257919E-13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260.01925143568263</v>
      </c>
      <c r="T152" s="62">
        <f t="shared" si="142"/>
        <v>269.95358755269427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-2.8421709430404007E-13</v>
      </c>
      <c r="AJ152" s="14">
        <f>AI152*VLOOKUP('Données projet'!$B$10,Paramètres!$A$1:$I$89,3,0)*VLOOKUP('Données projet'!$B$10,Paramètres!$A$1:$I$89,5,0)</f>
        <v>-1.69961822393816E-13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289.24721145176682</v>
      </c>
      <c r="AO152" s="62">
        <f t="shared" si="144"/>
        <v>229.06617320689003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2.6602720026858149E-14</v>
      </c>
      <c r="BF152" s="14">
        <f t="shared" si="145"/>
        <v>4.6624771586320878E-13</v>
      </c>
      <c r="BG152" s="22">
        <f t="shared" si="115"/>
        <v>8.583811758418665E-13</v>
      </c>
      <c r="BH152" s="62">
        <f t="shared" si="116"/>
        <v>293.33333333333417</v>
      </c>
      <c r="BI152" s="62">
        <f ca="1">AVERAGE(OFFSET($BH$3,0,0,'Données projet'!$E$11+1,1))-AVERAGE(OFFSET($H$3,0,0,'Données projet'!$E$11+1,1))</f>
        <v>284.72381074796073</v>
      </c>
      <c r="BJ152" s="62">
        <f t="shared" si="146"/>
        <v>190.4880882944471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6.2499999999999947</v>
      </c>
      <c r="BY152" s="13">
        <f>IF('Données projet'!$A$114&gt;35,BY151+BX152-CG151,IF(A152&lt;'Données projet'!$A$114,$BV$205^A152,IF(A152='Données projet'!$A$114,'Données projet'!$B$114,BY151+BX152-CG151)))</f>
        <v>340.58974358974297</v>
      </c>
      <c r="BZ152" s="14">
        <f>BY152*VLOOKUP('Données projet'!$B$12,Paramètres!$A$1:$I$89,3,0)*VLOOKUP('Données projet'!$B$12,Paramètres!$A$1:$I$89,5,0)</f>
        <v>345.35799999999938</v>
      </c>
      <c r="CA152" s="14">
        <f t="shared" si="147"/>
        <v>80.605933753064065</v>
      </c>
      <c r="CB152" s="22">
        <f t="shared" si="118"/>
        <v>741.88718461991868</v>
      </c>
      <c r="CC152" s="62">
        <f t="shared" si="119"/>
        <v>1035.2205179532521</v>
      </c>
      <c r="CD152" s="62">
        <f ca="1">AVERAGE(OFFSET($CC$3,0,0,'Données projet'!$E$12+1,1))-AVERAGE(OFFSET($H$3,0,0,'Données projet'!$E$12+1,1))</f>
        <v>496.71400086768705</v>
      </c>
      <c r="CE152" s="62">
        <f t="shared" si="148"/>
        <v>206.75063396134982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6.2499999999999947</v>
      </c>
      <c r="CT152" s="13">
        <f>IF('Données projet'!$A$140&gt;35,CT151+CS152-DB151,IF(A152&lt;'Données projet'!$A$140,$CQ$205^A152,IF(A152='Données projet'!$A$140,'Données projet'!$B$140,CT151+CS152-DB151)))</f>
        <v>340.58974358974297</v>
      </c>
      <c r="CU152" s="18">
        <f>CT152*VLOOKUP('Données projet'!$B$13,Paramètres!$A$1:$I$89,3,0)*VLOOKUP('Données projet'!$B$13,Paramètres!$A$1:$I$89,5,0)</f>
        <v>366.6107999999993</v>
      </c>
      <c r="CV152" s="14">
        <f t="shared" si="149"/>
        <v>84.97356281026606</v>
      </c>
      <c r="CW152" s="22">
        <f t="shared" si="121"/>
        <v>786.5094318945454</v>
      </c>
      <c r="CX152" s="62">
        <f t="shared" si="122"/>
        <v>1079.8427652278788</v>
      </c>
      <c r="CY152" s="62">
        <f ca="1">AVERAGE(OFFSET($CX$3,0,0,'Données projet'!$E$13+1,1))-AVERAGE(OFFSET($H$3,0,0,'Données projet'!$E$13+1,1))</f>
        <v>524.55238798353344</v>
      </c>
      <c r="CZ152" s="62">
        <f t="shared" si="150"/>
        <v>216.94512104983255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-2.0395418687257919E-13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260.01925143568263</v>
      </c>
      <c r="T153" s="62">
        <f t="shared" si="142"/>
        <v>269.95358755269427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-2.8421709430404007E-13</v>
      </c>
      <c r="AJ153" s="14">
        <f>AI153*VLOOKUP('Données projet'!$B$10,Paramètres!$A$1:$I$89,3,0)*VLOOKUP('Données projet'!$B$10,Paramètres!$A$1:$I$89,5,0)</f>
        <v>-1.69961822393816E-13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289.24721145176682</v>
      </c>
      <c r="AO153" s="62">
        <f t="shared" si="144"/>
        <v>229.06617320689003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2.6602720026858149E-14</v>
      </c>
      <c r="BF153" s="14">
        <f t="shared" si="145"/>
        <v>4.6624771586320878E-13</v>
      </c>
      <c r="BG153" s="22">
        <f t="shared" si="115"/>
        <v>8.583811758418665E-13</v>
      </c>
      <c r="BH153" s="62">
        <f t="shared" si="116"/>
        <v>293.33333333333417</v>
      </c>
      <c r="BI153" s="62">
        <f ca="1">AVERAGE(OFFSET($BH$3,0,0,'Données projet'!$E$11+1,1))-AVERAGE(OFFSET($H$3,0,0,'Données projet'!$E$11+1,1))</f>
        <v>284.72381074796073</v>
      </c>
      <c r="BJ153" s="62">
        <f t="shared" si="146"/>
        <v>190.4880882944471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6.2499999999999947</v>
      </c>
      <c r="BY153" s="13">
        <f>IF('Données projet'!$A$114&gt;35,BY152+BX153-CG152,IF(A153&lt;'Données projet'!$A$114,$BV$205^A153,IF(A153='Données projet'!$A$114,'Données projet'!$B$114,BY152+BX153-CG152)))</f>
        <v>346.83974358974297</v>
      </c>
      <c r="BZ153" s="14">
        <f>BY153*VLOOKUP('Données projet'!$B$12,Paramètres!$A$1:$I$89,3,0)*VLOOKUP('Données projet'!$B$12,Paramètres!$A$1:$I$89,5,0)</f>
        <v>351.69549999999936</v>
      </c>
      <c r="CA153" s="14">
        <f t="shared" si="147"/>
        <v>81.911534043389295</v>
      </c>
      <c r="CB153" s="22">
        <f t="shared" si="118"/>
        <v>755.19891762556847</v>
      </c>
      <c r="CC153" s="62">
        <f t="shared" si="119"/>
        <v>1048.5322509589018</v>
      </c>
      <c r="CD153" s="62">
        <f ca="1">AVERAGE(OFFSET($CC$3,0,0,'Données projet'!$E$12+1,1))-AVERAGE(OFFSET($H$3,0,0,'Données projet'!$E$12+1,1))</f>
        <v>496.71400086768705</v>
      </c>
      <c r="CE153" s="62">
        <f t="shared" si="148"/>
        <v>206.75063396134982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6.2499999999999947</v>
      </c>
      <c r="CT153" s="13">
        <f>IF('Données projet'!$A$140&gt;35,CT152+CS153-DB152,IF(A153&lt;'Données projet'!$A$140,$CQ$205^A153,IF(A153='Données projet'!$A$140,'Données projet'!$B$140,CT152+CS153-DB152)))</f>
        <v>346.83974358974297</v>
      </c>
      <c r="CU153" s="18">
        <f>CT153*VLOOKUP('Données projet'!$B$13,Paramètres!$A$1:$I$89,3,0)*VLOOKUP('Données projet'!$B$13,Paramètres!$A$1:$I$89,5,0)</f>
        <v>373.33829999999932</v>
      </c>
      <c r="CV153" s="14">
        <f t="shared" si="149"/>
        <v>86.349906996227944</v>
      </c>
      <c r="CW153" s="22">
        <f t="shared" si="121"/>
        <v>800.62362718509576</v>
      </c>
      <c r="CX153" s="62">
        <f t="shared" si="122"/>
        <v>1093.956960518429</v>
      </c>
      <c r="CY153" s="62">
        <f ca="1">AVERAGE(OFFSET($CX$3,0,0,'Données projet'!$E$13+1,1))-AVERAGE(OFFSET($H$3,0,0,'Données projet'!$E$13+1,1))</f>
        <v>524.55238798353344</v>
      </c>
      <c r="CZ153" s="62">
        <f t="shared" si="150"/>
        <v>216.94512104983255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-2.0395418687257919E-13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260.01925143568263</v>
      </c>
      <c r="T154" s="62">
        <f t="shared" si="142"/>
        <v>269.95358755269427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-2.8421709430404007E-13</v>
      </c>
      <c r="AJ154" s="14">
        <f>AI154*VLOOKUP('Données projet'!$B$10,Paramètres!$A$1:$I$89,3,0)*VLOOKUP('Données projet'!$B$10,Paramètres!$A$1:$I$89,5,0)</f>
        <v>-1.69961822393816E-13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289.24721145176682</v>
      </c>
      <c r="AO154" s="62">
        <f t="shared" si="144"/>
        <v>229.06617320689003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2.6602720026858149E-14</v>
      </c>
      <c r="BF154" s="14">
        <f t="shared" ref="BF154:BF203" si="167">EXP(-1.0587+0.8836*LN(BE154)+0.284)</f>
        <v>4.6624771586320878E-13</v>
      </c>
      <c r="BG154" s="22">
        <f t="shared" ref="BG154:BG203" si="168">(BE154+BF154)*0.475*44/12</f>
        <v>8.583811758418665E-13</v>
      </c>
      <c r="BH154" s="62">
        <f t="shared" si="116"/>
        <v>293.33333333333417</v>
      </c>
      <c r="BI154" s="62">
        <f ca="1">AVERAGE(OFFSET($BH$3,0,0,'Données projet'!$E$11+1,1))-AVERAGE(OFFSET($H$3,0,0,'Données projet'!$E$11+1,1))</f>
        <v>284.72381074796073</v>
      </c>
      <c r="BJ154" s="62">
        <f t="shared" si="146"/>
        <v>190.4880882944471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6.2499999999999947</v>
      </c>
      <c r="BY154" s="13">
        <f>IF('Données projet'!$A$114&gt;35,BY153+BX154-CG153,IF(A154&lt;'Données projet'!$A$114,$BV$205^A154,IF(A154='Données projet'!$A$114,'Données projet'!$B$114,BY153+BX154-CG153)))</f>
        <v>353.08974358974297</v>
      </c>
      <c r="BZ154" s="14">
        <f>BY154*VLOOKUP('Données projet'!$B$12,Paramètres!$A$1:$I$89,3,0)*VLOOKUP('Données projet'!$B$12,Paramètres!$A$1:$I$89,5,0)</f>
        <v>358.03299999999939</v>
      </c>
      <c r="CA154" s="14">
        <f t="shared" ref="CA154:CA203" si="170">EXP(-1.0587+0.8836*LN(BZ154)+0.284)</f>
        <v>83.214398536907822</v>
      </c>
      <c r="CB154" s="22">
        <f t="shared" ref="CB154:CB203" si="171">(BZ154+CA154)*0.475*44/12</f>
        <v>768.50588578511326</v>
      </c>
      <c r="CC154" s="62">
        <f t="shared" si="119"/>
        <v>1061.8392191184466</v>
      </c>
      <c r="CD154" s="62">
        <f ca="1">AVERAGE(OFFSET($CC$3,0,0,'Données projet'!$E$12+1,1))-AVERAGE(OFFSET($H$3,0,0,'Données projet'!$E$12+1,1))</f>
        <v>496.71400086768705</v>
      </c>
      <c r="CE154" s="62">
        <f t="shared" si="148"/>
        <v>206.75063396134982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6.2499999999999947</v>
      </c>
      <c r="CT154" s="13">
        <f>IF('Données projet'!$A$140&gt;35,CT153+CS154-DB153,IF(A154&lt;'Données projet'!$A$140,$CQ$205^A154,IF(A154='Données projet'!$A$140,'Données projet'!$B$140,CT153+CS154-DB153)))</f>
        <v>353.08974358974297</v>
      </c>
      <c r="CU154" s="18">
        <f>CT154*VLOOKUP('Données projet'!$B$13,Paramètres!$A$1:$I$89,3,0)*VLOOKUP('Données projet'!$B$13,Paramètres!$A$1:$I$89,5,0)</f>
        <v>380.06579999999929</v>
      </c>
      <c r="CV154" s="14">
        <f t="shared" ref="CV154:CV203" si="173">EXP(-1.0587+0.8836*LN(CU154)+0.284)</f>
        <v>87.723367146350526</v>
      </c>
      <c r="CW154" s="22">
        <f t="shared" ref="CW154:CW203" si="174">(CU154+CV154)*0.475*44/12</f>
        <v>814.73279944655917</v>
      </c>
      <c r="CX154" s="62">
        <f t="shared" si="122"/>
        <v>1108.0661327798925</v>
      </c>
      <c r="CY154" s="62">
        <f ca="1">AVERAGE(OFFSET($CX$3,0,0,'Données projet'!$E$13+1,1))-AVERAGE(OFFSET($H$3,0,0,'Données projet'!$E$13+1,1))</f>
        <v>524.55238798353344</v>
      </c>
      <c r="CZ154" s="62">
        <f t="shared" si="150"/>
        <v>216.94512104983255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-2.0395418687257919E-13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260.01925143568263</v>
      </c>
      <c r="T155" s="62">
        <f t="shared" si="142"/>
        <v>269.95358755269427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-2.8421709430404007E-13</v>
      </c>
      <c r="AJ155" s="14">
        <f>AI155*VLOOKUP('Données projet'!$B$10,Paramètres!$A$1:$I$89,3,0)*VLOOKUP('Données projet'!$B$10,Paramètres!$A$1:$I$89,5,0)</f>
        <v>-1.69961822393816E-13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289.24721145176682</v>
      </c>
      <c r="AO155" s="62">
        <f t="shared" si="144"/>
        <v>229.06617320689003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2.6602720026858149E-14</v>
      </c>
      <c r="BF155" s="14">
        <f t="shared" si="167"/>
        <v>4.6624771586320878E-13</v>
      </c>
      <c r="BG155" s="22">
        <f t="shared" si="168"/>
        <v>8.583811758418665E-13</v>
      </c>
      <c r="BH155" s="62">
        <f t="shared" si="116"/>
        <v>293.33333333333417</v>
      </c>
      <c r="BI155" s="62">
        <f ca="1">AVERAGE(OFFSET($BH$3,0,0,'Données projet'!$E$11+1,1))-AVERAGE(OFFSET($H$3,0,0,'Données projet'!$E$11+1,1))</f>
        <v>284.72381074796073</v>
      </c>
      <c r="BJ155" s="62">
        <f t="shared" si="146"/>
        <v>190.4880882944471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6.2499999999999947</v>
      </c>
      <c r="BY155" s="13">
        <f>IF('Données projet'!$A$114&gt;35,BY154+BX155-CG154,IF(A155&lt;'Données projet'!$A$114,$BV$205^A155,IF(A155='Données projet'!$A$114,'Données projet'!$B$114,BY154+BX155-CG154)))</f>
        <v>359.33974358974297</v>
      </c>
      <c r="BZ155" s="14">
        <f>BY155*VLOOKUP('Données projet'!$B$12,Paramètres!$A$1:$I$89,3,0)*VLOOKUP('Données projet'!$B$12,Paramètres!$A$1:$I$89,5,0)</f>
        <v>364.37049999999937</v>
      </c>
      <c r="CA155" s="14">
        <f t="shared" si="170"/>
        <v>84.514581246454938</v>
      </c>
      <c r="CB155" s="22">
        <f t="shared" si="171"/>
        <v>781.80818317090791</v>
      </c>
      <c r="CC155" s="62">
        <f t="shared" si="119"/>
        <v>1075.1415165042413</v>
      </c>
      <c r="CD155" s="62">
        <f ca="1">AVERAGE(OFFSET($CC$3,0,0,'Données projet'!$E$12+1,1))-AVERAGE(OFFSET($H$3,0,0,'Données projet'!$E$12+1,1))</f>
        <v>496.71400086768705</v>
      </c>
      <c r="CE155" s="62">
        <f t="shared" si="148"/>
        <v>206.75063396134982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6.2499999999999947</v>
      </c>
      <c r="CT155" s="13">
        <f>IF('Données projet'!$A$140&gt;35,CT154+CS155-DB154,IF(A155&lt;'Données projet'!$A$140,$CQ$205^A155,IF(A155='Données projet'!$A$140,'Données projet'!$B$140,CT154+CS155-DB154)))</f>
        <v>359.33974358974297</v>
      </c>
      <c r="CU155" s="18">
        <f>CT155*VLOOKUP('Données projet'!$B$13,Paramètres!$A$1:$I$89,3,0)*VLOOKUP('Données projet'!$B$13,Paramètres!$A$1:$I$89,5,0)</f>
        <v>386.79329999999931</v>
      </c>
      <c r="CV155" s="14">
        <f t="shared" si="173"/>
        <v>89.094000200152536</v>
      </c>
      <c r="CW155" s="22">
        <f t="shared" si="174"/>
        <v>828.83704784859776</v>
      </c>
      <c r="CX155" s="62">
        <f t="shared" si="122"/>
        <v>1122.1703811819311</v>
      </c>
      <c r="CY155" s="62">
        <f ca="1">AVERAGE(OFFSET($CX$3,0,0,'Données projet'!$E$13+1,1))-AVERAGE(OFFSET($H$3,0,0,'Données projet'!$E$13+1,1))</f>
        <v>524.55238798353344</v>
      </c>
      <c r="CZ155" s="62">
        <f t="shared" si="150"/>
        <v>216.94512104983255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-2.0395418687257919E-13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260.01925143568263</v>
      </c>
      <c r="T156" s="62">
        <f t="shared" si="142"/>
        <v>269.95358755269427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-2.8421709430404007E-13</v>
      </c>
      <c r="AJ156" s="14">
        <f>AI156*VLOOKUP('Données projet'!$B$10,Paramètres!$A$1:$I$89,3,0)*VLOOKUP('Données projet'!$B$10,Paramètres!$A$1:$I$89,5,0)</f>
        <v>-1.69961822393816E-13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289.24721145176682</v>
      </c>
      <c r="AO156" s="62">
        <f t="shared" si="144"/>
        <v>229.06617320689003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2.6602720026858149E-14</v>
      </c>
      <c r="BF156" s="14">
        <f t="shared" si="167"/>
        <v>4.6624771586320878E-13</v>
      </c>
      <c r="BG156" s="22">
        <f t="shared" si="168"/>
        <v>8.583811758418665E-13</v>
      </c>
      <c r="BH156" s="62">
        <f t="shared" si="116"/>
        <v>293.33333333333417</v>
      </c>
      <c r="BI156" s="62">
        <f ca="1">AVERAGE(OFFSET($BH$3,0,0,'Données projet'!$E$11+1,1))-AVERAGE(OFFSET($H$3,0,0,'Données projet'!$E$11+1,1))</f>
        <v>284.72381074796073</v>
      </c>
      <c r="BJ156" s="62">
        <f t="shared" si="146"/>
        <v>190.4880882944471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6.2499999999999947</v>
      </c>
      <c r="BY156" s="13">
        <f>IF('Données projet'!$A$114&gt;35,BY155+BX156-CG155,IF(A156&lt;'Données projet'!$A$114,$BV$205^A156,IF(A156='Données projet'!$A$114,'Données projet'!$B$114,BY155+BX156-CG155)))</f>
        <v>365.58974358974297</v>
      </c>
      <c r="BZ156" s="14">
        <f>BY156*VLOOKUP('Données projet'!$B$12,Paramètres!$A$1:$I$89,3,0)*VLOOKUP('Données projet'!$B$12,Paramètres!$A$1:$I$89,5,0)</f>
        <v>370.7079999999994</v>
      </c>
      <c r="CA156" s="14">
        <f t="shared" si="170"/>
        <v>85.812134198334618</v>
      </c>
      <c r="CB156" s="22">
        <f t="shared" si="171"/>
        <v>795.1059003954316</v>
      </c>
      <c r="CC156" s="62">
        <f t="shared" si="119"/>
        <v>1088.439233728765</v>
      </c>
      <c r="CD156" s="62">
        <f ca="1">AVERAGE(OFFSET($CC$3,0,0,'Données projet'!$E$12+1,1))-AVERAGE(OFFSET($H$3,0,0,'Données projet'!$E$12+1,1))</f>
        <v>496.71400086768705</v>
      </c>
      <c r="CE156" s="62">
        <f t="shared" si="148"/>
        <v>206.75063396134982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6.2499999999999947</v>
      </c>
      <c r="CT156" s="13">
        <f>IF('Données projet'!$A$140&gt;35,CT155+CS156-DB155,IF(A156&lt;'Données projet'!$A$140,$CQ$205^A156,IF(A156='Données projet'!$A$140,'Données projet'!$B$140,CT155+CS156-DB155)))</f>
        <v>365.58974358974297</v>
      </c>
      <c r="CU156" s="18">
        <f>CT156*VLOOKUP('Données projet'!$B$13,Paramètres!$A$1:$I$89,3,0)*VLOOKUP('Données projet'!$B$13,Paramètres!$A$1:$I$89,5,0)</f>
        <v>393.52079999999927</v>
      </c>
      <c r="CV156" s="14">
        <f t="shared" si="173"/>
        <v>90.461861002980868</v>
      </c>
      <c r="CW156" s="22">
        <f t="shared" si="174"/>
        <v>842.93646791352364</v>
      </c>
      <c r="CX156" s="62">
        <f t="shared" si="122"/>
        <v>1136.269801246857</v>
      </c>
      <c r="CY156" s="62">
        <f ca="1">AVERAGE(OFFSET($CX$3,0,0,'Données projet'!$E$13+1,1))-AVERAGE(OFFSET($H$3,0,0,'Données projet'!$E$13+1,1))</f>
        <v>524.55238798353344</v>
      </c>
      <c r="CZ156" s="62">
        <f t="shared" si="150"/>
        <v>216.94512104983255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-2.0395418687257919E-13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260.01925143568263</v>
      </c>
      <c r="T157" s="62">
        <f t="shared" si="142"/>
        <v>269.95358755269427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-2.8421709430404007E-13</v>
      </c>
      <c r="AJ157" s="14">
        <f>AI157*VLOOKUP('Données projet'!$B$10,Paramètres!$A$1:$I$89,3,0)*VLOOKUP('Données projet'!$B$10,Paramètres!$A$1:$I$89,5,0)</f>
        <v>-1.69961822393816E-13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289.24721145176682</v>
      </c>
      <c r="AO157" s="62">
        <f t="shared" si="144"/>
        <v>229.06617320689003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2.6602720026858149E-14</v>
      </c>
      <c r="BF157" s="14">
        <f t="shared" si="167"/>
        <v>4.6624771586320878E-13</v>
      </c>
      <c r="BG157" s="22">
        <f t="shared" si="168"/>
        <v>8.583811758418665E-13</v>
      </c>
      <c r="BH157" s="62">
        <f t="shared" si="116"/>
        <v>293.33333333333417</v>
      </c>
      <c r="BI157" s="62">
        <f ca="1">AVERAGE(OFFSET($BH$3,0,0,'Données projet'!$E$11+1,1))-AVERAGE(OFFSET($H$3,0,0,'Données projet'!$E$11+1,1))</f>
        <v>284.72381074796073</v>
      </c>
      <c r="BJ157" s="62">
        <f t="shared" si="146"/>
        <v>190.4880882944471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>
        <f>VLOOKUP(A157,'Données projet'!$A$113:$I$133,2,0)</f>
        <v>371.83974358974359</v>
      </c>
      <c r="BW157" s="13">
        <f>VLOOKUP(A157,'Données projet'!$A$113:$I$133,9,0)</f>
        <v>6.2499999999999947</v>
      </c>
      <c r="BX157" s="13">
        <f t="array" ref="BX157">INDEX(BW:BW,MIN(IF(ISNUMBER(BW157:BW353),ROW(BW157:BW353),"")))</f>
        <v>6.2499999999999947</v>
      </c>
      <c r="BY157" s="13">
        <f>IF('Données projet'!$A$114&gt;35,BY156+BX157-CG156,IF(A157&lt;'Données projet'!$A$114,$BV$205^A157,IF(A157='Données projet'!$A$114,'Données projet'!$B$114,BY156+BX157-CG156)))</f>
        <v>371.83974358974297</v>
      </c>
      <c r="BZ157" s="14">
        <f>BY157*VLOOKUP('Données projet'!$B$12,Paramètres!$A$1:$I$89,3,0)*VLOOKUP('Données projet'!$B$12,Paramètres!$A$1:$I$89,5,0)</f>
        <v>377.04549999999938</v>
      </c>
      <c r="CA157" s="14">
        <f t="shared" si="170"/>
        <v>87.107107538070849</v>
      </c>
      <c r="CB157" s="22">
        <f t="shared" si="171"/>
        <v>808.39912479547229</v>
      </c>
      <c r="CC157" s="62">
        <f t="shared" si="119"/>
        <v>1101.7324581288055</v>
      </c>
      <c r="CD157" s="62">
        <f ca="1">AVERAGE(OFFSET($CC$3,0,0,'Données projet'!$E$12+1,1))-AVERAGE(OFFSET($H$3,0,0,'Données projet'!$E$12+1,1))</f>
        <v>496.71400086768705</v>
      </c>
      <c r="CE157" s="62">
        <f t="shared" si="148"/>
        <v>206.75063396134982</v>
      </c>
      <c r="CF157" s="16">
        <f>IF(ISNA(VLOOKUP(A157,'Données projet'!$A$113:$I$133,3,0)),0,VLOOKUP(A157,'Données projet'!$A$113:$I$133,3,0))</f>
        <v>13</v>
      </c>
      <c r="CG157" s="16">
        <f>IF(ISNA(VLOOKUP(A157,'Données projet'!$A$113:$I$133,4,0)),0,VLOOKUP(A157,'Données projet'!$A$113:$I$133,4,0))</f>
        <v>41.564102564102562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>
        <f>VLOOKUP(A157,'Données projet'!$A$139:$I$159,2,0)</f>
        <v>371.83974358974359</v>
      </c>
      <c r="CR157" s="13">
        <f>VLOOKUP(A157,'Données projet'!$A$139:$I$159,9,0)</f>
        <v>6.2499999999999947</v>
      </c>
      <c r="CS157" s="13">
        <f t="array" ref="CS157">INDEX(CR:CR,MIN(IF(ISNUMBER(CR157:CR353),ROW(CR157:CR353),"")))</f>
        <v>6.2499999999999947</v>
      </c>
      <c r="CT157" s="13">
        <f>IF('Données projet'!$A$140&gt;35,CT156+CS157-DB156,IF(A157&lt;'Données projet'!$A$140,$CQ$205^A157,IF(A157='Données projet'!$A$140,'Données projet'!$B$140,CT156+CS157-DB156)))</f>
        <v>371.83974358974297</v>
      </c>
      <c r="CU157" s="18">
        <f>CT157*VLOOKUP('Données projet'!$B$13,Paramètres!$A$1:$I$89,3,0)*VLOOKUP('Données projet'!$B$13,Paramètres!$A$1:$I$89,5,0)</f>
        <v>400.24829999999935</v>
      </c>
      <c r="CV157" s="14">
        <f t="shared" si="173"/>
        <v>91.827002417492693</v>
      </c>
      <c r="CW157" s="22">
        <f t="shared" si="174"/>
        <v>857.03115171046522</v>
      </c>
      <c r="CX157" s="62">
        <f t="shared" si="122"/>
        <v>1150.3644850437986</v>
      </c>
      <c r="CY157" s="62">
        <f ca="1">AVERAGE(OFFSET($CX$3,0,0,'Données projet'!$E$13+1,1))-AVERAGE(OFFSET($H$3,0,0,'Données projet'!$E$13+1,1))</f>
        <v>524.55238798353344</v>
      </c>
      <c r="CZ157" s="62">
        <f t="shared" si="150"/>
        <v>216.94512104983255</v>
      </c>
      <c r="DA157" s="16">
        <f>IF(ISNA(VLOOKUP(A157,'Données projet'!$A$139:$I$159,3,0)),0,VLOOKUP(A157,'Données projet'!$A$139:$I$159,3,0))</f>
        <v>13</v>
      </c>
      <c r="DB157" s="16">
        <f>IF(ISNA(VLOOKUP(A157,'Données projet'!$A$139:$I$159,4,0)),0,VLOOKUP(A157,'Données projet'!$A$139:$I$159,4,0))</f>
        <v>41.564102564102562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-2.0395418687257919E-13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260.01925143568263</v>
      </c>
      <c r="T158" s="62">
        <f t="shared" si="142"/>
        <v>269.95358755269427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-2.8421709430404007E-13</v>
      </c>
      <c r="AJ158" s="14">
        <f>AI158*VLOOKUP('Données projet'!$B$10,Paramètres!$A$1:$I$89,3,0)*VLOOKUP('Données projet'!$B$10,Paramètres!$A$1:$I$89,5,0)</f>
        <v>-1.69961822393816E-13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289.24721145176682</v>
      </c>
      <c r="AO158" s="62">
        <f t="shared" si="144"/>
        <v>229.06617320689003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2.6602720026858149E-14</v>
      </c>
      <c r="BF158" s="14">
        <f t="shared" si="167"/>
        <v>4.6624771586320878E-13</v>
      </c>
      <c r="BG158" s="22">
        <f t="shared" si="168"/>
        <v>8.583811758418665E-13</v>
      </c>
      <c r="BH158" s="62">
        <f t="shared" si="116"/>
        <v>293.33333333333417</v>
      </c>
      <c r="BI158" s="62">
        <f ca="1">AVERAGE(OFFSET($BH$3,0,0,'Données projet'!$E$11+1,1))-AVERAGE(OFFSET($H$3,0,0,'Données projet'!$E$11+1,1))</f>
        <v>284.72381074796073</v>
      </c>
      <c r="BJ158" s="62">
        <f t="shared" si="146"/>
        <v>190.4880882944471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6.3410256410256354</v>
      </c>
      <c r="BY158" s="13">
        <f>IF('Données projet'!$A$114&gt;35,BY157+BX158-CG157,IF(A158&lt;'Données projet'!$A$114,$BV$205^A158,IF(A158='Données projet'!$A$114,'Données projet'!$B$114,BY157+BX158-CG157)))</f>
        <v>336.61666666666605</v>
      </c>
      <c r="BZ158" s="14">
        <f>BY158*VLOOKUP('Données projet'!$B$12,Paramètres!$A$1:$I$89,3,0)*VLOOKUP('Données projet'!$B$12,Paramètres!$A$1:$I$89,5,0)</f>
        <v>341.32929999999942</v>
      </c>
      <c r="CA158" s="14">
        <f t="shared" si="170"/>
        <v>79.774525815456769</v>
      </c>
      <c r="CB158" s="22">
        <f t="shared" si="171"/>
        <v>733.42249662858615</v>
      </c>
      <c r="CC158" s="62">
        <f t="shared" si="119"/>
        <v>1026.7558299619195</v>
      </c>
      <c r="CD158" s="62">
        <f ca="1">AVERAGE(OFFSET($CC$3,0,0,'Données projet'!$E$12+1,1))-AVERAGE(OFFSET($H$3,0,0,'Données projet'!$E$12+1,1))</f>
        <v>496.71400086768705</v>
      </c>
      <c r="CE158" s="62">
        <f t="shared" si="148"/>
        <v>206.75063396134982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6.3410256410256354</v>
      </c>
      <c r="CT158" s="13">
        <f>IF('Données projet'!$A$140&gt;35,CT157+CS158-DB157,IF(A158&lt;'Données projet'!$A$140,$CQ$205^A158,IF(A158='Données projet'!$A$140,'Données projet'!$B$140,CT157+CS158-DB157)))</f>
        <v>336.61666666666605</v>
      </c>
      <c r="CU158" s="18">
        <f>CT158*VLOOKUP('Données projet'!$B$13,Paramètres!$A$1:$I$89,3,0)*VLOOKUP('Données projet'!$B$13,Paramètres!$A$1:$I$89,5,0)</f>
        <v>362.33417999999932</v>
      </c>
      <c r="CV158" s="14">
        <f t="shared" si="173"/>
        <v>84.097105069280744</v>
      </c>
      <c r="CW158" s="22">
        <f t="shared" si="174"/>
        <v>777.53448816232947</v>
      </c>
      <c r="CX158" s="62">
        <f t="shared" si="122"/>
        <v>1070.8678214956628</v>
      </c>
      <c r="CY158" s="62">
        <f ca="1">AVERAGE(OFFSET($CX$3,0,0,'Données projet'!$E$13+1,1))-AVERAGE(OFFSET($H$3,0,0,'Données projet'!$E$13+1,1))</f>
        <v>524.55238798353344</v>
      </c>
      <c r="CZ158" s="62">
        <f t="shared" si="150"/>
        <v>216.94512104983255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-2.0395418687257919E-13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260.01925143568263</v>
      </c>
      <c r="T159" s="62">
        <f t="shared" si="142"/>
        <v>269.95358755269427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-2.8421709430404007E-13</v>
      </c>
      <c r="AJ159" s="14">
        <f>AI159*VLOOKUP('Données projet'!$B$10,Paramètres!$A$1:$I$89,3,0)*VLOOKUP('Données projet'!$B$10,Paramètres!$A$1:$I$89,5,0)</f>
        <v>-1.69961822393816E-13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289.24721145176682</v>
      </c>
      <c r="AO159" s="62">
        <f t="shared" si="144"/>
        <v>229.06617320689003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2.6602720026858149E-14</v>
      </c>
      <c r="BF159" s="14">
        <f t="shared" si="167"/>
        <v>4.6624771586320878E-13</v>
      </c>
      <c r="BG159" s="22">
        <f t="shared" si="168"/>
        <v>8.583811758418665E-13</v>
      </c>
      <c r="BH159" s="62">
        <f t="shared" si="116"/>
        <v>293.33333333333417</v>
      </c>
      <c r="BI159" s="62">
        <f ca="1">AVERAGE(OFFSET($BH$3,0,0,'Données projet'!$E$11+1,1))-AVERAGE(OFFSET($H$3,0,0,'Données projet'!$E$11+1,1))</f>
        <v>284.72381074796073</v>
      </c>
      <c r="BJ159" s="62">
        <f t="shared" si="146"/>
        <v>190.4880882944471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6.3410256410256354</v>
      </c>
      <c r="BY159" s="13">
        <f>IF('Données projet'!$A$114&gt;35,BY158+BX159-CG158,IF(A159&lt;'Données projet'!$A$114,$BV$205^A159,IF(A159='Données projet'!$A$114,'Données projet'!$B$114,BY158+BX159-CG158)))</f>
        <v>342.95769230769167</v>
      </c>
      <c r="BZ159" s="14">
        <f>BY159*VLOOKUP('Données projet'!$B$12,Paramètres!$A$1:$I$89,3,0)*VLOOKUP('Données projet'!$B$12,Paramètres!$A$1:$I$89,5,0)</f>
        <v>347.75909999999936</v>
      </c>
      <c r="CA159" s="14">
        <f t="shared" si="170"/>
        <v>81.10091430361156</v>
      </c>
      <c r="CB159" s="22">
        <f t="shared" si="171"/>
        <v>746.93119157878891</v>
      </c>
      <c r="CC159" s="62">
        <f t="shared" si="119"/>
        <v>1040.2645249121222</v>
      </c>
      <c r="CD159" s="62">
        <f ca="1">AVERAGE(OFFSET($CC$3,0,0,'Données projet'!$E$12+1,1))-AVERAGE(OFFSET($H$3,0,0,'Données projet'!$E$12+1,1))</f>
        <v>496.71400086768705</v>
      </c>
      <c r="CE159" s="62">
        <f t="shared" si="148"/>
        <v>206.75063396134982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6.3410256410256354</v>
      </c>
      <c r="CT159" s="13">
        <f>IF('Données projet'!$A$140&gt;35,CT158+CS159-DB158,IF(A159&lt;'Données projet'!$A$140,$CQ$205^A159,IF(A159='Données projet'!$A$140,'Données projet'!$B$140,CT158+CS159-DB158)))</f>
        <v>342.95769230769167</v>
      </c>
      <c r="CU159" s="18">
        <f>CT159*VLOOKUP('Données projet'!$B$13,Paramètres!$A$1:$I$89,3,0)*VLOOKUP('Données projet'!$B$13,Paramètres!$A$1:$I$89,5,0)</f>
        <v>369.15965999999935</v>
      </c>
      <c r="CV159" s="14">
        <f t="shared" si="173"/>
        <v>85.495363860678282</v>
      </c>
      <c r="CW159" s="22">
        <f t="shared" si="174"/>
        <v>791.85749989068017</v>
      </c>
      <c r="CX159" s="62">
        <f t="shared" si="122"/>
        <v>1085.1908332240134</v>
      </c>
      <c r="CY159" s="62">
        <f ca="1">AVERAGE(OFFSET($CX$3,0,0,'Données projet'!$E$13+1,1))-AVERAGE(OFFSET($H$3,0,0,'Données projet'!$E$13+1,1))</f>
        <v>524.55238798353344</v>
      </c>
      <c r="CZ159" s="62">
        <f t="shared" si="150"/>
        <v>216.94512104983255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-2.0395418687257919E-13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260.01925143568263</v>
      </c>
      <c r="T160" s="62">
        <f t="shared" si="142"/>
        <v>269.95358755269427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-2.8421709430404007E-13</v>
      </c>
      <c r="AJ160" s="14">
        <f>AI160*VLOOKUP('Données projet'!$B$10,Paramètres!$A$1:$I$89,3,0)*VLOOKUP('Données projet'!$B$10,Paramètres!$A$1:$I$89,5,0)</f>
        <v>-1.69961822393816E-13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289.24721145176682</v>
      </c>
      <c r="AO160" s="62">
        <f t="shared" si="144"/>
        <v>229.06617320689003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2.6602720026858149E-14</v>
      </c>
      <c r="BF160" s="14">
        <f t="shared" si="167"/>
        <v>4.6624771586320878E-13</v>
      </c>
      <c r="BG160" s="22">
        <f t="shared" si="168"/>
        <v>8.583811758418665E-13</v>
      </c>
      <c r="BH160" s="62">
        <f t="shared" si="116"/>
        <v>293.33333333333417</v>
      </c>
      <c r="BI160" s="62">
        <f ca="1">AVERAGE(OFFSET($BH$3,0,0,'Données projet'!$E$11+1,1))-AVERAGE(OFFSET($H$3,0,0,'Données projet'!$E$11+1,1))</f>
        <v>284.72381074796073</v>
      </c>
      <c r="BJ160" s="62">
        <f t="shared" si="146"/>
        <v>190.4880882944471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6.3410256410256354</v>
      </c>
      <c r="BY160" s="13">
        <f>IF('Données projet'!$A$114&gt;35,BY159+BX160-CG159,IF(A160&lt;'Données projet'!$A$114,$BV$205^A160,IF(A160='Données projet'!$A$114,'Données projet'!$B$114,BY159+BX160-CG159)))</f>
        <v>349.2987179487173</v>
      </c>
      <c r="BZ160" s="14">
        <f>BY160*VLOOKUP('Données projet'!$B$12,Paramètres!$A$1:$I$89,3,0)*VLOOKUP('Données projet'!$B$12,Paramètres!$A$1:$I$89,5,0)</f>
        <v>354.18889999999936</v>
      </c>
      <c r="CA160" s="14">
        <f t="shared" si="170"/>
        <v>82.42445110647671</v>
      </c>
      <c r="CB160" s="22">
        <f t="shared" si="171"/>
        <v>760.43491984377908</v>
      </c>
      <c r="CC160" s="62">
        <f t="shared" si="119"/>
        <v>1053.7682531771125</v>
      </c>
      <c r="CD160" s="62">
        <f ca="1">AVERAGE(OFFSET($CC$3,0,0,'Données projet'!$E$12+1,1))-AVERAGE(OFFSET($H$3,0,0,'Données projet'!$E$12+1,1))</f>
        <v>496.71400086768705</v>
      </c>
      <c r="CE160" s="62">
        <f t="shared" si="148"/>
        <v>206.75063396134982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6.3410256410256354</v>
      </c>
      <c r="CT160" s="13">
        <f>IF('Données projet'!$A$140&gt;35,CT159+CS160-DB159,IF(A160&lt;'Données projet'!$A$140,$CQ$205^A160,IF(A160='Données projet'!$A$140,'Données projet'!$B$140,CT159+CS160-DB159)))</f>
        <v>349.2987179487173</v>
      </c>
      <c r="CU160" s="18">
        <f>CT160*VLOOKUP('Données projet'!$B$13,Paramètres!$A$1:$I$89,3,0)*VLOOKUP('Données projet'!$B$13,Paramètres!$A$1:$I$89,5,0)</f>
        <v>375.98513999999926</v>
      </c>
      <c r="CV160" s="14">
        <f t="shared" si="173"/>
        <v>86.890616448341348</v>
      </c>
      <c r="CW160" s="22">
        <f t="shared" si="174"/>
        <v>806.17527581419324</v>
      </c>
      <c r="CX160" s="62">
        <f t="shared" si="122"/>
        <v>1099.5086091475266</v>
      </c>
      <c r="CY160" s="62">
        <f ca="1">AVERAGE(OFFSET($CX$3,0,0,'Données projet'!$E$13+1,1))-AVERAGE(OFFSET($H$3,0,0,'Données projet'!$E$13+1,1))</f>
        <v>524.55238798353344</v>
      </c>
      <c r="CZ160" s="62">
        <f t="shared" si="150"/>
        <v>216.94512104983255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-2.0395418687257919E-13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260.01925143568263</v>
      </c>
      <c r="T161" s="62">
        <f t="shared" si="142"/>
        <v>269.95358755269427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-2.8421709430404007E-13</v>
      </c>
      <c r="AJ161" s="14">
        <f>AI161*VLOOKUP('Données projet'!$B$10,Paramètres!$A$1:$I$89,3,0)*VLOOKUP('Données projet'!$B$10,Paramètres!$A$1:$I$89,5,0)</f>
        <v>-1.69961822393816E-13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289.24721145176682</v>
      </c>
      <c r="AO161" s="62">
        <f t="shared" si="144"/>
        <v>229.06617320689003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2.6602720026858149E-14</v>
      </c>
      <c r="BF161" s="14">
        <f t="shared" si="167"/>
        <v>4.6624771586320878E-13</v>
      </c>
      <c r="BG161" s="22">
        <f t="shared" si="168"/>
        <v>8.583811758418665E-13</v>
      </c>
      <c r="BH161" s="62">
        <f t="shared" si="116"/>
        <v>293.33333333333417</v>
      </c>
      <c r="BI161" s="62">
        <f ca="1">AVERAGE(OFFSET($BH$3,0,0,'Données projet'!$E$11+1,1))-AVERAGE(OFFSET($H$3,0,0,'Données projet'!$E$11+1,1))</f>
        <v>284.72381074796073</v>
      </c>
      <c r="BJ161" s="62">
        <f t="shared" si="146"/>
        <v>190.4880882944471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6.3410256410256354</v>
      </c>
      <c r="BY161" s="13">
        <f>IF('Données projet'!$A$114&gt;35,BY160+BX161-CG160,IF(A161&lt;'Données projet'!$A$114,$BV$205^A161,IF(A161='Données projet'!$A$114,'Données projet'!$B$114,BY160+BX161-CG160)))</f>
        <v>355.63974358974292</v>
      </c>
      <c r="BZ161" s="14">
        <f>BY161*VLOOKUP('Données projet'!$B$12,Paramètres!$A$1:$I$89,3,0)*VLOOKUP('Données projet'!$B$12,Paramètres!$A$1:$I$89,5,0)</f>
        <v>360.61869999999931</v>
      </c>
      <c r="CA161" s="14">
        <f t="shared" si="170"/>
        <v>83.745193963586459</v>
      </c>
      <c r="CB161" s="22">
        <f t="shared" si="171"/>
        <v>773.93378198657854</v>
      </c>
      <c r="CC161" s="62">
        <f t="shared" si="119"/>
        <v>1067.2671153199119</v>
      </c>
      <c r="CD161" s="62">
        <f ca="1">AVERAGE(OFFSET($CC$3,0,0,'Données projet'!$E$12+1,1))-AVERAGE(OFFSET($H$3,0,0,'Données projet'!$E$12+1,1))</f>
        <v>496.71400086768705</v>
      </c>
      <c r="CE161" s="62">
        <f t="shared" si="148"/>
        <v>206.75063396134982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6.3410256410256354</v>
      </c>
      <c r="CT161" s="13">
        <f>IF('Données projet'!$A$140&gt;35,CT160+CS161-DB160,IF(A161&lt;'Données projet'!$A$140,$CQ$205^A161,IF(A161='Données projet'!$A$140,'Données projet'!$B$140,CT160+CS161-DB160)))</f>
        <v>355.63974358974292</v>
      </c>
      <c r="CU161" s="18">
        <f>CT161*VLOOKUP('Données projet'!$B$13,Paramètres!$A$1:$I$89,3,0)*VLOOKUP('Données projet'!$B$13,Paramètres!$A$1:$I$89,5,0)</f>
        <v>382.81061999999923</v>
      </c>
      <c r="CV161" s="14">
        <f t="shared" si="173"/>
        <v>88.282923700418308</v>
      </c>
      <c r="CW161" s="22">
        <f t="shared" si="174"/>
        <v>820.48792194489386</v>
      </c>
      <c r="CX161" s="62">
        <f t="shared" si="122"/>
        <v>1113.8212552782272</v>
      </c>
      <c r="CY161" s="62">
        <f ca="1">AVERAGE(OFFSET($CX$3,0,0,'Données projet'!$E$13+1,1))-AVERAGE(OFFSET($H$3,0,0,'Données projet'!$E$13+1,1))</f>
        <v>524.55238798353344</v>
      </c>
      <c r="CZ161" s="62">
        <f t="shared" si="150"/>
        <v>216.94512104983255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-2.0395418687257919E-13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260.01925143568263</v>
      </c>
      <c r="T162" s="62">
        <f t="shared" si="142"/>
        <v>269.95358755269427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-2.8421709430404007E-13</v>
      </c>
      <c r="AJ162" s="14">
        <f>AI162*VLOOKUP('Données projet'!$B$10,Paramètres!$A$1:$I$89,3,0)*VLOOKUP('Données projet'!$B$10,Paramètres!$A$1:$I$89,5,0)</f>
        <v>-1.69961822393816E-13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289.24721145176682</v>
      </c>
      <c r="AO162" s="62">
        <f t="shared" si="144"/>
        <v>229.06617320689003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2.6602720026858149E-14</v>
      </c>
      <c r="BF162" s="14">
        <f t="shared" si="167"/>
        <v>4.6624771586320878E-13</v>
      </c>
      <c r="BG162" s="22">
        <f t="shared" si="168"/>
        <v>8.583811758418665E-13</v>
      </c>
      <c r="BH162" s="62">
        <f t="shared" si="116"/>
        <v>293.33333333333417</v>
      </c>
      <c r="BI162" s="62">
        <f ca="1">AVERAGE(OFFSET($BH$3,0,0,'Données projet'!$E$11+1,1))-AVERAGE(OFFSET($H$3,0,0,'Données projet'!$E$11+1,1))</f>
        <v>284.72381074796073</v>
      </c>
      <c r="BJ162" s="62">
        <f t="shared" si="146"/>
        <v>190.4880882944471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6.3410256410256354</v>
      </c>
      <c r="BY162" s="13">
        <f>IF('Données projet'!$A$114&gt;35,BY161+BX162-CG161,IF(A162&lt;'Données projet'!$A$114,$BV$205^A162,IF(A162='Données projet'!$A$114,'Données projet'!$B$114,BY161+BX162-CG161)))</f>
        <v>361.98076923076854</v>
      </c>
      <c r="BZ162" s="14">
        <f>BY162*VLOOKUP('Données projet'!$B$12,Paramètres!$A$1:$I$89,3,0)*VLOOKUP('Données projet'!$B$12,Paramètres!$A$1:$I$89,5,0)</f>
        <v>367.04849999999936</v>
      </c>
      <c r="CA162" s="14">
        <f t="shared" si="170"/>
        <v>85.063198437574925</v>
      </c>
      <c r="CB162" s="22">
        <f t="shared" si="171"/>
        <v>787.42787477877528</v>
      </c>
      <c r="CC162" s="62">
        <f t="shared" si="119"/>
        <v>1080.7612081121085</v>
      </c>
      <c r="CD162" s="62">
        <f ca="1">AVERAGE(OFFSET($CC$3,0,0,'Données projet'!$E$12+1,1))-AVERAGE(OFFSET($H$3,0,0,'Données projet'!$E$12+1,1))</f>
        <v>496.71400086768705</v>
      </c>
      <c r="CE162" s="62">
        <f t="shared" si="148"/>
        <v>206.75063396134982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6.3410256410256354</v>
      </c>
      <c r="CT162" s="13">
        <f>IF('Données projet'!$A$140&gt;35,CT161+CS162-DB161,IF(A162&lt;'Données projet'!$A$140,$CQ$205^A162,IF(A162='Données projet'!$A$140,'Données projet'!$B$140,CT161+CS162-DB161)))</f>
        <v>361.98076923076854</v>
      </c>
      <c r="CU162" s="18">
        <f>CT162*VLOOKUP('Données projet'!$B$13,Paramètres!$A$1:$I$89,3,0)*VLOOKUP('Données projet'!$B$13,Paramètres!$A$1:$I$89,5,0)</f>
        <v>389.6360999999992</v>
      </c>
      <c r="CV162" s="14">
        <f t="shared" si="173"/>
        <v>89.67234419020221</v>
      </c>
      <c r="CW162" s="22">
        <f t="shared" si="174"/>
        <v>834.79554029793405</v>
      </c>
      <c r="CX162" s="62">
        <f t="shared" si="122"/>
        <v>1128.1288736312674</v>
      </c>
      <c r="CY162" s="62">
        <f ca="1">AVERAGE(OFFSET($CX$3,0,0,'Données projet'!$E$13+1,1))-AVERAGE(OFFSET($H$3,0,0,'Données projet'!$E$13+1,1))</f>
        <v>524.55238798353344</v>
      </c>
      <c r="CZ162" s="62">
        <f t="shared" si="150"/>
        <v>216.94512104983255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-2.0395418687257919E-13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260.01925143568263</v>
      </c>
      <c r="T163" s="62">
        <f t="shared" si="142"/>
        <v>269.95358755269427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-2.8421709430404007E-13</v>
      </c>
      <c r="AJ163" s="14">
        <f>AI163*VLOOKUP('Données projet'!$B$10,Paramètres!$A$1:$I$89,3,0)*VLOOKUP('Données projet'!$B$10,Paramètres!$A$1:$I$89,5,0)</f>
        <v>-1.69961822393816E-13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289.24721145176682</v>
      </c>
      <c r="AO163" s="62">
        <f t="shared" si="144"/>
        <v>229.06617320689003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2.6602720026858149E-14</v>
      </c>
      <c r="BF163" s="14">
        <f t="shared" si="167"/>
        <v>4.6624771586320878E-13</v>
      </c>
      <c r="BG163" s="22">
        <f t="shared" si="168"/>
        <v>8.583811758418665E-13</v>
      </c>
      <c r="BH163" s="62">
        <f t="shared" si="116"/>
        <v>293.33333333333417</v>
      </c>
      <c r="BI163" s="62">
        <f ca="1">AVERAGE(OFFSET($BH$3,0,0,'Données projet'!$E$11+1,1))-AVERAGE(OFFSET($H$3,0,0,'Données projet'!$E$11+1,1))</f>
        <v>284.72381074796073</v>
      </c>
      <c r="BJ163" s="62">
        <f t="shared" si="146"/>
        <v>190.4880882944471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6.3410256410256354</v>
      </c>
      <c r="BY163" s="13">
        <f>IF('Données projet'!$A$114&gt;35,BY162+BX163-CG162,IF(A163&lt;'Données projet'!$A$114,$BV$205^A163,IF(A163='Données projet'!$A$114,'Données projet'!$B$114,BY162+BX163-CG162)))</f>
        <v>368.32179487179417</v>
      </c>
      <c r="BZ163" s="14">
        <f>BY163*VLOOKUP('Données projet'!$B$12,Paramètres!$A$1:$I$89,3,0)*VLOOKUP('Données projet'!$B$12,Paramètres!$A$1:$I$89,5,0)</f>
        <v>373.47829999999931</v>
      </c>
      <c r="CA163" s="14">
        <f t="shared" si="170"/>
        <v>86.378518032919814</v>
      </c>
      <c r="CB163" s="22">
        <f t="shared" si="171"/>
        <v>800.91729140733412</v>
      </c>
      <c r="CC163" s="62">
        <f t="shared" si="119"/>
        <v>1094.2506247406675</v>
      </c>
      <c r="CD163" s="62">
        <f ca="1">AVERAGE(OFFSET($CC$3,0,0,'Données projet'!$E$12+1,1))-AVERAGE(OFFSET($H$3,0,0,'Données projet'!$E$12+1,1))</f>
        <v>496.71400086768705</v>
      </c>
      <c r="CE163" s="62">
        <f t="shared" si="148"/>
        <v>206.75063396134982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6.3410256410256354</v>
      </c>
      <c r="CT163" s="13">
        <f>IF('Données projet'!$A$140&gt;35,CT162+CS163-DB162,IF(A163&lt;'Données projet'!$A$140,$CQ$205^A163,IF(A163='Données projet'!$A$140,'Données projet'!$B$140,CT162+CS163-DB162)))</f>
        <v>368.32179487179417</v>
      </c>
      <c r="CU163" s="18">
        <f>CT163*VLOOKUP('Données projet'!$B$13,Paramètres!$A$1:$I$89,3,0)*VLOOKUP('Données projet'!$B$13,Paramètres!$A$1:$I$89,5,0)</f>
        <v>396.46157999999923</v>
      </c>
      <c r="CV163" s="14">
        <f t="shared" si="173"/>
        <v>91.058934321308499</v>
      </c>
      <c r="CW163" s="22">
        <f t="shared" si="174"/>
        <v>849.098229109611</v>
      </c>
      <c r="CX163" s="62">
        <f t="shared" si="122"/>
        <v>1142.4315624429444</v>
      </c>
      <c r="CY163" s="62">
        <f ca="1">AVERAGE(OFFSET($CX$3,0,0,'Données projet'!$E$13+1,1))-AVERAGE(OFFSET($H$3,0,0,'Données projet'!$E$13+1,1))</f>
        <v>524.55238798353344</v>
      </c>
      <c r="CZ163" s="62">
        <f t="shared" si="150"/>
        <v>216.94512104983255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-2.0395418687257919E-13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260.01925143568263</v>
      </c>
      <c r="T164" s="62">
        <f t="shared" si="142"/>
        <v>269.95358755269427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-2.8421709430404007E-13</v>
      </c>
      <c r="AJ164" s="14">
        <f>AI164*VLOOKUP('Données projet'!$B$10,Paramètres!$A$1:$I$89,3,0)*VLOOKUP('Données projet'!$B$10,Paramètres!$A$1:$I$89,5,0)</f>
        <v>-1.69961822393816E-13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289.24721145176682</v>
      </c>
      <c r="AO164" s="62">
        <f t="shared" si="144"/>
        <v>229.06617320689003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2.6602720026858149E-14</v>
      </c>
      <c r="BF164" s="14">
        <f t="shared" si="167"/>
        <v>4.6624771586320878E-13</v>
      </c>
      <c r="BG164" s="22">
        <f t="shared" si="168"/>
        <v>8.583811758418665E-13</v>
      </c>
      <c r="BH164" s="62">
        <f t="shared" si="116"/>
        <v>293.33333333333417</v>
      </c>
      <c r="BI164" s="62">
        <f ca="1">AVERAGE(OFFSET($BH$3,0,0,'Données projet'!$E$11+1,1))-AVERAGE(OFFSET($H$3,0,0,'Données projet'!$E$11+1,1))</f>
        <v>284.72381074796073</v>
      </c>
      <c r="BJ164" s="62">
        <f t="shared" si="146"/>
        <v>190.4880882944471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6.3410256410256354</v>
      </c>
      <c r="BY164" s="13">
        <f>IF('Données projet'!$A$114&gt;35,BY163+BX164-CG163,IF(A164&lt;'Données projet'!$A$114,$BV$205^A164,IF(A164='Données projet'!$A$114,'Données projet'!$B$114,BY163+BX164-CG163)))</f>
        <v>374.66282051281979</v>
      </c>
      <c r="BZ164" s="14">
        <f>BY164*VLOOKUP('Données projet'!$B$12,Paramètres!$A$1:$I$89,3,0)*VLOOKUP('Données projet'!$B$12,Paramètres!$A$1:$I$89,5,0)</f>
        <v>379.90809999999931</v>
      </c>
      <c r="CA164" s="14">
        <f t="shared" si="170"/>
        <v>87.691204306277541</v>
      </c>
      <c r="CB164" s="22">
        <f t="shared" si="171"/>
        <v>814.40212166676554</v>
      </c>
      <c r="CC164" s="62">
        <f t="shared" si="119"/>
        <v>1107.7354550000989</v>
      </c>
      <c r="CD164" s="62">
        <f ca="1">AVERAGE(OFFSET($CC$3,0,0,'Données projet'!$E$12+1,1))-AVERAGE(OFFSET($H$3,0,0,'Données projet'!$E$12+1,1))</f>
        <v>496.71400086768705</v>
      </c>
      <c r="CE164" s="62">
        <f t="shared" si="148"/>
        <v>206.75063396134982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6.3410256410256354</v>
      </c>
      <c r="CT164" s="13">
        <f>IF('Données projet'!$A$140&gt;35,CT163+CS164-DB163,IF(A164&lt;'Données projet'!$A$140,$CQ$205^A164,IF(A164='Données projet'!$A$140,'Données projet'!$B$140,CT163+CS164-DB163)))</f>
        <v>374.66282051281979</v>
      </c>
      <c r="CU164" s="18">
        <f>CT164*VLOOKUP('Données projet'!$B$13,Paramètres!$A$1:$I$89,3,0)*VLOOKUP('Données projet'!$B$13,Paramètres!$A$1:$I$89,5,0)</f>
        <v>403.28705999999914</v>
      </c>
      <c r="CV164" s="14">
        <f t="shared" si="173"/>
        <v>92.442748443989046</v>
      </c>
      <c r="CW164" s="22">
        <f t="shared" si="174"/>
        <v>863.39608303994601</v>
      </c>
      <c r="CX164" s="62">
        <f t="shared" si="122"/>
        <v>1156.7294163732793</v>
      </c>
      <c r="CY164" s="62">
        <f ca="1">AVERAGE(OFFSET($CX$3,0,0,'Données projet'!$E$13+1,1))-AVERAGE(OFFSET($H$3,0,0,'Données projet'!$E$13+1,1))</f>
        <v>524.55238798353344</v>
      </c>
      <c r="CZ164" s="62">
        <f t="shared" si="150"/>
        <v>216.94512104983255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-2.0395418687257919E-13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260.01925143568263</v>
      </c>
      <c r="T165" s="62">
        <f t="shared" si="142"/>
        <v>269.95358755269427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-2.8421709430404007E-13</v>
      </c>
      <c r="AJ165" s="14">
        <f>AI165*VLOOKUP('Données projet'!$B$10,Paramètres!$A$1:$I$89,3,0)*VLOOKUP('Données projet'!$B$10,Paramètres!$A$1:$I$89,5,0)</f>
        <v>-1.69961822393816E-13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289.24721145176682</v>
      </c>
      <c r="AO165" s="62">
        <f t="shared" si="144"/>
        <v>229.06617320689003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2.6602720026858149E-14</v>
      </c>
      <c r="BF165" s="14">
        <f t="shared" si="167"/>
        <v>4.6624771586320878E-13</v>
      </c>
      <c r="BG165" s="22">
        <f t="shared" si="168"/>
        <v>8.583811758418665E-13</v>
      </c>
      <c r="BH165" s="62">
        <f t="shared" si="116"/>
        <v>293.33333333333417</v>
      </c>
      <c r="BI165" s="62">
        <f ca="1">AVERAGE(OFFSET($BH$3,0,0,'Données projet'!$E$11+1,1))-AVERAGE(OFFSET($H$3,0,0,'Données projet'!$E$11+1,1))</f>
        <v>284.72381074796073</v>
      </c>
      <c r="BJ165" s="62">
        <f t="shared" si="146"/>
        <v>190.4880882944471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6.3410256410256354</v>
      </c>
      <c r="BY165" s="13">
        <f>IF('Données projet'!$A$114&gt;35,BY164+BX165-CG164,IF(A165&lt;'Données projet'!$A$114,$BV$205^A165,IF(A165='Données projet'!$A$114,'Données projet'!$B$114,BY164+BX165-CG164)))</f>
        <v>381.00384615384542</v>
      </c>
      <c r="BZ165" s="14">
        <f>BY165*VLOOKUP('Données projet'!$B$12,Paramètres!$A$1:$I$89,3,0)*VLOOKUP('Données projet'!$B$12,Paramètres!$A$1:$I$89,5,0)</f>
        <v>386.33789999999925</v>
      </c>
      <c r="CA165" s="14">
        <f t="shared" si="170"/>
        <v>89.001306969137772</v>
      </c>
      <c r="CB165" s="22">
        <f t="shared" si="171"/>
        <v>827.88245213791367</v>
      </c>
      <c r="CC165" s="62">
        <f t="shared" si="119"/>
        <v>1121.215785471247</v>
      </c>
      <c r="CD165" s="62">
        <f ca="1">AVERAGE(OFFSET($CC$3,0,0,'Données projet'!$E$12+1,1))-AVERAGE(OFFSET($H$3,0,0,'Données projet'!$E$12+1,1))</f>
        <v>496.71400086768705</v>
      </c>
      <c r="CE165" s="62">
        <f t="shared" si="148"/>
        <v>206.75063396134982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6.3410256410256354</v>
      </c>
      <c r="CT165" s="13">
        <f>IF('Données projet'!$A$140&gt;35,CT164+CS165-DB164,IF(A165&lt;'Données projet'!$A$140,$CQ$205^A165,IF(A165='Données projet'!$A$140,'Données projet'!$B$140,CT164+CS165-DB164)))</f>
        <v>381.00384615384542</v>
      </c>
      <c r="CU165" s="18">
        <f>CT165*VLOOKUP('Données projet'!$B$13,Paramètres!$A$1:$I$89,3,0)*VLOOKUP('Données projet'!$B$13,Paramètres!$A$1:$I$89,5,0)</f>
        <v>410.11253999999923</v>
      </c>
      <c r="CV165" s="14">
        <f t="shared" si="173"/>
        <v>93.823838963348223</v>
      </c>
      <c r="CW165" s="22">
        <f t="shared" si="174"/>
        <v>877.68919336116357</v>
      </c>
      <c r="CX165" s="62">
        <f t="shared" si="122"/>
        <v>1171.0225266944969</v>
      </c>
      <c r="CY165" s="62">
        <f ca="1">AVERAGE(OFFSET($CX$3,0,0,'Données projet'!$E$13+1,1))-AVERAGE(OFFSET($H$3,0,0,'Données projet'!$E$13+1,1))</f>
        <v>524.55238798353344</v>
      </c>
      <c r="CZ165" s="62">
        <f t="shared" si="150"/>
        <v>216.94512104983255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-2.0395418687257919E-13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260.01925143568263</v>
      </c>
      <c r="T166" s="62">
        <f t="shared" si="142"/>
        <v>269.95358755269427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-2.8421709430404007E-13</v>
      </c>
      <c r="AJ166" s="14">
        <f>AI166*VLOOKUP('Données projet'!$B$10,Paramètres!$A$1:$I$89,3,0)*VLOOKUP('Données projet'!$B$10,Paramètres!$A$1:$I$89,5,0)</f>
        <v>-1.69961822393816E-13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289.24721145176682</v>
      </c>
      <c r="AO166" s="62">
        <f t="shared" si="144"/>
        <v>229.06617320689003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2.6602720026858149E-14</v>
      </c>
      <c r="BF166" s="14">
        <f t="shared" si="167"/>
        <v>4.6624771586320878E-13</v>
      </c>
      <c r="BG166" s="22">
        <f t="shared" si="168"/>
        <v>8.583811758418665E-13</v>
      </c>
      <c r="BH166" s="62">
        <f t="shared" si="116"/>
        <v>293.33333333333417</v>
      </c>
      <c r="BI166" s="62">
        <f ca="1">AVERAGE(OFFSET($BH$3,0,0,'Données projet'!$E$11+1,1))-AVERAGE(OFFSET($H$3,0,0,'Données projet'!$E$11+1,1))</f>
        <v>284.72381074796073</v>
      </c>
      <c r="BJ166" s="62">
        <f t="shared" si="146"/>
        <v>190.4880882944471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6.3410256410256354</v>
      </c>
      <c r="BY166" s="13">
        <f>IF('Données projet'!$A$114&gt;35,BY165+BX166-CG165,IF(A166&lt;'Données projet'!$A$114,$BV$205^A166,IF(A166='Données projet'!$A$114,'Données projet'!$B$114,BY165+BX166-CG165)))</f>
        <v>387.34487179487104</v>
      </c>
      <c r="BZ166" s="14">
        <f>BY166*VLOOKUP('Données projet'!$B$12,Paramètres!$A$1:$I$89,3,0)*VLOOKUP('Données projet'!$B$12,Paramètres!$A$1:$I$89,5,0)</f>
        <v>392.76769999999925</v>
      </c>
      <c r="CA166" s="14">
        <f t="shared" si="170"/>
        <v>90.308873983449416</v>
      </c>
      <c r="CB166" s="22">
        <f t="shared" si="171"/>
        <v>841.35836635450642</v>
      </c>
      <c r="CC166" s="62">
        <f t="shared" si="119"/>
        <v>1134.6916996878397</v>
      </c>
      <c r="CD166" s="62">
        <f ca="1">AVERAGE(OFFSET($CC$3,0,0,'Données projet'!$E$12+1,1))-AVERAGE(OFFSET($H$3,0,0,'Données projet'!$E$12+1,1))</f>
        <v>496.71400086768705</v>
      </c>
      <c r="CE166" s="62">
        <f t="shared" si="148"/>
        <v>206.75063396134982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6.3410256410256354</v>
      </c>
      <c r="CT166" s="13">
        <f>IF('Données projet'!$A$140&gt;35,CT165+CS166-DB165,IF(A166&lt;'Données projet'!$A$140,$CQ$205^A166,IF(A166='Données projet'!$A$140,'Données projet'!$B$140,CT165+CS166-DB165)))</f>
        <v>387.34487179487104</v>
      </c>
      <c r="CU166" s="18">
        <f>CT166*VLOOKUP('Données projet'!$B$13,Paramètres!$A$1:$I$89,3,0)*VLOOKUP('Données projet'!$B$13,Paramètres!$A$1:$I$89,5,0)</f>
        <v>416.9380199999992</v>
      </c>
      <c r="CV166" s="14">
        <f t="shared" si="173"/>
        <v>95.202256440151245</v>
      </c>
      <c r="CW166" s="22">
        <f t="shared" si="174"/>
        <v>891.97764813326205</v>
      </c>
      <c r="CX166" s="62">
        <f t="shared" si="122"/>
        <v>1185.3109814665954</v>
      </c>
      <c r="CY166" s="62">
        <f ca="1">AVERAGE(OFFSET($CX$3,0,0,'Données projet'!$E$13+1,1))-AVERAGE(OFFSET($H$3,0,0,'Données projet'!$E$13+1,1))</f>
        <v>524.55238798353344</v>
      </c>
      <c r="CZ166" s="62">
        <f t="shared" si="150"/>
        <v>216.94512104983255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-2.0395418687257919E-13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260.01925143568263</v>
      </c>
      <c r="T167" s="62">
        <f t="shared" si="142"/>
        <v>269.95358755269427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-2.8421709430404007E-13</v>
      </c>
      <c r="AJ167" s="14">
        <f>AI167*VLOOKUP('Données projet'!$B$10,Paramètres!$A$1:$I$89,3,0)*VLOOKUP('Données projet'!$B$10,Paramètres!$A$1:$I$89,5,0)</f>
        <v>-1.69961822393816E-13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289.24721145176682</v>
      </c>
      <c r="AO167" s="62">
        <f t="shared" si="144"/>
        <v>229.06617320689003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2.6602720026858149E-14</v>
      </c>
      <c r="BF167" s="14">
        <f t="shared" si="167"/>
        <v>4.6624771586320878E-13</v>
      </c>
      <c r="BG167" s="22">
        <f t="shared" si="168"/>
        <v>8.583811758418665E-13</v>
      </c>
      <c r="BH167" s="62">
        <f t="shared" si="116"/>
        <v>293.33333333333417</v>
      </c>
      <c r="BI167" s="62">
        <f ca="1">AVERAGE(OFFSET($BH$3,0,0,'Données projet'!$E$11+1,1))-AVERAGE(OFFSET($H$3,0,0,'Données projet'!$E$11+1,1))</f>
        <v>284.72381074796073</v>
      </c>
      <c r="BJ167" s="62">
        <f t="shared" si="146"/>
        <v>190.4880882944471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>
        <f>VLOOKUP(A167,'Données projet'!$A$113:$I$133,2,0)</f>
        <v>393.6858974358974</v>
      </c>
      <c r="BW167" s="13">
        <f>VLOOKUP(A167,'Données projet'!$A$113:$I$133,9,0)</f>
        <v>6.3410256410256354</v>
      </c>
      <c r="BX167" s="13">
        <f t="array" ref="BX167">INDEX(BW:BW,MIN(IF(ISNUMBER(BW167:BW363),ROW(BW167:BW363),"")))</f>
        <v>6.3410256410256354</v>
      </c>
      <c r="BY167" s="13">
        <f>IF('Données projet'!$A$114&gt;35,BY166+BX167-CG166,IF(A167&lt;'Données projet'!$A$114,$BV$205^A167,IF(A167='Données projet'!$A$114,'Données projet'!$B$114,BY166+BX167-CG166)))</f>
        <v>393.68589743589666</v>
      </c>
      <c r="BZ167" s="14">
        <f>BY167*VLOOKUP('Données projet'!$B$12,Paramètres!$A$1:$I$89,3,0)*VLOOKUP('Données projet'!$B$12,Paramètres!$A$1:$I$89,5,0)</f>
        <v>399.19749999999925</v>
      </c>
      <c r="CA167" s="14">
        <f t="shared" si="170"/>
        <v>91.613951650807948</v>
      </c>
      <c r="CB167" s="22">
        <f t="shared" si="171"/>
        <v>854.82994495848925</v>
      </c>
      <c r="CC167" s="62">
        <f t="shared" si="119"/>
        <v>1148.1632782918225</v>
      </c>
      <c r="CD167" s="62">
        <f ca="1">AVERAGE(OFFSET($CC$3,0,0,'Données projet'!$E$12+1,1))-AVERAGE(OFFSET($H$3,0,0,'Données projet'!$E$12+1,1))</f>
        <v>496.71400086768705</v>
      </c>
      <c r="CE167" s="62">
        <f t="shared" si="148"/>
        <v>206.75063396134982</v>
      </c>
      <c r="CF167" s="16">
        <f>IF(ISNA(VLOOKUP(A167,'Données projet'!$A$113:$I$133,3,0)),0,VLOOKUP(A167,'Données projet'!$A$113:$I$133,3,0))</f>
        <v>14</v>
      </c>
      <c r="CG167" s="16">
        <f>IF(ISNA(VLOOKUP(A167,'Données projet'!$A$113:$I$133,4,0)),0,VLOOKUP(A167,'Données projet'!$A$113:$I$133,4,0))</f>
        <v>44.814102564102562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>
        <f>VLOOKUP(A167,'Données projet'!$A$139:$I$159,2,0)</f>
        <v>393.6858974358974</v>
      </c>
      <c r="CR167" s="13">
        <f>VLOOKUP(A167,'Données projet'!$A$139:$I$159,9,0)</f>
        <v>6.3410256410256354</v>
      </c>
      <c r="CS167" s="13">
        <f t="array" ref="CS167">INDEX(CR:CR,MIN(IF(ISNUMBER(CR167:CR363),ROW(CR167:CR363),"")))</f>
        <v>6.3410256410256354</v>
      </c>
      <c r="CT167" s="13">
        <f>IF('Données projet'!$A$140&gt;35,CT166+CS167-DB166,IF(A167&lt;'Données projet'!$A$140,$CQ$205^A167,IF(A167='Données projet'!$A$140,'Données projet'!$B$140,CT166+CS167-DB166)))</f>
        <v>393.68589743589666</v>
      </c>
      <c r="CU167" s="18">
        <f>CT167*VLOOKUP('Données projet'!$B$13,Paramètres!$A$1:$I$89,3,0)*VLOOKUP('Données projet'!$B$13,Paramètres!$A$1:$I$89,5,0)</f>
        <v>423.76349999999917</v>
      </c>
      <c r="CV167" s="14">
        <f t="shared" si="173"/>
        <v>96.578049684843265</v>
      </c>
      <c r="CW167" s="22">
        <f t="shared" si="174"/>
        <v>906.26153236776724</v>
      </c>
      <c r="CX167" s="62">
        <f t="shared" si="122"/>
        <v>1199.5948657011006</v>
      </c>
      <c r="CY167" s="62">
        <f ca="1">AVERAGE(OFFSET($CX$3,0,0,'Données projet'!$E$13+1,1))-AVERAGE(OFFSET($H$3,0,0,'Données projet'!$E$13+1,1))</f>
        <v>524.55238798353344</v>
      </c>
      <c r="CZ167" s="62">
        <f t="shared" si="150"/>
        <v>216.94512104983255</v>
      </c>
      <c r="DA167" s="16">
        <f>IF(ISNA(VLOOKUP(A167,'Données projet'!$A$139:$I$159,3,0)),0,VLOOKUP(A167,'Données projet'!$A$139:$I$159,3,0))</f>
        <v>14</v>
      </c>
      <c r="DB167" s="16">
        <f>IF(ISNA(VLOOKUP(A167,'Données projet'!$A$139:$I$159,4,0)),0,VLOOKUP(A167,'Données projet'!$A$139:$I$159,4,0))</f>
        <v>44.814102564102562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-2.0395418687257919E-13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260.01925143568263</v>
      </c>
      <c r="T168" s="62">
        <f t="shared" si="142"/>
        <v>269.95358755269427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-2.8421709430404007E-13</v>
      </c>
      <c r="AJ168" s="14">
        <f>AI168*VLOOKUP('Données projet'!$B$10,Paramètres!$A$1:$I$89,3,0)*VLOOKUP('Données projet'!$B$10,Paramètres!$A$1:$I$89,5,0)</f>
        <v>-1.69961822393816E-13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289.24721145176682</v>
      </c>
      <c r="AO168" s="62">
        <f t="shared" si="144"/>
        <v>229.06617320689003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2.6602720026858149E-14</v>
      </c>
      <c r="BF168" s="14">
        <f t="shared" si="167"/>
        <v>4.6624771586320878E-13</v>
      </c>
      <c r="BG168" s="22">
        <f t="shared" si="168"/>
        <v>8.583811758418665E-13</v>
      </c>
      <c r="BH168" s="62">
        <f t="shared" si="116"/>
        <v>293.33333333333417</v>
      </c>
      <c r="BI168" s="62">
        <f ca="1">AVERAGE(OFFSET($BH$3,0,0,'Données projet'!$E$11+1,1))-AVERAGE(OFFSET($H$3,0,0,'Données projet'!$E$11+1,1))</f>
        <v>284.72381074796073</v>
      </c>
      <c r="BJ168" s="62">
        <f t="shared" si="146"/>
        <v>190.4880882944471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6.4179487179487182</v>
      </c>
      <c r="BY168" s="13">
        <f>IF('Données projet'!$A$114&gt;35,BY167+BX168-CG167,IF(A168&lt;'Données projet'!$A$114,$BV$205^A168,IF(A168='Données projet'!$A$114,'Données projet'!$B$114,BY167+BX168-CG167)))</f>
        <v>355.28974358974284</v>
      </c>
      <c r="BZ168" s="14">
        <f>BY168*VLOOKUP('Données projet'!$B$12,Paramètres!$A$1:$I$89,3,0)*VLOOKUP('Données projet'!$B$12,Paramètres!$A$1:$I$89,5,0)</f>
        <v>360.26379999999926</v>
      </c>
      <c r="CA168" s="14">
        <f t="shared" si="170"/>
        <v>83.672365987758496</v>
      </c>
      <c r="CB168" s="22">
        <f t="shared" si="171"/>
        <v>773.18882242867812</v>
      </c>
      <c r="CC168" s="62">
        <f t="shared" si="119"/>
        <v>1066.5221557620114</v>
      </c>
      <c r="CD168" s="62">
        <f ca="1">AVERAGE(OFFSET($CC$3,0,0,'Données projet'!$E$12+1,1))-AVERAGE(OFFSET($H$3,0,0,'Données projet'!$E$12+1,1))</f>
        <v>496.71400086768705</v>
      </c>
      <c r="CE168" s="62">
        <f t="shared" si="148"/>
        <v>206.75063396134982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6.4179487179487182</v>
      </c>
      <c r="CT168" s="13">
        <f>IF('Données projet'!$A$140&gt;35,CT167+CS168-DB167,IF(A168&lt;'Données projet'!$A$140,$CQ$205^A168,IF(A168='Données projet'!$A$140,'Données projet'!$B$140,CT167+CS168-DB167)))</f>
        <v>355.28974358974284</v>
      </c>
      <c r="CU168" s="18">
        <f>CT168*VLOOKUP('Données projet'!$B$13,Paramètres!$A$1:$I$89,3,0)*VLOOKUP('Données projet'!$B$13,Paramètres!$A$1:$I$89,5,0)</f>
        <v>382.43387999999919</v>
      </c>
      <c r="CV168" s="14">
        <f t="shared" si="173"/>
        <v>88.206149543849136</v>
      </c>
      <c r="CW168" s="22">
        <f t="shared" si="174"/>
        <v>819.69805145553573</v>
      </c>
      <c r="CX168" s="62">
        <f t="shared" si="122"/>
        <v>1113.031384788869</v>
      </c>
      <c r="CY168" s="62">
        <f ca="1">AVERAGE(OFFSET($CX$3,0,0,'Données projet'!$E$13+1,1))-AVERAGE(OFFSET($H$3,0,0,'Données projet'!$E$13+1,1))</f>
        <v>524.55238798353344</v>
      </c>
      <c r="CZ168" s="62">
        <f t="shared" si="150"/>
        <v>216.94512104983255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-2.0395418687257919E-13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260.01925143568263</v>
      </c>
      <c r="T169" s="62">
        <f t="shared" si="142"/>
        <v>269.95358755269427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-2.8421709430404007E-13</v>
      </c>
      <c r="AJ169" s="14">
        <f>AI169*VLOOKUP('Données projet'!$B$10,Paramètres!$A$1:$I$89,3,0)*VLOOKUP('Données projet'!$B$10,Paramètres!$A$1:$I$89,5,0)</f>
        <v>-1.69961822393816E-13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289.24721145176682</v>
      </c>
      <c r="AO169" s="62">
        <f t="shared" si="144"/>
        <v>229.06617320689003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2.6602720026858149E-14</v>
      </c>
      <c r="BF169" s="14">
        <f t="shared" si="167"/>
        <v>4.6624771586320878E-13</v>
      </c>
      <c r="BG169" s="22">
        <f t="shared" si="168"/>
        <v>8.583811758418665E-13</v>
      </c>
      <c r="BH169" s="62">
        <f t="shared" si="116"/>
        <v>293.33333333333417</v>
      </c>
      <c r="BI169" s="62">
        <f ca="1">AVERAGE(OFFSET($BH$3,0,0,'Données projet'!$E$11+1,1))-AVERAGE(OFFSET($H$3,0,0,'Données projet'!$E$11+1,1))</f>
        <v>284.72381074796073</v>
      </c>
      <c r="BJ169" s="62">
        <f t="shared" si="146"/>
        <v>190.4880882944471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6.4179487179487182</v>
      </c>
      <c r="BY169" s="13">
        <f>IF('Données projet'!$A$114&gt;35,BY168+BX169-CG168,IF(A169&lt;'Données projet'!$A$114,$BV$205^A169,IF(A169='Données projet'!$A$114,'Données projet'!$B$114,BY168+BX169-CG168)))</f>
        <v>361.70769230769156</v>
      </c>
      <c r="BZ169" s="14">
        <f>BY169*VLOOKUP('Données projet'!$B$12,Paramètres!$A$1:$I$89,3,0)*VLOOKUP('Données projet'!$B$12,Paramètres!$A$1:$I$89,5,0)</f>
        <v>366.7715999999993</v>
      </c>
      <c r="CA169" s="14">
        <f t="shared" si="170"/>
        <v>85.00649413793171</v>
      </c>
      <c r="CB169" s="22">
        <f t="shared" si="171"/>
        <v>786.8468472902299</v>
      </c>
      <c r="CC169" s="62">
        <f t="shared" si="119"/>
        <v>1080.1801806235633</v>
      </c>
      <c r="CD169" s="62">
        <f ca="1">AVERAGE(OFFSET($CC$3,0,0,'Données projet'!$E$12+1,1))-AVERAGE(OFFSET($H$3,0,0,'Données projet'!$E$12+1,1))</f>
        <v>496.71400086768705</v>
      </c>
      <c r="CE169" s="62">
        <f t="shared" si="148"/>
        <v>206.75063396134982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6.4179487179487182</v>
      </c>
      <c r="CT169" s="13">
        <f>IF('Données projet'!$A$140&gt;35,CT168+CS169-DB168,IF(A169&lt;'Données projet'!$A$140,$CQ$205^A169,IF(A169='Données projet'!$A$140,'Données projet'!$B$140,CT168+CS169-DB168)))</f>
        <v>361.70769230769156</v>
      </c>
      <c r="CU169" s="18">
        <f>CT169*VLOOKUP('Données projet'!$B$13,Paramètres!$A$1:$I$89,3,0)*VLOOKUP('Données projet'!$B$13,Paramètres!$A$1:$I$89,5,0)</f>
        <v>389.34215999999918</v>
      </c>
      <c r="CV169" s="14">
        <f t="shared" si="173"/>
        <v>89.612567370519102</v>
      </c>
      <c r="CW169" s="22">
        <f t="shared" si="174"/>
        <v>834.1794835036527</v>
      </c>
      <c r="CX169" s="62">
        <f t="shared" si="122"/>
        <v>1127.5128168369861</v>
      </c>
      <c r="CY169" s="62">
        <f ca="1">AVERAGE(OFFSET($CX$3,0,0,'Données projet'!$E$13+1,1))-AVERAGE(OFFSET($H$3,0,0,'Données projet'!$E$13+1,1))</f>
        <v>524.55238798353344</v>
      </c>
      <c r="CZ169" s="62">
        <f t="shared" si="150"/>
        <v>216.94512104983255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-2.0395418687257919E-13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260.01925143568263</v>
      </c>
      <c r="T170" s="62">
        <f t="shared" si="142"/>
        <v>269.95358755269427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-2.8421709430404007E-13</v>
      </c>
      <c r="AJ170" s="14">
        <f>AI170*VLOOKUP('Données projet'!$B$10,Paramètres!$A$1:$I$89,3,0)*VLOOKUP('Données projet'!$B$10,Paramètres!$A$1:$I$89,5,0)</f>
        <v>-1.69961822393816E-13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289.24721145176682</v>
      </c>
      <c r="AO170" s="62">
        <f t="shared" si="144"/>
        <v>229.06617320689003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2.6602720026858149E-14</v>
      </c>
      <c r="BF170" s="14">
        <f t="shared" si="167"/>
        <v>4.6624771586320878E-13</v>
      </c>
      <c r="BG170" s="22">
        <f t="shared" si="168"/>
        <v>8.583811758418665E-13</v>
      </c>
      <c r="BH170" s="62">
        <f t="shared" si="116"/>
        <v>293.33333333333417</v>
      </c>
      <c r="BI170" s="62">
        <f ca="1">AVERAGE(OFFSET($BH$3,0,0,'Données projet'!$E$11+1,1))-AVERAGE(OFFSET($H$3,0,0,'Données projet'!$E$11+1,1))</f>
        <v>284.72381074796073</v>
      </c>
      <c r="BJ170" s="62">
        <f t="shared" si="146"/>
        <v>190.4880882944471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6.4179487179487182</v>
      </c>
      <c r="BY170" s="13">
        <f>IF('Données projet'!$A$114&gt;35,BY169+BX170-CG169,IF(A170&lt;'Données projet'!$A$114,$BV$205^A170,IF(A170='Données projet'!$A$114,'Données projet'!$B$114,BY169+BX170-CG169)))</f>
        <v>368.12564102564028</v>
      </c>
      <c r="BZ170" s="14">
        <f>BY170*VLOOKUP('Données projet'!$B$12,Paramètres!$A$1:$I$89,3,0)*VLOOKUP('Données projet'!$B$12,Paramètres!$A$1:$I$89,5,0)</f>
        <v>373.27939999999927</v>
      </c>
      <c r="CA170" s="14">
        <f t="shared" si="170"/>
        <v>86.337869551154981</v>
      </c>
      <c r="CB170" s="22">
        <f t="shared" si="171"/>
        <v>800.50007780159365</v>
      </c>
      <c r="CC170" s="62">
        <f t="shared" si="119"/>
        <v>1093.833411134927</v>
      </c>
      <c r="CD170" s="62">
        <f ca="1">AVERAGE(OFFSET($CC$3,0,0,'Données projet'!$E$12+1,1))-AVERAGE(OFFSET($H$3,0,0,'Données projet'!$E$12+1,1))</f>
        <v>496.71400086768705</v>
      </c>
      <c r="CE170" s="62">
        <f t="shared" si="148"/>
        <v>206.75063396134982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6.4179487179487182</v>
      </c>
      <c r="CT170" s="13">
        <f>IF('Données projet'!$A$140&gt;35,CT169+CS170-DB169,IF(A170&lt;'Données projet'!$A$140,$CQ$205^A170,IF(A170='Données projet'!$A$140,'Données projet'!$B$140,CT169+CS170-DB169)))</f>
        <v>368.12564102564028</v>
      </c>
      <c r="CU170" s="18">
        <f>CT170*VLOOKUP('Données projet'!$B$13,Paramètres!$A$1:$I$89,3,0)*VLOOKUP('Données projet'!$B$13,Paramètres!$A$1:$I$89,5,0)</f>
        <v>396.25043999999917</v>
      </c>
      <c r="CV170" s="14">
        <f t="shared" si="173"/>
        <v>91.016083303305763</v>
      </c>
      <c r="CW170" s="22">
        <f t="shared" si="174"/>
        <v>848.65586141992264</v>
      </c>
      <c r="CX170" s="62">
        <f t="shared" si="122"/>
        <v>1141.989194753256</v>
      </c>
      <c r="CY170" s="62">
        <f ca="1">AVERAGE(OFFSET($CX$3,0,0,'Données projet'!$E$13+1,1))-AVERAGE(OFFSET($H$3,0,0,'Données projet'!$E$13+1,1))</f>
        <v>524.55238798353344</v>
      </c>
      <c r="CZ170" s="62">
        <f t="shared" si="150"/>
        <v>216.94512104983255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-2.0395418687257919E-13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260.01925143568263</v>
      </c>
      <c r="T171" s="62">
        <f t="shared" si="142"/>
        <v>269.95358755269427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-2.8421709430404007E-13</v>
      </c>
      <c r="AJ171" s="14">
        <f>AI171*VLOOKUP('Données projet'!$B$10,Paramètres!$A$1:$I$89,3,0)*VLOOKUP('Données projet'!$B$10,Paramètres!$A$1:$I$89,5,0)</f>
        <v>-1.69961822393816E-13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289.24721145176682</v>
      </c>
      <c r="AO171" s="62">
        <f t="shared" si="144"/>
        <v>229.06617320689003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2.6602720026858149E-14</v>
      </c>
      <c r="BF171" s="14">
        <f t="shared" si="167"/>
        <v>4.6624771586320878E-13</v>
      </c>
      <c r="BG171" s="22">
        <f t="shared" si="168"/>
        <v>8.583811758418665E-13</v>
      </c>
      <c r="BH171" s="62">
        <f t="shared" si="116"/>
        <v>293.33333333333417</v>
      </c>
      <c r="BI171" s="62">
        <f ca="1">AVERAGE(OFFSET($BH$3,0,0,'Données projet'!$E$11+1,1))-AVERAGE(OFFSET($H$3,0,0,'Données projet'!$E$11+1,1))</f>
        <v>284.72381074796073</v>
      </c>
      <c r="BJ171" s="62">
        <f t="shared" si="146"/>
        <v>190.4880882944471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6.4179487179487182</v>
      </c>
      <c r="BY171" s="13">
        <f>IF('Données projet'!$A$114&gt;35,BY170+BX171-CG170,IF(A171&lt;'Données projet'!$A$114,$BV$205^A171,IF(A171='Données projet'!$A$114,'Données projet'!$B$114,BY170+BX171-CG170)))</f>
        <v>374.543589743589</v>
      </c>
      <c r="BZ171" s="14">
        <f>BY171*VLOOKUP('Données projet'!$B$12,Paramètres!$A$1:$I$89,3,0)*VLOOKUP('Données projet'!$B$12,Paramètres!$A$1:$I$89,5,0)</f>
        <v>379.7871999999993</v>
      </c>
      <c r="CA171" s="14">
        <f t="shared" si="170"/>
        <v>87.666545756347787</v>
      </c>
      <c r="CB171" s="22">
        <f t="shared" si="171"/>
        <v>814.14860719230444</v>
      </c>
      <c r="CC171" s="62">
        <f t="shared" si="119"/>
        <v>1107.4819405256378</v>
      </c>
      <c r="CD171" s="62">
        <f ca="1">AVERAGE(OFFSET($CC$3,0,0,'Données projet'!$E$12+1,1))-AVERAGE(OFFSET($H$3,0,0,'Données projet'!$E$12+1,1))</f>
        <v>496.71400086768705</v>
      </c>
      <c r="CE171" s="62">
        <f t="shared" si="148"/>
        <v>206.75063396134982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6.4179487179487182</v>
      </c>
      <c r="CT171" s="13">
        <f>IF('Données projet'!$A$140&gt;35,CT170+CS171-DB170,IF(A171&lt;'Données projet'!$A$140,$CQ$205^A171,IF(A171='Données projet'!$A$140,'Données projet'!$B$140,CT170+CS171-DB170)))</f>
        <v>374.543589743589</v>
      </c>
      <c r="CU171" s="18">
        <f>CT171*VLOOKUP('Données projet'!$B$13,Paramètres!$A$1:$I$89,3,0)*VLOOKUP('Données projet'!$B$13,Paramètres!$A$1:$I$89,5,0)</f>
        <v>403.15871999999916</v>
      </c>
      <c r="CV171" s="14">
        <f t="shared" si="173"/>
        <v>92.416753771590791</v>
      </c>
      <c r="CW171" s="22">
        <f t="shared" si="174"/>
        <v>863.12728348551911</v>
      </c>
      <c r="CX171" s="62">
        <f t="shared" si="122"/>
        <v>1156.4606168188525</v>
      </c>
      <c r="CY171" s="62">
        <f ca="1">AVERAGE(OFFSET($CX$3,0,0,'Données projet'!$E$13+1,1))-AVERAGE(OFFSET($H$3,0,0,'Données projet'!$E$13+1,1))</f>
        <v>524.55238798353344</v>
      </c>
      <c r="CZ171" s="62">
        <f t="shared" si="150"/>
        <v>216.94512104983255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-2.0395418687257919E-13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260.01925143568263</v>
      </c>
      <c r="T172" s="62">
        <f t="shared" si="142"/>
        <v>269.95358755269427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-2.8421709430404007E-13</v>
      </c>
      <c r="AJ172" s="14">
        <f>AI172*VLOOKUP('Données projet'!$B$10,Paramètres!$A$1:$I$89,3,0)*VLOOKUP('Données projet'!$B$10,Paramètres!$A$1:$I$89,5,0)</f>
        <v>-1.69961822393816E-13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289.24721145176682</v>
      </c>
      <c r="AO172" s="62">
        <f t="shared" si="144"/>
        <v>229.06617320689003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2.6602720026858149E-14</v>
      </c>
      <c r="BF172" s="14">
        <f t="shared" si="167"/>
        <v>4.6624771586320878E-13</v>
      </c>
      <c r="BG172" s="22">
        <f t="shared" si="168"/>
        <v>8.583811758418665E-13</v>
      </c>
      <c r="BH172" s="62">
        <f t="shared" si="116"/>
        <v>293.33333333333417</v>
      </c>
      <c r="BI172" s="62">
        <f ca="1">AVERAGE(OFFSET($BH$3,0,0,'Données projet'!$E$11+1,1))-AVERAGE(OFFSET($H$3,0,0,'Données projet'!$E$11+1,1))</f>
        <v>284.72381074796073</v>
      </c>
      <c r="BJ172" s="62">
        <f t="shared" si="146"/>
        <v>190.4880882944471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6.4179487179487182</v>
      </c>
      <c r="BY172" s="13">
        <f>IF('Données projet'!$A$114&gt;35,BY171+BX172-CG171,IF(A172&lt;'Données projet'!$A$114,$BV$205^A172,IF(A172='Données projet'!$A$114,'Données projet'!$B$114,BY171+BX172-CG171)))</f>
        <v>380.96153846153771</v>
      </c>
      <c r="BZ172" s="14">
        <f>BY172*VLOOKUP('Données projet'!$B$12,Paramètres!$A$1:$I$89,3,0)*VLOOKUP('Données projet'!$B$12,Paramètres!$A$1:$I$89,5,0)</f>
        <v>386.29499999999928</v>
      </c>
      <c r="CA172" s="14">
        <f t="shared" si="170"/>
        <v>88.992574342836448</v>
      </c>
      <c r="CB172" s="22">
        <f t="shared" si="171"/>
        <v>827.79252531377222</v>
      </c>
      <c r="CC172" s="62">
        <f t="shared" si="119"/>
        <v>1121.1258586471056</v>
      </c>
      <c r="CD172" s="62">
        <f ca="1">AVERAGE(OFFSET($CC$3,0,0,'Données projet'!$E$12+1,1))-AVERAGE(OFFSET($H$3,0,0,'Données projet'!$E$12+1,1))</f>
        <v>496.71400086768705</v>
      </c>
      <c r="CE172" s="62">
        <f t="shared" si="148"/>
        <v>206.75063396134982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6.4179487179487182</v>
      </c>
      <c r="CT172" s="13">
        <f>IF('Données projet'!$A$140&gt;35,CT171+CS172-DB171,IF(A172&lt;'Données projet'!$A$140,$CQ$205^A172,IF(A172='Données projet'!$A$140,'Données projet'!$B$140,CT171+CS172-DB171)))</f>
        <v>380.96153846153771</v>
      </c>
      <c r="CU172" s="18">
        <f>CT172*VLOOKUP('Données projet'!$B$13,Paramètres!$A$1:$I$89,3,0)*VLOOKUP('Données projet'!$B$13,Paramètres!$A$1:$I$89,5,0)</f>
        <v>410.06699999999921</v>
      </c>
      <c r="CV172" s="14">
        <f t="shared" si="173"/>
        <v>93.814633160065966</v>
      </c>
      <c r="CW172" s="22">
        <f t="shared" si="174"/>
        <v>877.59384442044677</v>
      </c>
      <c r="CX172" s="62">
        <f t="shared" si="122"/>
        <v>1170.9271777537801</v>
      </c>
      <c r="CY172" s="62">
        <f ca="1">AVERAGE(OFFSET($CX$3,0,0,'Données projet'!$E$13+1,1))-AVERAGE(OFFSET($H$3,0,0,'Données projet'!$E$13+1,1))</f>
        <v>524.55238798353344</v>
      </c>
      <c r="CZ172" s="62">
        <f t="shared" si="150"/>
        <v>216.94512104983255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-2.0395418687257919E-13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260.01925143568263</v>
      </c>
      <c r="T173" s="62">
        <f t="shared" si="142"/>
        <v>269.95358755269427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-2.8421709430404007E-13</v>
      </c>
      <c r="AJ173" s="14">
        <f>AI173*VLOOKUP('Données projet'!$B$10,Paramètres!$A$1:$I$89,3,0)*VLOOKUP('Données projet'!$B$10,Paramètres!$A$1:$I$89,5,0)</f>
        <v>-1.69961822393816E-13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289.24721145176682</v>
      </c>
      <c r="AO173" s="62">
        <f t="shared" si="144"/>
        <v>229.06617320689003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2.6602720026858149E-14</v>
      </c>
      <c r="BF173" s="14">
        <f t="shared" si="167"/>
        <v>4.6624771586320878E-13</v>
      </c>
      <c r="BG173" s="22">
        <f t="shared" si="168"/>
        <v>8.583811758418665E-13</v>
      </c>
      <c r="BH173" s="62">
        <f t="shared" si="116"/>
        <v>293.33333333333417</v>
      </c>
      <c r="BI173" s="62">
        <f ca="1">AVERAGE(OFFSET($BH$3,0,0,'Données projet'!$E$11+1,1))-AVERAGE(OFFSET($H$3,0,0,'Données projet'!$E$11+1,1))</f>
        <v>284.72381074796073</v>
      </c>
      <c r="BJ173" s="62">
        <f t="shared" si="146"/>
        <v>190.4880882944471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6.4179487179487182</v>
      </c>
      <c r="BY173" s="13">
        <f>IF('Données projet'!$A$114&gt;35,BY172+BX173-CG172,IF(A173&lt;'Données projet'!$A$114,$BV$205^A173,IF(A173='Données projet'!$A$114,'Données projet'!$B$114,BY172+BX173-CG172)))</f>
        <v>387.37948717948643</v>
      </c>
      <c r="BZ173" s="14">
        <f>BY173*VLOOKUP('Données projet'!$B$12,Paramètres!$A$1:$I$89,3,0)*VLOOKUP('Données projet'!$B$12,Paramètres!$A$1:$I$89,5,0)</f>
        <v>392.80279999999931</v>
      </c>
      <c r="CA173" s="14">
        <f t="shared" si="170"/>
        <v>90.316005062104381</v>
      </c>
      <c r="CB173" s="22">
        <f t="shared" si="171"/>
        <v>841.43191881649716</v>
      </c>
      <c r="CC173" s="62">
        <f t="shared" si="119"/>
        <v>1134.7652521498305</v>
      </c>
      <c r="CD173" s="62">
        <f ca="1">AVERAGE(OFFSET($CC$3,0,0,'Données projet'!$E$12+1,1))-AVERAGE(OFFSET($H$3,0,0,'Données projet'!$E$12+1,1))</f>
        <v>496.71400086768705</v>
      </c>
      <c r="CE173" s="62">
        <f t="shared" si="148"/>
        <v>206.75063396134982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6.4179487179487182</v>
      </c>
      <c r="CT173" s="13">
        <f>IF('Données projet'!$A$140&gt;35,CT172+CS173-DB172,IF(A173&lt;'Données projet'!$A$140,$CQ$205^A173,IF(A173='Données projet'!$A$140,'Données projet'!$B$140,CT172+CS173-DB172)))</f>
        <v>387.37948717948643</v>
      </c>
      <c r="CU173" s="18">
        <f>CT173*VLOOKUP('Données projet'!$B$13,Paramètres!$A$1:$I$89,3,0)*VLOOKUP('Données projet'!$B$13,Paramètres!$A$1:$I$89,5,0)</f>
        <v>416.97527999999915</v>
      </c>
      <c r="CV173" s="14">
        <f t="shared" si="173"/>
        <v>95.209773915996649</v>
      </c>
      <c r="CW173" s="22">
        <f t="shared" si="174"/>
        <v>892.0556355703593</v>
      </c>
      <c r="CX173" s="62">
        <f t="shared" si="122"/>
        <v>1185.3889689036926</v>
      </c>
      <c r="CY173" s="62">
        <f ca="1">AVERAGE(OFFSET($CX$3,0,0,'Données projet'!$E$13+1,1))-AVERAGE(OFFSET($H$3,0,0,'Données projet'!$E$13+1,1))</f>
        <v>524.55238798353344</v>
      </c>
      <c r="CZ173" s="62">
        <f t="shared" si="150"/>
        <v>216.94512104983255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-2.0395418687257919E-13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260.01925143568263</v>
      </c>
      <c r="T174" s="62">
        <f t="shared" si="142"/>
        <v>269.95358755269427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-2.8421709430404007E-13</v>
      </c>
      <c r="AJ174" s="14">
        <f>AI174*VLOOKUP('Données projet'!$B$10,Paramètres!$A$1:$I$89,3,0)*VLOOKUP('Données projet'!$B$10,Paramètres!$A$1:$I$89,5,0)</f>
        <v>-1.69961822393816E-13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289.24721145176682</v>
      </c>
      <c r="AO174" s="62">
        <f t="shared" si="144"/>
        <v>229.06617320689003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2.6602720026858149E-14</v>
      </c>
      <c r="BF174" s="14">
        <f t="shared" si="167"/>
        <v>4.6624771586320878E-13</v>
      </c>
      <c r="BG174" s="22">
        <f t="shared" si="168"/>
        <v>8.583811758418665E-13</v>
      </c>
      <c r="BH174" s="62">
        <f t="shared" si="116"/>
        <v>293.33333333333417</v>
      </c>
      <c r="BI174" s="62">
        <f ca="1">AVERAGE(OFFSET($BH$3,0,0,'Données projet'!$E$11+1,1))-AVERAGE(OFFSET($H$3,0,0,'Données projet'!$E$11+1,1))</f>
        <v>284.72381074796073</v>
      </c>
      <c r="BJ174" s="62">
        <f t="shared" si="146"/>
        <v>190.4880882944471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6.4179487179487182</v>
      </c>
      <c r="BY174" s="13">
        <f>IF('Données projet'!$A$114&gt;35,BY173+BX174-CG173,IF(A174&lt;'Données projet'!$A$114,$BV$205^A174,IF(A174='Données projet'!$A$114,'Données projet'!$B$114,BY173+BX174-CG173)))</f>
        <v>393.79743589743515</v>
      </c>
      <c r="BZ174" s="14">
        <f>BY174*VLOOKUP('Données projet'!$B$12,Paramètres!$A$1:$I$89,3,0)*VLOOKUP('Données projet'!$B$12,Paramètres!$A$1:$I$89,5,0)</f>
        <v>399.31059999999928</v>
      </c>
      <c r="CA174" s="14">
        <f t="shared" si="170"/>
        <v>91.636885922607988</v>
      </c>
      <c r="CB174" s="22">
        <f t="shared" si="171"/>
        <v>855.06687131520766</v>
      </c>
      <c r="CC174" s="62">
        <f t="shared" si="119"/>
        <v>1148.4002046485409</v>
      </c>
      <c r="CD174" s="62">
        <f ca="1">AVERAGE(OFFSET($CC$3,0,0,'Données projet'!$E$12+1,1))-AVERAGE(OFFSET($H$3,0,0,'Données projet'!$E$12+1,1))</f>
        <v>496.71400086768705</v>
      </c>
      <c r="CE174" s="62">
        <f t="shared" si="148"/>
        <v>206.75063396134982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6.4179487179487182</v>
      </c>
      <c r="CT174" s="13">
        <f>IF('Données projet'!$A$140&gt;35,CT173+CS174-DB173,IF(A174&lt;'Données projet'!$A$140,$CQ$205^A174,IF(A174='Données projet'!$A$140,'Données projet'!$B$140,CT173+CS174-DB173)))</f>
        <v>393.79743589743515</v>
      </c>
      <c r="CU174" s="18">
        <f>CT174*VLOOKUP('Données projet'!$B$13,Paramètres!$A$1:$I$89,3,0)*VLOOKUP('Données projet'!$B$13,Paramètres!$A$1:$I$89,5,0)</f>
        <v>423.88355999999919</v>
      </c>
      <c r="CV174" s="14">
        <f t="shared" si="173"/>
        <v>96.602226649175336</v>
      </c>
      <c r="CW174" s="22">
        <f t="shared" si="174"/>
        <v>906.51274508064569</v>
      </c>
      <c r="CX174" s="62">
        <f t="shared" si="122"/>
        <v>1199.8460784139791</v>
      </c>
      <c r="CY174" s="62">
        <f ca="1">AVERAGE(OFFSET($CX$3,0,0,'Données projet'!$E$13+1,1))-AVERAGE(OFFSET($H$3,0,0,'Données projet'!$E$13+1,1))</f>
        <v>524.55238798353344</v>
      </c>
      <c r="CZ174" s="62">
        <f t="shared" si="150"/>
        <v>216.94512104983255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-2.0395418687257919E-13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260.01925143568263</v>
      </c>
      <c r="T175" s="62">
        <f t="shared" si="142"/>
        <v>269.95358755269427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-2.8421709430404007E-13</v>
      </c>
      <c r="AJ175" s="14">
        <f>AI175*VLOOKUP('Données projet'!$B$10,Paramètres!$A$1:$I$89,3,0)*VLOOKUP('Données projet'!$B$10,Paramètres!$A$1:$I$89,5,0)</f>
        <v>-1.69961822393816E-13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289.24721145176682</v>
      </c>
      <c r="AO175" s="62">
        <f t="shared" si="144"/>
        <v>229.06617320689003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2.6602720026858149E-14</v>
      </c>
      <c r="BF175" s="14">
        <f t="shared" si="167"/>
        <v>4.6624771586320878E-13</v>
      </c>
      <c r="BG175" s="22">
        <f t="shared" si="168"/>
        <v>8.583811758418665E-13</v>
      </c>
      <c r="BH175" s="62">
        <f t="shared" si="116"/>
        <v>293.33333333333417</v>
      </c>
      <c r="BI175" s="62">
        <f ca="1">AVERAGE(OFFSET($BH$3,0,0,'Données projet'!$E$11+1,1))-AVERAGE(OFFSET($H$3,0,0,'Données projet'!$E$11+1,1))</f>
        <v>284.72381074796073</v>
      </c>
      <c r="BJ175" s="62">
        <f t="shared" si="146"/>
        <v>190.4880882944471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6.4179487179487182</v>
      </c>
      <c r="BY175" s="13">
        <f>IF('Données projet'!$A$114&gt;35,BY174+BX175-CG174,IF(A175&lt;'Données projet'!$A$114,$BV$205^A175,IF(A175='Données projet'!$A$114,'Données projet'!$B$114,BY174+BX175-CG174)))</f>
        <v>400.21538461538387</v>
      </c>
      <c r="BZ175" s="14">
        <f>BY175*VLOOKUP('Données projet'!$B$12,Paramètres!$A$1:$I$89,3,0)*VLOOKUP('Données projet'!$B$12,Paramètres!$A$1:$I$89,5,0)</f>
        <v>405.81839999999926</v>
      </c>
      <c r="CA175" s="14">
        <f t="shared" si="170"/>
        <v>92.955263278236245</v>
      </c>
      <c r="CB175" s="22">
        <f t="shared" si="171"/>
        <v>868.69746354292693</v>
      </c>
      <c r="CC175" s="62">
        <f t="shared" si="119"/>
        <v>1162.0307968762602</v>
      </c>
      <c r="CD175" s="62">
        <f ca="1">AVERAGE(OFFSET($CC$3,0,0,'Données projet'!$E$12+1,1))-AVERAGE(OFFSET($H$3,0,0,'Données projet'!$E$12+1,1))</f>
        <v>496.71400086768705</v>
      </c>
      <c r="CE175" s="62">
        <f t="shared" si="148"/>
        <v>206.75063396134982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6.4179487179487182</v>
      </c>
      <c r="CT175" s="13">
        <f>IF('Données projet'!$A$140&gt;35,CT174+CS175-DB174,IF(A175&lt;'Données projet'!$A$140,$CQ$205^A175,IF(A175='Données projet'!$A$140,'Données projet'!$B$140,CT174+CS175-DB174)))</f>
        <v>400.21538461538387</v>
      </c>
      <c r="CU175" s="18">
        <f>CT175*VLOOKUP('Données projet'!$B$13,Paramètres!$A$1:$I$89,3,0)*VLOOKUP('Données projet'!$B$13,Paramètres!$A$1:$I$89,5,0)</f>
        <v>430.79183999999918</v>
      </c>
      <c r="CV175" s="14">
        <f t="shared" si="173"/>
        <v>97.992040225174762</v>
      </c>
      <c r="CW175" s="22">
        <f t="shared" si="174"/>
        <v>920.96525805884448</v>
      </c>
      <c r="CX175" s="62">
        <f t="shared" si="122"/>
        <v>1214.2985913921777</v>
      </c>
      <c r="CY175" s="62">
        <f ca="1">AVERAGE(OFFSET($CX$3,0,0,'Données projet'!$E$13+1,1))-AVERAGE(OFFSET($H$3,0,0,'Données projet'!$E$13+1,1))</f>
        <v>524.55238798353344</v>
      </c>
      <c r="CZ175" s="62">
        <f t="shared" si="150"/>
        <v>216.94512104983255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-2.0395418687257919E-13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260.01925143568263</v>
      </c>
      <c r="T176" s="62">
        <f t="shared" si="142"/>
        <v>269.95358755269427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-2.8421709430404007E-13</v>
      </c>
      <c r="AJ176" s="14">
        <f>AI176*VLOOKUP('Données projet'!$B$10,Paramètres!$A$1:$I$89,3,0)*VLOOKUP('Données projet'!$B$10,Paramètres!$A$1:$I$89,5,0)</f>
        <v>-1.69961822393816E-13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289.24721145176682</v>
      </c>
      <c r="AO176" s="62">
        <f t="shared" si="144"/>
        <v>229.06617320689003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2.6602720026858149E-14</v>
      </c>
      <c r="BF176" s="14">
        <f t="shared" si="167"/>
        <v>4.6624771586320878E-13</v>
      </c>
      <c r="BG176" s="22">
        <f t="shared" si="168"/>
        <v>8.583811758418665E-13</v>
      </c>
      <c r="BH176" s="62">
        <f t="shared" si="116"/>
        <v>293.33333333333417</v>
      </c>
      <c r="BI176" s="62">
        <f ca="1">AVERAGE(OFFSET($BH$3,0,0,'Données projet'!$E$11+1,1))-AVERAGE(OFFSET($H$3,0,0,'Données projet'!$E$11+1,1))</f>
        <v>284.72381074796073</v>
      </c>
      <c r="BJ176" s="62">
        <f t="shared" si="146"/>
        <v>190.4880882944471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6.4179487179487182</v>
      </c>
      <c r="BY176" s="13">
        <f>IF('Données projet'!$A$114&gt;35,BY175+BX176-CG175,IF(A176&lt;'Données projet'!$A$114,$BV$205^A176,IF(A176='Données projet'!$A$114,'Données projet'!$B$114,BY175+BX176-CG175)))</f>
        <v>406.63333333333259</v>
      </c>
      <c r="BZ176" s="14">
        <f>BY176*VLOOKUP('Données projet'!$B$12,Paramètres!$A$1:$I$89,3,0)*VLOOKUP('Données projet'!$B$12,Paramètres!$A$1:$I$89,5,0)</f>
        <v>412.32619999999929</v>
      </c>
      <c r="CA176" s="14">
        <f t="shared" si="170"/>
        <v>94.271181910935553</v>
      </c>
      <c r="CB176" s="22">
        <f t="shared" si="171"/>
        <v>882.32377349487808</v>
      </c>
      <c r="CC176" s="62">
        <f t="shared" si="119"/>
        <v>1175.6571068282115</v>
      </c>
      <c r="CD176" s="62">
        <f ca="1">AVERAGE(OFFSET($CC$3,0,0,'Données projet'!$E$12+1,1))-AVERAGE(OFFSET($H$3,0,0,'Données projet'!$E$12+1,1))</f>
        <v>496.71400086768705</v>
      </c>
      <c r="CE176" s="62">
        <f t="shared" si="148"/>
        <v>206.75063396134982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6.4179487179487182</v>
      </c>
      <c r="CT176" s="13">
        <f>IF('Données projet'!$A$140&gt;35,CT175+CS176-DB175,IF(A176&lt;'Données projet'!$A$140,$CQ$205^A176,IF(A176='Données projet'!$A$140,'Données projet'!$B$140,CT175+CS176-DB175)))</f>
        <v>406.63333333333259</v>
      </c>
      <c r="CU176" s="18">
        <f>CT176*VLOOKUP('Données projet'!$B$13,Paramètres!$A$1:$I$89,3,0)*VLOOKUP('Données projet'!$B$13,Paramètres!$A$1:$I$89,5,0)</f>
        <v>437.70011999999923</v>
      </c>
      <c r="CV176" s="14">
        <f t="shared" si="173"/>
        <v>99.379261852448934</v>
      </c>
      <c r="CW176" s="22">
        <f t="shared" si="174"/>
        <v>935.41325672634719</v>
      </c>
      <c r="CX176" s="62">
        <f t="shared" si="122"/>
        <v>1228.7465900596806</v>
      </c>
      <c r="CY176" s="62">
        <f ca="1">AVERAGE(OFFSET($CX$3,0,0,'Données projet'!$E$13+1,1))-AVERAGE(OFFSET($H$3,0,0,'Données projet'!$E$13+1,1))</f>
        <v>524.55238798353344</v>
      </c>
      <c r="CZ176" s="62">
        <f t="shared" si="150"/>
        <v>216.94512104983255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-2.0395418687257919E-13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260.01925143568263</v>
      </c>
      <c r="T177" s="62">
        <f t="shared" si="142"/>
        <v>269.95358755269427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-2.8421709430404007E-13</v>
      </c>
      <c r="AJ177" s="14">
        <f>AI177*VLOOKUP('Données projet'!$B$10,Paramètres!$A$1:$I$89,3,0)*VLOOKUP('Données projet'!$B$10,Paramètres!$A$1:$I$89,5,0)</f>
        <v>-1.69961822393816E-13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289.24721145176682</v>
      </c>
      <c r="AO177" s="62">
        <f t="shared" si="144"/>
        <v>229.06617320689003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2.6602720026858149E-14</v>
      </c>
      <c r="BF177" s="14">
        <f t="shared" si="167"/>
        <v>4.6624771586320878E-13</v>
      </c>
      <c r="BG177" s="22">
        <f t="shared" si="168"/>
        <v>8.583811758418665E-13</v>
      </c>
      <c r="BH177" s="62">
        <f t="shared" si="116"/>
        <v>293.33333333333417</v>
      </c>
      <c r="BI177" s="62">
        <f ca="1">AVERAGE(OFFSET($BH$3,0,0,'Données projet'!$E$11+1,1))-AVERAGE(OFFSET($H$3,0,0,'Données projet'!$E$11+1,1))</f>
        <v>284.72381074796073</v>
      </c>
      <c r="BJ177" s="62">
        <f t="shared" si="146"/>
        <v>190.4880882944471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>
        <f>VLOOKUP(A177,'Données projet'!$A$113:$I$133,2,0)</f>
        <v>413.05128205128204</v>
      </c>
      <c r="BW177" s="13">
        <f>VLOOKUP(A177,'Données projet'!$A$113:$I$133,9,0)</f>
        <v>6.4179487179487182</v>
      </c>
      <c r="BX177" s="13">
        <f t="array" ref="BX177">INDEX(BW:BW,MIN(IF(ISNUMBER(BW177:BW373),ROW(BW177:BW373),"")))</f>
        <v>6.4179487179487182</v>
      </c>
      <c r="BY177" s="13">
        <f>IF('Données projet'!$A$114&gt;35,BY176+BX177-CG176,IF(A177&lt;'Données projet'!$A$114,$BV$205^A177,IF(A177='Données projet'!$A$114,'Données projet'!$B$114,BY176+BX177-CG176)))</f>
        <v>413.05128205128131</v>
      </c>
      <c r="BZ177" s="14">
        <f>BY177*VLOOKUP('Données projet'!$B$12,Paramètres!$A$1:$I$89,3,0)*VLOOKUP('Données projet'!$B$12,Paramètres!$A$1:$I$89,5,0)</f>
        <v>418.83399999999926</v>
      </c>
      <c r="CA177" s="14">
        <f t="shared" si="170"/>
        <v>95.584685107969605</v>
      </c>
      <c r="CB177" s="22">
        <f t="shared" si="171"/>
        <v>895.94587656304566</v>
      </c>
      <c r="CC177" s="62">
        <f t="shared" si="119"/>
        <v>1189.2792098963789</v>
      </c>
      <c r="CD177" s="62">
        <f ca="1">AVERAGE(OFFSET($CC$3,0,0,'Données projet'!$E$12+1,1))-AVERAGE(OFFSET($H$3,0,0,'Données projet'!$E$12+1,1))</f>
        <v>496.71400086768705</v>
      </c>
      <c r="CE177" s="62">
        <f t="shared" si="148"/>
        <v>206.75063396134982</v>
      </c>
      <c r="CF177" s="16">
        <f>IF(ISNA(VLOOKUP(A177,'Données projet'!$A$113:$I$133,3,0)),0,VLOOKUP(A177,'Données projet'!$A$113:$I$133,3,0))</f>
        <v>15</v>
      </c>
      <c r="CG177" s="16">
        <f>IF(ISNA(VLOOKUP(A177,'Données projet'!$A$113:$I$133,4,0)),0,VLOOKUP(A177,'Données projet'!$A$113:$I$133,4,0))</f>
        <v>162.38461538461539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>
        <f>VLOOKUP(A177,'Données projet'!$A$139:$I$159,2,0)</f>
        <v>413.05128205128204</v>
      </c>
      <c r="CR177" s="13">
        <f>VLOOKUP(A177,'Données projet'!$A$139:$I$159,9,0)</f>
        <v>6.4179487179487182</v>
      </c>
      <c r="CS177" s="13">
        <f t="array" ref="CS177">INDEX(CR:CR,MIN(IF(ISNUMBER(CR177:CR373),ROW(CR177:CR373),"")))</f>
        <v>6.4179487179487182</v>
      </c>
      <c r="CT177" s="13">
        <f>IF('Données projet'!$A$140&gt;35,CT176+CS177-DB176,IF(A177&lt;'Données projet'!$A$140,$CQ$205^A177,IF(A177='Données projet'!$A$140,'Données projet'!$B$140,CT176+CS177-DB176)))</f>
        <v>413.05128205128131</v>
      </c>
      <c r="CU177" s="18">
        <f>CT177*VLOOKUP('Données projet'!$B$13,Paramètres!$A$1:$I$89,3,0)*VLOOKUP('Données projet'!$B$13,Paramètres!$A$1:$I$89,5,0)</f>
        <v>444.60839999999916</v>
      </c>
      <c r="CV177" s="14">
        <f t="shared" si="173"/>
        <v>100.76393716377996</v>
      </c>
      <c r="CW177" s="22">
        <f t="shared" si="174"/>
        <v>949.85682056024837</v>
      </c>
      <c r="CX177" s="62">
        <f t="shared" si="122"/>
        <v>1243.1901538935817</v>
      </c>
      <c r="CY177" s="62">
        <f ca="1">AVERAGE(OFFSET($CX$3,0,0,'Données projet'!$E$13+1,1))-AVERAGE(OFFSET($H$3,0,0,'Données projet'!$E$13+1,1))</f>
        <v>524.55238798353344</v>
      </c>
      <c r="CZ177" s="62">
        <f t="shared" si="150"/>
        <v>216.94512104983255</v>
      </c>
      <c r="DA177" s="16">
        <f>IF(ISNA(VLOOKUP(A177,'Données projet'!$A$139:$I$159,3,0)),0,VLOOKUP(A177,'Données projet'!$A$139:$I$159,3,0))</f>
        <v>15</v>
      </c>
      <c r="DB177" s="16">
        <f>IF(ISNA(VLOOKUP(A177,'Données projet'!$A$139:$I$159,4,0)),0,VLOOKUP(A177,'Données projet'!$A$139:$I$159,4,0))</f>
        <v>162.38461538461539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-2.0395418687257919E-13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260.01925143568263</v>
      </c>
      <c r="T178" s="62">
        <f t="shared" si="142"/>
        <v>269.95358755269427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-2.8421709430404007E-13</v>
      </c>
      <c r="AJ178" s="14">
        <f>AI178*VLOOKUP('Données projet'!$B$10,Paramètres!$A$1:$I$89,3,0)*VLOOKUP('Données projet'!$B$10,Paramètres!$A$1:$I$89,5,0)</f>
        <v>-1.69961822393816E-13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289.24721145176682</v>
      </c>
      <c r="AO178" s="62">
        <f t="shared" si="144"/>
        <v>229.06617320689003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2.6602720026858149E-14</v>
      </c>
      <c r="BF178" s="14">
        <f t="shared" si="167"/>
        <v>4.6624771586320878E-13</v>
      </c>
      <c r="BG178" s="22">
        <f t="shared" si="168"/>
        <v>8.583811758418665E-13</v>
      </c>
      <c r="BH178" s="62">
        <f t="shared" si="116"/>
        <v>293.33333333333417</v>
      </c>
      <c r="BI178" s="62">
        <f ca="1">AVERAGE(OFFSET($BH$3,0,0,'Données projet'!$E$11+1,1))-AVERAGE(OFFSET($H$3,0,0,'Données projet'!$E$11+1,1))</f>
        <v>284.72381074796073</v>
      </c>
      <c r="BJ178" s="62">
        <f t="shared" si="146"/>
        <v>190.4880882944471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4.0982905982905988</v>
      </c>
      <c r="BY178" s="13">
        <f>IF('Données projet'!$A$114&gt;35,BY177+BX178-CG177,IF(A178&lt;'Données projet'!$A$114,$BV$205^A178,IF(A178='Données projet'!$A$114,'Données projet'!$B$114,BY177+BX178-CG177)))</f>
        <v>254.76495726495651</v>
      </c>
      <c r="BZ178" s="14">
        <f>BY178*VLOOKUP('Données projet'!$B$12,Paramètres!$A$1:$I$89,3,0)*VLOOKUP('Données projet'!$B$12,Paramètres!$A$1:$I$89,5,0)</f>
        <v>258.33166666666591</v>
      </c>
      <c r="CA178" s="14">
        <f t="shared" si="170"/>
        <v>62.366623583413293</v>
      </c>
      <c r="CB178" s="22">
        <f t="shared" si="171"/>
        <v>558.54952218555457</v>
      </c>
      <c r="CC178" s="62">
        <f t="shared" si="119"/>
        <v>851.88285551888794</v>
      </c>
      <c r="CD178" s="62">
        <f ca="1">AVERAGE(OFFSET($CC$3,0,0,'Données projet'!$E$12+1,1))-AVERAGE(OFFSET($H$3,0,0,'Données projet'!$E$12+1,1))</f>
        <v>496.71400086768705</v>
      </c>
      <c r="CE178" s="62">
        <f t="shared" si="148"/>
        <v>206.75063396134982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4.0982905982905988</v>
      </c>
      <c r="CT178" s="13">
        <f>IF('Données projet'!$A$140&gt;35,CT177+CS178-DB177,IF(A178&lt;'Données projet'!$A$140,$CQ$205^A178,IF(A178='Données projet'!$A$140,'Données projet'!$B$140,CT177+CS178-DB177)))</f>
        <v>254.76495726495651</v>
      </c>
      <c r="CU178" s="18">
        <f>CT178*VLOOKUP('Données projet'!$B$13,Paramètres!$A$1:$I$89,3,0)*VLOOKUP('Données projet'!$B$13,Paramètres!$A$1:$I$89,5,0)</f>
        <v>274.22899999999913</v>
      </c>
      <c r="CV178" s="14">
        <f t="shared" si="173"/>
        <v>65.745956402718804</v>
      </c>
      <c r="CW178" s="22">
        <f t="shared" si="174"/>
        <v>592.12304906806696</v>
      </c>
      <c r="CX178" s="62">
        <f t="shared" si="122"/>
        <v>885.45638240140033</v>
      </c>
      <c r="CY178" s="62">
        <f ca="1">AVERAGE(OFFSET($CX$3,0,0,'Données projet'!$E$13+1,1))-AVERAGE(OFFSET($H$3,0,0,'Données projet'!$E$13+1,1))</f>
        <v>524.55238798353344</v>
      </c>
      <c r="CZ178" s="62">
        <f t="shared" si="150"/>
        <v>216.94512104983255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-2.0395418687257919E-13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260.01925143568263</v>
      </c>
      <c r="T179" s="62">
        <f t="shared" si="142"/>
        <v>269.95358755269427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-2.8421709430404007E-13</v>
      </c>
      <c r="AJ179" s="14">
        <f>AI179*VLOOKUP('Données projet'!$B$10,Paramètres!$A$1:$I$89,3,0)*VLOOKUP('Données projet'!$B$10,Paramètres!$A$1:$I$89,5,0)</f>
        <v>-1.69961822393816E-13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289.24721145176682</v>
      </c>
      <c r="AO179" s="62">
        <f t="shared" si="144"/>
        <v>229.06617320689003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2.6602720026858149E-14</v>
      </c>
      <c r="BF179" s="14">
        <f t="shared" si="167"/>
        <v>4.6624771586320878E-13</v>
      </c>
      <c r="BG179" s="22">
        <f t="shared" si="168"/>
        <v>8.583811758418665E-13</v>
      </c>
      <c r="BH179" s="62">
        <f t="shared" si="116"/>
        <v>293.33333333333417</v>
      </c>
      <c r="BI179" s="62">
        <f ca="1">AVERAGE(OFFSET($BH$3,0,0,'Données projet'!$E$11+1,1))-AVERAGE(OFFSET($H$3,0,0,'Données projet'!$E$11+1,1))</f>
        <v>284.72381074796073</v>
      </c>
      <c r="BJ179" s="62">
        <f t="shared" si="146"/>
        <v>190.4880882944471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4.0982905982905988</v>
      </c>
      <c r="BY179" s="13">
        <f>IF('Données projet'!$A$114&gt;35,BY178+BX179-CG178,IF(A179&lt;'Données projet'!$A$114,$BV$205^A179,IF(A179='Données projet'!$A$114,'Données projet'!$B$114,BY178+BX179-CG178)))</f>
        <v>258.86324786324712</v>
      </c>
      <c r="BZ179" s="14">
        <f>BY179*VLOOKUP('Données projet'!$B$12,Paramètres!$A$1:$I$89,3,0)*VLOOKUP('Données projet'!$B$12,Paramètres!$A$1:$I$89,5,0)</f>
        <v>262.48733333333263</v>
      </c>
      <c r="CA179" s="14">
        <f t="shared" si="170"/>
        <v>63.252282748901948</v>
      </c>
      <c r="CB179" s="22">
        <f t="shared" si="171"/>
        <v>567.32983134322524</v>
      </c>
      <c r="CC179" s="62">
        <f t="shared" si="119"/>
        <v>860.66316467655861</v>
      </c>
      <c r="CD179" s="62">
        <f ca="1">AVERAGE(OFFSET($CC$3,0,0,'Données projet'!$E$12+1,1))-AVERAGE(OFFSET($H$3,0,0,'Données projet'!$E$12+1,1))</f>
        <v>496.71400086768705</v>
      </c>
      <c r="CE179" s="62">
        <f t="shared" si="148"/>
        <v>206.75063396134982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4.0982905982905988</v>
      </c>
      <c r="CT179" s="13">
        <f>IF('Données projet'!$A$140&gt;35,CT178+CS179-DB178,IF(A179&lt;'Données projet'!$A$140,$CQ$205^A179,IF(A179='Données projet'!$A$140,'Données projet'!$B$140,CT178+CS179-DB178)))</f>
        <v>258.86324786324712</v>
      </c>
      <c r="CU179" s="18">
        <f>CT179*VLOOKUP('Données projet'!$B$13,Paramètres!$A$1:$I$89,3,0)*VLOOKUP('Données projet'!$B$13,Paramètres!$A$1:$I$89,5,0)</f>
        <v>278.6403999999992</v>
      </c>
      <c r="CV179" s="14">
        <f t="shared" si="173"/>
        <v>66.679604972037396</v>
      </c>
      <c r="CW179" s="22">
        <f t="shared" si="174"/>
        <v>601.43234199296364</v>
      </c>
      <c r="CX179" s="62">
        <f t="shared" si="122"/>
        <v>894.76567532629701</v>
      </c>
      <c r="CY179" s="62">
        <f ca="1">AVERAGE(OFFSET($CX$3,0,0,'Données projet'!$E$13+1,1))-AVERAGE(OFFSET($H$3,0,0,'Données projet'!$E$13+1,1))</f>
        <v>524.55238798353344</v>
      </c>
      <c r="CZ179" s="62">
        <f t="shared" si="150"/>
        <v>216.94512104983255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-2.0395418687257919E-13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260.01925143568263</v>
      </c>
      <c r="T180" s="62">
        <f t="shared" si="142"/>
        <v>269.95358755269427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-2.8421709430404007E-13</v>
      </c>
      <c r="AJ180" s="14">
        <f>AI180*VLOOKUP('Données projet'!$B$10,Paramètres!$A$1:$I$89,3,0)*VLOOKUP('Données projet'!$B$10,Paramètres!$A$1:$I$89,5,0)</f>
        <v>-1.69961822393816E-13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289.24721145176682</v>
      </c>
      <c r="AO180" s="62">
        <f t="shared" si="144"/>
        <v>229.06617320689003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2.6602720026858149E-14</v>
      </c>
      <c r="BF180" s="14">
        <f t="shared" si="167"/>
        <v>4.6624771586320878E-13</v>
      </c>
      <c r="BG180" s="22">
        <f t="shared" si="168"/>
        <v>8.583811758418665E-13</v>
      </c>
      <c r="BH180" s="62">
        <f t="shared" si="116"/>
        <v>293.33333333333417</v>
      </c>
      <c r="BI180" s="62">
        <f ca="1">AVERAGE(OFFSET($BH$3,0,0,'Données projet'!$E$11+1,1))-AVERAGE(OFFSET($H$3,0,0,'Données projet'!$E$11+1,1))</f>
        <v>284.72381074796073</v>
      </c>
      <c r="BJ180" s="62">
        <f t="shared" si="146"/>
        <v>190.4880882944471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>
        <f>VLOOKUP(A180,'Données projet'!$A$113:$I$133,2,0)</f>
        <v>262.96153846153845</v>
      </c>
      <c r="BW180" s="13">
        <f>VLOOKUP(A180,'Données projet'!$A$113:$I$133,9,0)</f>
        <v>4.0982905982905988</v>
      </c>
      <c r="BX180" s="13">
        <f t="array" ref="BX180">INDEX(BW:BW,MIN(IF(ISNUMBER(BW180:BW376),ROW(BW180:BW376),"")))</f>
        <v>4.0982905982905988</v>
      </c>
      <c r="BY180" s="13">
        <f>IF('Données projet'!$A$114&gt;35,BY179+BX180-CG179,IF(A180&lt;'Données projet'!$A$114,$BV$205^A180,IF(A180='Données projet'!$A$114,'Données projet'!$B$114,BY179+BX180-CG179)))</f>
        <v>262.96153846153771</v>
      </c>
      <c r="BZ180" s="14">
        <f>BY180*VLOOKUP('Données projet'!$B$12,Paramètres!$A$1:$I$89,3,0)*VLOOKUP('Données projet'!$B$12,Paramètres!$A$1:$I$89,5,0)</f>
        <v>266.64299999999929</v>
      </c>
      <c r="CA180" s="14">
        <f t="shared" si="170"/>
        <v>64.136311225794856</v>
      </c>
      <c r="CB180" s="22">
        <f t="shared" si="171"/>
        <v>576.10730038492477</v>
      </c>
      <c r="CC180" s="62">
        <f t="shared" si="119"/>
        <v>869.44063371825814</v>
      </c>
      <c r="CD180" s="62">
        <f ca="1">AVERAGE(OFFSET($CC$3,0,0,'Données projet'!$E$12+1,1))-AVERAGE(OFFSET($H$3,0,0,'Données projet'!$E$12+1,1))</f>
        <v>496.71400086768705</v>
      </c>
      <c r="CE180" s="62">
        <f t="shared" si="148"/>
        <v>206.75063396134982</v>
      </c>
      <c r="CF180" s="16">
        <f>IF(ISNA(VLOOKUP(A180,'Données projet'!$A$113:$I$133,3,0)),0,VLOOKUP(A180,'Données projet'!$A$113:$I$133,3,0))</f>
        <v>16</v>
      </c>
      <c r="CG180" s="16">
        <f>IF(ISNA(VLOOKUP(A180,'Données projet'!$A$113:$I$133,4,0)),0,VLOOKUP(A180,'Données projet'!$A$113:$I$133,4,0))</f>
        <v>87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>
        <f>VLOOKUP(A180,'Données projet'!$A$139:$I$159,2,0)</f>
        <v>262.96153846153845</v>
      </c>
      <c r="CR180" s="13">
        <f>VLOOKUP(A180,'Données projet'!$A$139:$I$159,9,0)</f>
        <v>4.0982905982905988</v>
      </c>
      <c r="CS180" s="13">
        <f t="array" ref="CS180">INDEX(CR:CR,MIN(IF(ISNUMBER(CR180:CR376),ROW(CR180:CR376),"")))</f>
        <v>4.0982905982905988</v>
      </c>
      <c r="CT180" s="13">
        <f>IF('Données projet'!$A$140&gt;35,CT179+CS180-DB179,IF(A180&lt;'Données projet'!$A$140,$CQ$205^A180,IF(A180='Données projet'!$A$140,'Données projet'!$B$140,CT179+CS180-DB179)))</f>
        <v>262.96153846153771</v>
      </c>
      <c r="CU180" s="18">
        <f>CT180*VLOOKUP('Données projet'!$B$13,Paramètres!$A$1:$I$89,3,0)*VLOOKUP('Données projet'!$B$13,Paramètres!$A$1:$I$89,5,0)</f>
        <v>283.05179999999916</v>
      </c>
      <c r="CV180" s="14">
        <f t="shared" si="173"/>
        <v>67.611534493968747</v>
      </c>
      <c r="CW180" s="22">
        <f t="shared" si="174"/>
        <v>610.73864091032749</v>
      </c>
      <c r="CX180" s="62">
        <f t="shared" si="122"/>
        <v>904.07197424366086</v>
      </c>
      <c r="CY180" s="62">
        <f ca="1">AVERAGE(OFFSET($CX$3,0,0,'Données projet'!$E$13+1,1))-AVERAGE(OFFSET($H$3,0,0,'Données projet'!$E$13+1,1))</f>
        <v>524.55238798353344</v>
      </c>
      <c r="CZ180" s="62">
        <f t="shared" si="150"/>
        <v>216.94512104983255</v>
      </c>
      <c r="DA180" s="16">
        <f>IF(ISNA(VLOOKUP(A180,'Données projet'!$A$139:$I$159,3,0)),0,VLOOKUP(A180,'Données projet'!$A$139:$I$159,3,0))</f>
        <v>16</v>
      </c>
      <c r="DB180" s="16">
        <f>IF(ISNA(VLOOKUP(A180,'Données projet'!$A$139:$I$159,4,0)),0,VLOOKUP(A180,'Données projet'!$A$139:$I$159,4,0))</f>
        <v>87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-2.0395418687257919E-13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260.01925143568263</v>
      </c>
      <c r="T181" s="62">
        <f t="shared" si="142"/>
        <v>269.95358755269427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-2.8421709430404007E-13</v>
      </c>
      <c r="AJ181" s="14">
        <f>AI181*VLOOKUP('Données projet'!$B$10,Paramètres!$A$1:$I$89,3,0)*VLOOKUP('Données projet'!$B$10,Paramètres!$A$1:$I$89,5,0)</f>
        <v>-1.69961822393816E-13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289.24721145176682</v>
      </c>
      <c r="AO181" s="62">
        <f t="shared" si="144"/>
        <v>229.06617320689003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2.6602720026858149E-14</v>
      </c>
      <c r="BF181" s="14">
        <f t="shared" si="167"/>
        <v>4.6624771586320878E-13</v>
      </c>
      <c r="BG181" s="22">
        <f t="shared" si="168"/>
        <v>8.583811758418665E-13</v>
      </c>
      <c r="BH181" s="62">
        <f t="shared" si="116"/>
        <v>293.33333333333417</v>
      </c>
      <c r="BI181" s="62">
        <f ca="1">AVERAGE(OFFSET($BH$3,0,0,'Données projet'!$E$11+1,1))-AVERAGE(OFFSET($H$3,0,0,'Données projet'!$E$11+1,1))</f>
        <v>284.72381074796073</v>
      </c>
      <c r="BJ181" s="62">
        <f t="shared" si="146"/>
        <v>190.4880882944471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2.5149572649572653</v>
      </c>
      <c r="BY181" s="13">
        <f>IF('Données projet'!$A$114&gt;35,BY180+BX181-CG180,IF(A181&lt;'Données projet'!$A$114,$BV$205^A181,IF(A181='Données projet'!$A$114,'Données projet'!$B$114,BY180+BX181-CG180)))</f>
        <v>178.47649572649499</v>
      </c>
      <c r="BZ181" s="14">
        <f>BY181*VLOOKUP('Données projet'!$B$12,Paramètres!$A$1:$I$89,3,0)*VLOOKUP('Données projet'!$B$12,Paramètres!$A$1:$I$89,5,0)</f>
        <v>180.97516666666593</v>
      </c>
      <c r="CA181" s="14">
        <f t="shared" si="170"/>
        <v>45.539074513771979</v>
      </c>
      <c r="CB181" s="22">
        <f t="shared" si="171"/>
        <v>394.51230338926274</v>
      </c>
      <c r="CC181" s="62">
        <f t="shared" si="119"/>
        <v>687.84563672259605</v>
      </c>
      <c r="CD181" s="62">
        <f ca="1">AVERAGE(OFFSET($CC$3,0,0,'Données projet'!$E$12+1,1))-AVERAGE(OFFSET($H$3,0,0,'Données projet'!$E$12+1,1))</f>
        <v>496.71400086768705</v>
      </c>
      <c r="CE181" s="62">
        <f t="shared" si="148"/>
        <v>206.75063396134982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2.5149572649572653</v>
      </c>
      <c r="CT181" s="13">
        <f>IF('Données projet'!$A$140&gt;35,CT180+CS181-DB180,IF(A181&lt;'Données projet'!$A$140,$CQ$205^A181,IF(A181='Données projet'!$A$140,'Données projet'!$B$140,CT180+CS181-DB180)))</f>
        <v>178.47649572649499</v>
      </c>
      <c r="CU181" s="18">
        <f>CT181*VLOOKUP('Données projet'!$B$13,Paramètres!$A$1:$I$89,3,0)*VLOOKUP('Données projet'!$B$13,Paramètres!$A$1:$I$89,5,0)</f>
        <v>192.1120999999992</v>
      </c>
      <c r="CV181" s="14">
        <f t="shared" si="173"/>
        <v>48.006607309729155</v>
      </c>
      <c r="CW181" s="22">
        <f t="shared" si="174"/>
        <v>418.20674856444356</v>
      </c>
      <c r="CX181" s="62">
        <f t="shared" si="122"/>
        <v>711.54008189777687</v>
      </c>
      <c r="CY181" s="62">
        <f ca="1">AVERAGE(OFFSET($CX$3,0,0,'Données projet'!$E$13+1,1))-AVERAGE(OFFSET($H$3,0,0,'Données projet'!$E$13+1,1))</f>
        <v>524.55238798353344</v>
      </c>
      <c r="CZ181" s="62">
        <f t="shared" si="150"/>
        <v>216.94512104983255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-2.0395418687257919E-13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260.01925143568263</v>
      </c>
      <c r="T182" s="62">
        <f t="shared" si="142"/>
        <v>269.95358755269427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-2.8421709430404007E-13</v>
      </c>
      <c r="AJ182" s="14">
        <f>AI182*VLOOKUP('Données projet'!$B$10,Paramètres!$A$1:$I$89,3,0)*VLOOKUP('Données projet'!$B$10,Paramètres!$A$1:$I$89,5,0)</f>
        <v>-1.69961822393816E-13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289.24721145176682</v>
      </c>
      <c r="AO182" s="62">
        <f t="shared" si="144"/>
        <v>229.06617320689003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2.6602720026858149E-14</v>
      </c>
      <c r="BF182" s="14">
        <f t="shared" si="167"/>
        <v>4.6624771586320878E-13</v>
      </c>
      <c r="BG182" s="22">
        <f t="shared" si="168"/>
        <v>8.583811758418665E-13</v>
      </c>
      <c r="BH182" s="62">
        <f t="shared" si="116"/>
        <v>293.33333333333417</v>
      </c>
      <c r="BI182" s="62">
        <f ca="1">AVERAGE(OFFSET($BH$3,0,0,'Données projet'!$E$11+1,1))-AVERAGE(OFFSET($H$3,0,0,'Données projet'!$E$11+1,1))</f>
        <v>284.72381074796073</v>
      </c>
      <c r="BJ182" s="62">
        <f t="shared" si="146"/>
        <v>190.4880882944471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2.5149572649572653</v>
      </c>
      <c r="BY182" s="13">
        <f>IF('Données projet'!$A$114&gt;35,BY181+BX182-CG181,IF(A182&lt;'Données projet'!$A$114,$BV$205^A182,IF(A182='Données projet'!$A$114,'Données projet'!$B$114,BY181+BX182-CG181)))</f>
        <v>180.99145299145226</v>
      </c>
      <c r="BZ182" s="14">
        <f>BY182*VLOOKUP('Données projet'!$B$12,Paramètres!$A$1:$I$89,3,0)*VLOOKUP('Données projet'!$B$12,Paramètres!$A$1:$I$89,5,0)</f>
        <v>183.52533333333261</v>
      </c>
      <c r="CA182" s="14">
        <f t="shared" si="170"/>
        <v>46.105620316753118</v>
      </c>
      <c r="CB182" s="22">
        <f t="shared" si="171"/>
        <v>399.94057760723263</v>
      </c>
      <c r="CC182" s="62">
        <f t="shared" si="119"/>
        <v>693.27391094056588</v>
      </c>
      <c r="CD182" s="62">
        <f ca="1">AVERAGE(OFFSET($CC$3,0,0,'Données projet'!$E$12+1,1))-AVERAGE(OFFSET($H$3,0,0,'Données projet'!$E$12+1,1))</f>
        <v>496.71400086768705</v>
      </c>
      <c r="CE182" s="62">
        <f t="shared" si="148"/>
        <v>206.75063396134982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2.5149572649572653</v>
      </c>
      <c r="CT182" s="13">
        <f>IF('Données projet'!$A$140&gt;35,CT181+CS182-DB181,IF(A182&lt;'Données projet'!$A$140,$CQ$205^A182,IF(A182='Données projet'!$A$140,'Données projet'!$B$140,CT181+CS182-DB181)))</f>
        <v>180.99145299145226</v>
      </c>
      <c r="CU182" s="18">
        <f>CT182*VLOOKUP('Données projet'!$B$13,Paramètres!$A$1:$I$89,3,0)*VLOOKUP('Données projet'!$B$13,Paramètres!$A$1:$I$89,5,0)</f>
        <v>194.8191999999992</v>
      </c>
      <c r="CV182" s="14">
        <f t="shared" si="173"/>
        <v>48.603851372703375</v>
      </c>
      <c r="CW182" s="22">
        <f t="shared" si="174"/>
        <v>423.96181447412363</v>
      </c>
      <c r="CX182" s="62">
        <f t="shared" si="122"/>
        <v>717.29514780745694</v>
      </c>
      <c r="CY182" s="62">
        <f ca="1">AVERAGE(OFFSET($CX$3,0,0,'Données projet'!$E$13+1,1))-AVERAGE(OFFSET($H$3,0,0,'Données projet'!$E$13+1,1))</f>
        <v>524.55238798353344</v>
      </c>
      <c r="CZ182" s="62">
        <f t="shared" si="150"/>
        <v>216.94512104983255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-2.0395418687257919E-13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260.01925143568263</v>
      </c>
      <c r="T183" s="62">
        <f t="shared" si="142"/>
        <v>269.95358755269427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-2.8421709430404007E-13</v>
      </c>
      <c r="AJ183" s="14">
        <f>AI183*VLOOKUP('Données projet'!$B$10,Paramètres!$A$1:$I$89,3,0)*VLOOKUP('Données projet'!$B$10,Paramètres!$A$1:$I$89,5,0)</f>
        <v>-1.69961822393816E-13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289.24721145176682</v>
      </c>
      <c r="AO183" s="62">
        <f t="shared" si="144"/>
        <v>229.06617320689003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2.6602720026858149E-14</v>
      </c>
      <c r="BF183" s="14">
        <f t="shared" si="167"/>
        <v>4.6624771586320878E-13</v>
      </c>
      <c r="BG183" s="22">
        <f t="shared" si="168"/>
        <v>8.583811758418665E-13</v>
      </c>
      <c r="BH183" s="62">
        <f t="shared" si="116"/>
        <v>293.33333333333417</v>
      </c>
      <c r="BI183" s="62">
        <f ca="1">AVERAGE(OFFSET($BH$3,0,0,'Données projet'!$E$11+1,1))-AVERAGE(OFFSET($H$3,0,0,'Données projet'!$E$11+1,1))</f>
        <v>284.72381074796073</v>
      </c>
      <c r="BJ183" s="62">
        <f t="shared" si="146"/>
        <v>190.4880882944471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>
        <f>VLOOKUP(A183,'Données projet'!$A$113:$I$133,2,0)</f>
        <v>183.50641025641025</v>
      </c>
      <c r="BW183" s="13">
        <f>VLOOKUP(A183,'Données projet'!$A$113:$I$133,9,0)</f>
        <v>2.5149572649572653</v>
      </c>
      <c r="BX183" s="13">
        <f t="array" ref="BX183">INDEX(BW:BW,MIN(IF(ISNUMBER(BW183:BW379),ROW(BW183:BW379),"")))</f>
        <v>2.5149572649572653</v>
      </c>
      <c r="BY183" s="13">
        <f>IF('Données projet'!$A$114&gt;35,BY182+BX183-CG182,IF(A183&lt;'Données projet'!$A$114,$BV$205^A183,IF(A183='Données projet'!$A$114,'Données projet'!$B$114,BY182+BX183-CG182)))</f>
        <v>183.50641025640954</v>
      </c>
      <c r="BZ183" s="14">
        <f>BY183*VLOOKUP('Données projet'!$B$12,Paramètres!$A$1:$I$89,3,0)*VLOOKUP('Données projet'!$B$12,Paramètres!$A$1:$I$89,5,0)</f>
        <v>186.07549999999927</v>
      </c>
      <c r="CA183" s="14">
        <f t="shared" si="170"/>
        <v>46.67125048100236</v>
      </c>
      <c r="CB183" s="22">
        <f t="shared" si="171"/>
        <v>405.36725708774452</v>
      </c>
      <c r="CC183" s="62">
        <f t="shared" si="119"/>
        <v>698.70059042107778</v>
      </c>
      <c r="CD183" s="62">
        <f ca="1">AVERAGE(OFFSET($CC$3,0,0,'Données projet'!$E$12+1,1))-AVERAGE(OFFSET($H$3,0,0,'Données projet'!$E$12+1,1))</f>
        <v>496.71400086768705</v>
      </c>
      <c r="CE183" s="62">
        <f t="shared" si="148"/>
        <v>206.75063396134982</v>
      </c>
      <c r="CF183" s="16">
        <f>IF(ISNA(VLOOKUP(A183,'Données projet'!$A$113:$I$133,3,0)),0,VLOOKUP(A183,'Données projet'!$A$113:$I$133,3,0))</f>
        <v>17</v>
      </c>
      <c r="CG183" s="16">
        <f>IF(ISNA(VLOOKUP(A183,'Données projet'!$A$113:$I$133,4,0)),0,VLOOKUP(A183,'Données projet'!$A$113:$I$133,4,0))</f>
        <v>58.794871794871796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>
        <f>VLOOKUP(A183,'Données projet'!$A$139:$I$159,2,0)</f>
        <v>183.50641025641025</v>
      </c>
      <c r="CR183" s="13">
        <f>VLOOKUP(A183,'Données projet'!$A$139:$I$159,9,0)</f>
        <v>2.5149572649572653</v>
      </c>
      <c r="CS183" s="13">
        <f t="array" ref="CS183">INDEX(CR:CR,MIN(IF(ISNUMBER(CR183:CR379),ROW(CR183:CR379),"")))</f>
        <v>2.5149572649572653</v>
      </c>
      <c r="CT183" s="13">
        <f>IF('Données projet'!$A$140&gt;35,CT182+CS183-DB182,IF(A183&lt;'Données projet'!$A$140,$CQ$205^A183,IF(A183='Données projet'!$A$140,'Données projet'!$B$140,CT182+CS183-DB182)))</f>
        <v>183.50641025640954</v>
      </c>
      <c r="CU183" s="18">
        <f>CT183*VLOOKUP('Données projet'!$B$13,Paramètres!$A$1:$I$89,3,0)*VLOOKUP('Données projet'!$B$13,Paramètres!$A$1:$I$89,5,0)</f>
        <v>197.52629999999922</v>
      </c>
      <c r="CV183" s="14">
        <f t="shared" si="173"/>
        <v>49.200130183100342</v>
      </c>
      <c r="CW183" s="22">
        <f t="shared" si="174"/>
        <v>429.71519923556508</v>
      </c>
      <c r="CX183" s="62">
        <f t="shared" si="122"/>
        <v>723.04853256889839</v>
      </c>
      <c r="CY183" s="62">
        <f ca="1">AVERAGE(OFFSET($CX$3,0,0,'Données projet'!$E$13+1,1))-AVERAGE(OFFSET($H$3,0,0,'Données projet'!$E$13+1,1))</f>
        <v>524.55238798353344</v>
      </c>
      <c r="CZ183" s="62">
        <f t="shared" si="150"/>
        <v>216.94512104983255</v>
      </c>
      <c r="DA183" s="16">
        <f>IF(ISNA(VLOOKUP(A183,'Données projet'!$A$139:$I$159,3,0)),0,VLOOKUP(A183,'Données projet'!$A$139:$I$159,3,0))</f>
        <v>17</v>
      </c>
      <c r="DB183" s="16">
        <f>IF(ISNA(VLOOKUP(A183,'Données projet'!$A$139:$I$159,4,0)),0,VLOOKUP(A183,'Données projet'!$A$139:$I$159,4,0))</f>
        <v>58.794871794871796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-2.0395418687257919E-13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260.01925143568263</v>
      </c>
      <c r="T184" s="62">
        <f t="shared" si="142"/>
        <v>269.95358755269427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-2.8421709430404007E-13</v>
      </c>
      <c r="AJ184" s="14">
        <f>AI184*VLOOKUP('Données projet'!$B$10,Paramètres!$A$1:$I$89,3,0)*VLOOKUP('Données projet'!$B$10,Paramètres!$A$1:$I$89,5,0)</f>
        <v>-1.69961822393816E-13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289.24721145176682</v>
      </c>
      <c r="AO184" s="62">
        <f t="shared" si="144"/>
        <v>229.06617320689003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2.6602720026858149E-14</v>
      </c>
      <c r="BF184" s="14">
        <f t="shared" si="167"/>
        <v>4.6624771586320878E-13</v>
      </c>
      <c r="BG184" s="22">
        <f t="shared" si="168"/>
        <v>8.583811758418665E-13</v>
      </c>
      <c r="BH184" s="62">
        <f t="shared" si="116"/>
        <v>293.33333333333417</v>
      </c>
      <c r="BI184" s="62">
        <f ca="1">AVERAGE(OFFSET($BH$3,0,0,'Données projet'!$E$11+1,1))-AVERAGE(OFFSET($H$3,0,0,'Données projet'!$E$11+1,1))</f>
        <v>284.72381074796073</v>
      </c>
      <c r="BJ184" s="62">
        <f t="shared" si="146"/>
        <v>190.4880882944471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1.5384615384615377</v>
      </c>
      <c r="BY184" s="13">
        <f>IF('Données projet'!$A$114&gt;35,BY183+BX184-CG183,IF(A184&lt;'Données projet'!$A$114,$BV$205^A184,IF(A184='Données projet'!$A$114,'Données projet'!$B$114,BY183+BX184-CG183)))</f>
        <v>126.24999999999929</v>
      </c>
      <c r="BZ184" s="14">
        <f>BY184*VLOOKUP('Données projet'!$B$12,Paramètres!$A$1:$I$89,3,0)*VLOOKUP('Données projet'!$B$12,Paramètres!$A$1:$I$89,5,0)</f>
        <v>128.0174999999993</v>
      </c>
      <c r="CA184" s="14">
        <f t="shared" si="170"/>
        <v>33.537852879331382</v>
      </c>
      <c r="CB184" s="22">
        <f t="shared" si="171"/>
        <v>281.37557293150093</v>
      </c>
      <c r="CC184" s="62">
        <f t="shared" si="119"/>
        <v>574.70890626483424</v>
      </c>
      <c r="CD184" s="62">
        <f ca="1">AVERAGE(OFFSET($CC$3,0,0,'Données projet'!$E$12+1,1))-AVERAGE(OFFSET($H$3,0,0,'Données projet'!$E$12+1,1))</f>
        <v>496.71400086768705</v>
      </c>
      <c r="CE184" s="62">
        <f t="shared" si="148"/>
        <v>206.75063396134982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1.5384615384615377</v>
      </c>
      <c r="CT184" s="13">
        <f>IF('Données projet'!$A$140&gt;35,CT183+CS184-DB183,IF(A184&lt;'Données projet'!$A$140,$CQ$205^A184,IF(A184='Données projet'!$A$140,'Données projet'!$B$140,CT183+CS184-DB183)))</f>
        <v>126.24999999999929</v>
      </c>
      <c r="CU184" s="18">
        <f>CT184*VLOOKUP('Données projet'!$B$13,Paramètres!$A$1:$I$89,3,0)*VLOOKUP('Données projet'!$B$13,Paramètres!$A$1:$I$89,5,0)</f>
        <v>135.89549999999923</v>
      </c>
      <c r="CV184" s="14">
        <f t="shared" si="173"/>
        <v>35.355099996654985</v>
      </c>
      <c r="CW184" s="22">
        <f t="shared" si="174"/>
        <v>298.26146166083942</v>
      </c>
      <c r="CX184" s="62">
        <f t="shared" si="122"/>
        <v>591.59479499417273</v>
      </c>
      <c r="CY184" s="62">
        <f ca="1">AVERAGE(OFFSET($CX$3,0,0,'Données projet'!$E$13+1,1))-AVERAGE(OFFSET($H$3,0,0,'Données projet'!$E$13+1,1))</f>
        <v>524.55238798353344</v>
      </c>
      <c r="CZ184" s="62">
        <f t="shared" si="150"/>
        <v>216.94512104983255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-2.0395418687257919E-13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260.01925143568263</v>
      </c>
      <c r="T185" s="62">
        <f t="shared" si="142"/>
        <v>269.95358755269427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-2.8421709430404007E-13</v>
      </c>
      <c r="AJ185" s="14">
        <f>AI185*VLOOKUP('Données projet'!$B$10,Paramètres!$A$1:$I$89,3,0)*VLOOKUP('Données projet'!$B$10,Paramètres!$A$1:$I$89,5,0)</f>
        <v>-1.69961822393816E-13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289.24721145176682</v>
      </c>
      <c r="AO185" s="62">
        <f t="shared" si="144"/>
        <v>229.06617320689003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2.6602720026858149E-14</v>
      </c>
      <c r="BF185" s="14">
        <f t="shared" si="167"/>
        <v>4.6624771586320878E-13</v>
      </c>
      <c r="BG185" s="22">
        <f t="shared" si="168"/>
        <v>8.583811758418665E-13</v>
      </c>
      <c r="BH185" s="62">
        <f t="shared" si="116"/>
        <v>293.33333333333417</v>
      </c>
      <c r="BI185" s="62">
        <f ca="1">AVERAGE(OFFSET($BH$3,0,0,'Données projet'!$E$11+1,1))-AVERAGE(OFFSET($H$3,0,0,'Données projet'!$E$11+1,1))</f>
        <v>284.72381074796073</v>
      </c>
      <c r="BJ185" s="62">
        <f t="shared" si="146"/>
        <v>190.4880882944471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1.5384615384615377</v>
      </c>
      <c r="BY185" s="13">
        <f>IF('Données projet'!$A$114&gt;35,BY184+BX185-CG184,IF(A185&lt;'Données projet'!$A$114,$BV$205^A185,IF(A185='Données projet'!$A$114,'Données projet'!$B$114,BY184+BX185-CG184)))</f>
        <v>127.78846153846082</v>
      </c>
      <c r="BZ185" s="14">
        <f>BY185*VLOOKUP('Données projet'!$B$12,Paramètres!$A$1:$I$89,3,0)*VLOOKUP('Données projet'!$B$12,Paramètres!$A$1:$I$89,5,0)</f>
        <v>129.57749999999928</v>
      </c>
      <c r="CA185" s="14">
        <f t="shared" si="170"/>
        <v>33.898713498670432</v>
      </c>
      <c r="CB185" s="22">
        <f t="shared" si="171"/>
        <v>284.72107184351643</v>
      </c>
      <c r="CC185" s="62">
        <f t="shared" si="119"/>
        <v>578.05440517684974</v>
      </c>
      <c r="CD185" s="62">
        <f ca="1">AVERAGE(OFFSET($CC$3,0,0,'Données projet'!$E$12+1,1))-AVERAGE(OFFSET($H$3,0,0,'Données projet'!$E$12+1,1))</f>
        <v>496.71400086768705</v>
      </c>
      <c r="CE185" s="62">
        <f t="shared" si="148"/>
        <v>206.75063396134982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1.5384615384615377</v>
      </c>
      <c r="CT185" s="13">
        <f>IF('Données projet'!$A$140&gt;35,CT184+CS185-DB184,IF(A185&lt;'Données projet'!$A$140,$CQ$205^A185,IF(A185='Données projet'!$A$140,'Données projet'!$B$140,CT184+CS185-DB184)))</f>
        <v>127.78846153846082</v>
      </c>
      <c r="CU185" s="18">
        <f>CT185*VLOOKUP('Données projet'!$B$13,Paramètres!$A$1:$I$89,3,0)*VLOOKUP('Données projet'!$B$13,Paramètres!$A$1:$I$89,5,0)</f>
        <v>137.55149999999924</v>
      </c>
      <c r="CV185" s="14">
        <f t="shared" si="173"/>
        <v>35.735513833148666</v>
      </c>
      <c r="CW185" s="22">
        <f t="shared" si="174"/>
        <v>301.80821575939927</v>
      </c>
      <c r="CX185" s="62">
        <f t="shared" si="122"/>
        <v>595.14154909273259</v>
      </c>
      <c r="CY185" s="62">
        <f ca="1">AVERAGE(OFFSET($CX$3,0,0,'Données projet'!$E$13+1,1))-AVERAGE(OFFSET($H$3,0,0,'Données projet'!$E$13+1,1))</f>
        <v>524.55238798353344</v>
      </c>
      <c r="CZ185" s="62">
        <f t="shared" si="150"/>
        <v>216.94512104983255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-2.0395418687257919E-13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260.01925143568263</v>
      </c>
      <c r="T186" s="62">
        <f t="shared" si="142"/>
        <v>269.95358755269427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-2.8421709430404007E-13</v>
      </c>
      <c r="AJ186" s="14">
        <f>AI186*VLOOKUP('Données projet'!$B$10,Paramètres!$A$1:$I$89,3,0)*VLOOKUP('Données projet'!$B$10,Paramètres!$A$1:$I$89,5,0)</f>
        <v>-1.69961822393816E-13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289.24721145176682</v>
      </c>
      <c r="AO186" s="62">
        <f t="shared" si="144"/>
        <v>229.06617320689003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2.6602720026858149E-14</v>
      </c>
      <c r="BF186" s="14">
        <f t="shared" si="167"/>
        <v>4.6624771586320878E-13</v>
      </c>
      <c r="BG186" s="22">
        <f t="shared" si="168"/>
        <v>8.583811758418665E-13</v>
      </c>
      <c r="BH186" s="62">
        <f t="shared" si="116"/>
        <v>293.33333333333417</v>
      </c>
      <c r="BI186" s="62">
        <f ca="1">AVERAGE(OFFSET($BH$3,0,0,'Données projet'!$E$11+1,1))-AVERAGE(OFFSET($H$3,0,0,'Données projet'!$E$11+1,1))</f>
        <v>284.72381074796073</v>
      </c>
      <c r="BJ186" s="62">
        <f t="shared" si="146"/>
        <v>190.4880882944471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>
        <f>VLOOKUP(A186,'Données projet'!$A$113:$I$133,2,0)</f>
        <v>129.32692307692307</v>
      </c>
      <c r="BW186" s="13">
        <f>VLOOKUP(A186,'Données projet'!$A$113:$I$133,9,0)</f>
        <v>1.5384615384615377</v>
      </c>
      <c r="BX186" s="13">
        <f t="array" ref="BX186">INDEX(BW:BW,MIN(IF(ISNUMBER(BW186:BW382),ROW(BW186:BW382),"")))</f>
        <v>1.5384615384615377</v>
      </c>
      <c r="BY186" s="13">
        <f>IF('Données projet'!$A$114&gt;35,BY185+BX186-CG185,IF(A186&lt;'Données projet'!$A$114,$BV$205^A186,IF(A186='Données projet'!$A$114,'Données projet'!$B$114,BY185+BX186-CG185)))</f>
        <v>129.32692307692236</v>
      </c>
      <c r="BZ186" s="14">
        <f>BY186*VLOOKUP('Données projet'!$B$12,Paramètres!$A$1:$I$89,3,0)*VLOOKUP('Données projet'!$B$12,Paramètres!$A$1:$I$89,5,0)</f>
        <v>131.13749999999928</v>
      </c>
      <c r="CA186" s="14">
        <f t="shared" si="170"/>
        <v>34.259068765645111</v>
      </c>
      <c r="CB186" s="22">
        <f t="shared" si="171"/>
        <v>288.06569060016398</v>
      </c>
      <c r="CC186" s="62">
        <f t="shared" si="119"/>
        <v>581.39902393349735</v>
      </c>
      <c r="CD186" s="62">
        <f ca="1">AVERAGE(OFFSET($CC$3,0,0,'Données projet'!$E$12+1,1))-AVERAGE(OFFSET($H$3,0,0,'Données projet'!$E$12+1,1))</f>
        <v>496.71400086768705</v>
      </c>
      <c r="CE186" s="62">
        <f t="shared" si="148"/>
        <v>206.75063396134982</v>
      </c>
      <c r="CF186" s="16">
        <f>IF(ISNA(VLOOKUP(A186,'Données projet'!$A$113:$I$133,3,0)),0,VLOOKUP(A186,'Données projet'!$A$113:$I$133,3,0))</f>
        <v>18</v>
      </c>
      <c r="CG186" s="16">
        <f>IF(ISNA(VLOOKUP(A186,'Données projet'!$A$113:$I$133,4,0)),0,VLOOKUP(A186,'Données projet'!$A$113:$I$133,4,0))</f>
        <v>129.32692307692307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>
        <f>VLOOKUP(A186,'Données projet'!$A$139:$I$159,2,0)</f>
        <v>129.32692307692307</v>
      </c>
      <c r="CR186" s="13">
        <f>VLOOKUP(A186,'Données projet'!$A$139:$I$159,9,0)</f>
        <v>1.5384615384615377</v>
      </c>
      <c r="CS186" s="13">
        <f t="array" ref="CS186">INDEX(CR:CR,MIN(IF(ISNUMBER(CR186:CR382),ROW(CR186:CR382),"")))</f>
        <v>1.5384615384615377</v>
      </c>
      <c r="CT186" s="13">
        <f>IF('Données projet'!$A$140&gt;35,CT185+CS186-DB185,IF(A186&lt;'Données projet'!$A$140,$CQ$205^A186,IF(A186='Données projet'!$A$140,'Données projet'!$B$140,CT185+CS186-DB185)))</f>
        <v>129.32692307692236</v>
      </c>
      <c r="CU186" s="18">
        <f>CT186*VLOOKUP('Données projet'!$B$13,Paramètres!$A$1:$I$89,3,0)*VLOOKUP('Données projet'!$B$13,Paramètres!$A$1:$I$89,5,0)</f>
        <v>139.20749999999921</v>
      </c>
      <c r="CV186" s="14">
        <f t="shared" si="173"/>
        <v>36.115394934781818</v>
      </c>
      <c r="CW186" s="22">
        <f t="shared" si="174"/>
        <v>305.35404201141029</v>
      </c>
      <c r="CX186" s="62">
        <f t="shared" si="122"/>
        <v>598.6873753447436</v>
      </c>
      <c r="CY186" s="62">
        <f ca="1">AVERAGE(OFFSET($CX$3,0,0,'Données projet'!$E$13+1,1))-AVERAGE(OFFSET($H$3,0,0,'Données projet'!$E$13+1,1))</f>
        <v>524.55238798353344</v>
      </c>
      <c r="CZ186" s="62">
        <f t="shared" si="150"/>
        <v>216.94512104983255</v>
      </c>
      <c r="DA186" s="16">
        <f>IF(ISNA(VLOOKUP(A186,'Données projet'!$A$139:$I$159,3,0)),0,VLOOKUP(A186,'Données projet'!$A$139:$I$159,3,0))</f>
        <v>18</v>
      </c>
      <c r="DB186" s="16">
        <f>IF(ISNA(VLOOKUP(A186,'Données projet'!$A$139:$I$159,4,0)),0,VLOOKUP(A186,'Données projet'!$A$139:$I$159,4,0))</f>
        <v>129.32692307692307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-2.0395418687257919E-13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260.01925143568263</v>
      </c>
      <c r="T187" s="62">
        <f t="shared" si="142"/>
        <v>269.95358755269427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-2.8421709430404007E-13</v>
      </c>
      <c r="AJ187" s="14">
        <f>AI187*VLOOKUP('Données projet'!$B$10,Paramètres!$A$1:$I$89,3,0)*VLOOKUP('Données projet'!$B$10,Paramètres!$A$1:$I$89,5,0)</f>
        <v>-1.69961822393816E-13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289.24721145176682</v>
      </c>
      <c r="AO187" s="62">
        <f t="shared" si="144"/>
        <v>229.06617320689003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2.6602720026858149E-14</v>
      </c>
      <c r="BF187" s="14">
        <f t="shared" si="167"/>
        <v>4.6624771586320878E-13</v>
      </c>
      <c r="BG187" s="22">
        <f t="shared" si="168"/>
        <v>8.583811758418665E-13</v>
      </c>
      <c r="BH187" s="62">
        <f t="shared" si="116"/>
        <v>293.33333333333417</v>
      </c>
      <c r="BI187" s="62">
        <f ca="1">AVERAGE(OFFSET($BH$3,0,0,'Données projet'!$E$11+1,1))-AVERAGE(OFFSET($H$3,0,0,'Données projet'!$E$11+1,1))</f>
        <v>284.72381074796073</v>
      </c>
      <c r="BJ187" s="62">
        <f t="shared" si="146"/>
        <v>190.4880882944471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-7.1054273576010019E-13</v>
      </c>
      <c r="BZ187" s="14">
        <f>BY187*VLOOKUP('Données projet'!$B$12,Paramètres!$A$1:$I$89,3,0)*VLOOKUP('Données projet'!$B$12,Paramètres!$A$1:$I$89,5,0)</f>
        <v>-7.2049033406074163E-13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496.71400086768705</v>
      </c>
      <c r="CE187" s="62">
        <f t="shared" si="148"/>
        <v>206.75063396134982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-7.1054273576010019E-13</v>
      </c>
      <c r="CU187" s="18">
        <f>CT187*VLOOKUP('Données projet'!$B$13,Paramètres!$A$1:$I$89,3,0)*VLOOKUP('Données projet'!$B$13,Paramètres!$A$1:$I$89,5,0)</f>
        <v>-7.6482820077217184E-13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524.55238798353344</v>
      </c>
      <c r="CZ187" s="62">
        <f t="shared" si="150"/>
        <v>216.94512104983255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-2.0395418687257919E-13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260.01925143568263</v>
      </c>
      <c r="T188" s="62">
        <f t="shared" si="142"/>
        <v>269.95358755269427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-2.8421709430404007E-13</v>
      </c>
      <c r="AJ188" s="14">
        <f>AI188*VLOOKUP('Données projet'!$B$10,Paramètres!$A$1:$I$89,3,0)*VLOOKUP('Données projet'!$B$10,Paramètres!$A$1:$I$89,5,0)</f>
        <v>-1.69961822393816E-13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289.24721145176682</v>
      </c>
      <c r="AO188" s="62">
        <f t="shared" si="144"/>
        <v>229.06617320689003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2.6602720026858149E-14</v>
      </c>
      <c r="BF188" s="14">
        <f t="shared" si="167"/>
        <v>4.6624771586320878E-13</v>
      </c>
      <c r="BG188" s="22">
        <f t="shared" si="168"/>
        <v>8.583811758418665E-13</v>
      </c>
      <c r="BH188" s="62">
        <f t="shared" si="116"/>
        <v>293.33333333333417</v>
      </c>
      <c r="BI188" s="62">
        <f ca="1">AVERAGE(OFFSET($BH$3,0,0,'Données projet'!$E$11+1,1))-AVERAGE(OFFSET($H$3,0,0,'Données projet'!$E$11+1,1))</f>
        <v>284.72381074796073</v>
      </c>
      <c r="BJ188" s="62">
        <f t="shared" si="146"/>
        <v>190.4880882944471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-7.1054273576010019E-13</v>
      </c>
      <c r="BZ188" s="14">
        <f>BY188*VLOOKUP('Données projet'!$B$12,Paramètres!$A$1:$I$89,3,0)*VLOOKUP('Données projet'!$B$12,Paramètres!$A$1:$I$89,5,0)</f>
        <v>-7.2049033406074163E-13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496.71400086768705</v>
      </c>
      <c r="CE188" s="62">
        <f t="shared" si="148"/>
        <v>206.75063396134982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-7.1054273576010019E-13</v>
      </c>
      <c r="CU188" s="18">
        <f>CT188*VLOOKUP('Données projet'!$B$13,Paramètres!$A$1:$I$89,3,0)*VLOOKUP('Données projet'!$B$13,Paramètres!$A$1:$I$89,5,0)</f>
        <v>-7.6482820077217184E-13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524.55238798353344</v>
      </c>
      <c r="CZ188" s="62">
        <f t="shared" si="150"/>
        <v>216.94512104983255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-2.0395418687257919E-13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260.01925143568263</v>
      </c>
      <c r="T189" s="62">
        <f t="shared" si="142"/>
        <v>269.95358755269427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-2.8421709430404007E-13</v>
      </c>
      <c r="AJ189" s="14">
        <f>AI189*VLOOKUP('Données projet'!$B$10,Paramètres!$A$1:$I$89,3,0)*VLOOKUP('Données projet'!$B$10,Paramètres!$A$1:$I$89,5,0)</f>
        <v>-1.69961822393816E-13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289.24721145176682</v>
      </c>
      <c r="AO189" s="62">
        <f t="shared" si="144"/>
        <v>229.06617320689003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2.6602720026858149E-14</v>
      </c>
      <c r="BF189" s="14">
        <f t="shared" si="167"/>
        <v>4.6624771586320878E-13</v>
      </c>
      <c r="BG189" s="22">
        <f t="shared" si="168"/>
        <v>8.583811758418665E-13</v>
      </c>
      <c r="BH189" s="62">
        <f t="shared" si="116"/>
        <v>293.33333333333417</v>
      </c>
      <c r="BI189" s="62">
        <f ca="1">AVERAGE(OFFSET($BH$3,0,0,'Données projet'!$E$11+1,1))-AVERAGE(OFFSET($H$3,0,0,'Données projet'!$E$11+1,1))</f>
        <v>284.72381074796073</v>
      </c>
      <c r="BJ189" s="62">
        <f t="shared" si="146"/>
        <v>190.4880882944471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-7.1054273576010019E-13</v>
      </c>
      <c r="BZ189" s="14">
        <f>BY189*VLOOKUP('Données projet'!$B$12,Paramètres!$A$1:$I$89,3,0)*VLOOKUP('Données projet'!$B$12,Paramètres!$A$1:$I$89,5,0)</f>
        <v>-7.2049033406074163E-13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496.71400086768705</v>
      </c>
      <c r="CE189" s="62">
        <f t="shared" si="148"/>
        <v>206.75063396134982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-7.1054273576010019E-13</v>
      </c>
      <c r="CU189" s="18">
        <f>CT189*VLOOKUP('Données projet'!$B$13,Paramètres!$A$1:$I$89,3,0)*VLOOKUP('Données projet'!$B$13,Paramètres!$A$1:$I$89,5,0)</f>
        <v>-7.6482820077217184E-13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524.55238798353344</v>
      </c>
      <c r="CZ189" s="62">
        <f t="shared" si="150"/>
        <v>216.94512104983255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-2.0395418687257919E-13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260.01925143568263</v>
      </c>
      <c r="T190" s="62">
        <f t="shared" si="142"/>
        <v>269.95358755269427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-2.8421709430404007E-13</v>
      </c>
      <c r="AJ190" s="14">
        <f>AI190*VLOOKUP('Données projet'!$B$10,Paramètres!$A$1:$I$89,3,0)*VLOOKUP('Données projet'!$B$10,Paramètres!$A$1:$I$89,5,0)</f>
        <v>-1.69961822393816E-13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289.24721145176682</v>
      </c>
      <c r="AO190" s="62">
        <f t="shared" si="144"/>
        <v>229.06617320689003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2.6602720026858149E-14</v>
      </c>
      <c r="BF190" s="14">
        <f t="shared" si="167"/>
        <v>4.6624771586320878E-13</v>
      </c>
      <c r="BG190" s="22">
        <f t="shared" si="168"/>
        <v>8.583811758418665E-13</v>
      </c>
      <c r="BH190" s="62">
        <f t="shared" si="116"/>
        <v>293.33333333333417</v>
      </c>
      <c r="BI190" s="62">
        <f ca="1">AVERAGE(OFFSET($BH$3,0,0,'Données projet'!$E$11+1,1))-AVERAGE(OFFSET($H$3,0,0,'Données projet'!$E$11+1,1))</f>
        <v>284.72381074796073</v>
      </c>
      <c r="BJ190" s="62">
        <f t="shared" si="146"/>
        <v>190.4880882944471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-7.1054273576010019E-13</v>
      </c>
      <c r="BZ190" s="14">
        <f>BY190*VLOOKUP('Données projet'!$B$12,Paramètres!$A$1:$I$89,3,0)*VLOOKUP('Données projet'!$B$12,Paramètres!$A$1:$I$89,5,0)</f>
        <v>-7.2049033406074163E-13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496.71400086768705</v>
      </c>
      <c r="CE190" s="62">
        <f t="shared" si="148"/>
        <v>206.75063396134982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-7.1054273576010019E-13</v>
      </c>
      <c r="CU190" s="18">
        <f>CT190*VLOOKUP('Données projet'!$B$13,Paramètres!$A$1:$I$89,3,0)*VLOOKUP('Données projet'!$B$13,Paramètres!$A$1:$I$89,5,0)</f>
        <v>-7.6482820077217184E-13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524.55238798353344</v>
      </c>
      <c r="CZ190" s="62">
        <f t="shared" si="150"/>
        <v>216.94512104983255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-2.0395418687257919E-13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260.01925143568263</v>
      </c>
      <c r="T191" s="62">
        <f t="shared" si="142"/>
        <v>269.95358755269427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-2.8421709430404007E-13</v>
      </c>
      <c r="AJ191" s="14">
        <f>AI191*VLOOKUP('Données projet'!$B$10,Paramètres!$A$1:$I$89,3,0)*VLOOKUP('Données projet'!$B$10,Paramètres!$A$1:$I$89,5,0)</f>
        <v>-1.69961822393816E-13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289.24721145176682</v>
      </c>
      <c r="AO191" s="62">
        <f t="shared" si="144"/>
        <v>229.06617320689003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2.6602720026858149E-14</v>
      </c>
      <c r="BF191" s="14">
        <f t="shared" si="167"/>
        <v>4.6624771586320878E-13</v>
      </c>
      <c r="BG191" s="22">
        <f t="shared" si="168"/>
        <v>8.583811758418665E-13</v>
      </c>
      <c r="BH191" s="62">
        <f t="shared" si="116"/>
        <v>293.33333333333417</v>
      </c>
      <c r="BI191" s="62">
        <f ca="1">AVERAGE(OFFSET($BH$3,0,0,'Données projet'!$E$11+1,1))-AVERAGE(OFFSET($H$3,0,0,'Données projet'!$E$11+1,1))</f>
        <v>284.72381074796073</v>
      </c>
      <c r="BJ191" s="62">
        <f t="shared" si="146"/>
        <v>190.4880882944471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-7.1054273576010019E-13</v>
      </c>
      <c r="BZ191" s="14">
        <f>BY191*VLOOKUP('Données projet'!$B$12,Paramètres!$A$1:$I$89,3,0)*VLOOKUP('Données projet'!$B$12,Paramètres!$A$1:$I$89,5,0)</f>
        <v>-7.2049033406074163E-13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496.71400086768705</v>
      </c>
      <c r="CE191" s="62">
        <f t="shared" si="148"/>
        <v>206.75063396134982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-7.1054273576010019E-13</v>
      </c>
      <c r="CU191" s="18">
        <f>CT191*VLOOKUP('Données projet'!$B$13,Paramètres!$A$1:$I$89,3,0)*VLOOKUP('Données projet'!$B$13,Paramètres!$A$1:$I$89,5,0)</f>
        <v>-7.6482820077217184E-13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524.55238798353344</v>
      </c>
      <c r="CZ191" s="62">
        <f t="shared" si="150"/>
        <v>216.94512104983255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-2.0395418687257919E-13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260.01925143568263</v>
      </c>
      <c r="T192" s="62">
        <f t="shared" si="142"/>
        <v>269.95358755269427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-2.8421709430404007E-13</v>
      </c>
      <c r="AJ192" s="14">
        <f>AI192*VLOOKUP('Données projet'!$B$10,Paramètres!$A$1:$I$89,3,0)*VLOOKUP('Données projet'!$B$10,Paramètres!$A$1:$I$89,5,0)</f>
        <v>-1.69961822393816E-13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289.24721145176682</v>
      </c>
      <c r="AO192" s="62">
        <f t="shared" si="144"/>
        <v>229.06617320689003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2.6602720026858149E-14</v>
      </c>
      <c r="BF192" s="14">
        <f t="shared" si="167"/>
        <v>4.6624771586320878E-13</v>
      </c>
      <c r="BG192" s="22">
        <f t="shared" si="168"/>
        <v>8.583811758418665E-13</v>
      </c>
      <c r="BH192" s="62">
        <f t="shared" si="116"/>
        <v>293.33333333333417</v>
      </c>
      <c r="BI192" s="62">
        <f ca="1">AVERAGE(OFFSET($BH$3,0,0,'Données projet'!$E$11+1,1))-AVERAGE(OFFSET($H$3,0,0,'Données projet'!$E$11+1,1))</f>
        <v>284.72381074796073</v>
      </c>
      <c r="BJ192" s="62">
        <f t="shared" si="146"/>
        <v>190.4880882944471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-7.1054273576010019E-13</v>
      </c>
      <c r="BZ192" s="14">
        <f>BY192*VLOOKUP('Données projet'!$B$12,Paramètres!$A$1:$I$89,3,0)*VLOOKUP('Données projet'!$B$12,Paramètres!$A$1:$I$89,5,0)</f>
        <v>-7.2049033406074163E-13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496.71400086768705</v>
      </c>
      <c r="CE192" s="62">
        <f t="shared" si="148"/>
        <v>206.75063396134982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-7.1054273576010019E-13</v>
      </c>
      <c r="CU192" s="18">
        <f>CT192*VLOOKUP('Données projet'!$B$13,Paramètres!$A$1:$I$89,3,0)*VLOOKUP('Données projet'!$B$13,Paramètres!$A$1:$I$89,5,0)</f>
        <v>-7.6482820077217184E-13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524.55238798353344</v>
      </c>
      <c r="CZ192" s="62">
        <f t="shared" si="150"/>
        <v>216.94512104983255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-2.0395418687257919E-13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260.01925143568263</v>
      </c>
      <c r="T193" s="62">
        <f t="shared" si="142"/>
        <v>269.95358755269427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-2.8421709430404007E-13</v>
      </c>
      <c r="AJ193" s="14">
        <f>AI193*VLOOKUP('Données projet'!$B$10,Paramètres!$A$1:$I$89,3,0)*VLOOKUP('Données projet'!$B$10,Paramètres!$A$1:$I$89,5,0)</f>
        <v>-1.69961822393816E-13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289.24721145176682</v>
      </c>
      <c r="AO193" s="62">
        <f t="shared" si="144"/>
        <v>229.06617320689003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2.6602720026858149E-14</v>
      </c>
      <c r="BF193" s="14">
        <f t="shared" si="167"/>
        <v>4.6624771586320878E-13</v>
      </c>
      <c r="BG193" s="22">
        <f t="shared" si="168"/>
        <v>8.583811758418665E-13</v>
      </c>
      <c r="BH193" s="62">
        <f t="shared" si="116"/>
        <v>293.33333333333417</v>
      </c>
      <c r="BI193" s="62">
        <f ca="1">AVERAGE(OFFSET($BH$3,0,0,'Données projet'!$E$11+1,1))-AVERAGE(OFFSET($H$3,0,0,'Données projet'!$E$11+1,1))</f>
        <v>284.72381074796073</v>
      </c>
      <c r="BJ193" s="62">
        <f t="shared" si="146"/>
        <v>190.4880882944471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-7.1054273576010019E-13</v>
      </c>
      <c r="BZ193" s="14">
        <f>BY193*VLOOKUP('Données projet'!$B$12,Paramètres!$A$1:$I$89,3,0)*VLOOKUP('Données projet'!$B$12,Paramètres!$A$1:$I$89,5,0)</f>
        <v>-7.2049033406074163E-13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496.71400086768705</v>
      </c>
      <c r="CE193" s="62">
        <f t="shared" si="148"/>
        <v>206.75063396134982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-7.1054273576010019E-13</v>
      </c>
      <c r="CU193" s="18">
        <f>CT193*VLOOKUP('Données projet'!$B$13,Paramètres!$A$1:$I$89,3,0)*VLOOKUP('Données projet'!$B$13,Paramètres!$A$1:$I$89,5,0)</f>
        <v>-7.6482820077217184E-13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524.55238798353344</v>
      </c>
      <c r="CZ193" s="62">
        <f t="shared" si="150"/>
        <v>216.94512104983255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-2.0395418687257919E-13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260.01925143568263</v>
      </c>
      <c r="T194" s="62">
        <f t="shared" si="142"/>
        <v>269.95358755269427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-2.8421709430404007E-13</v>
      </c>
      <c r="AJ194" s="14">
        <f>AI194*VLOOKUP('Données projet'!$B$10,Paramètres!$A$1:$I$89,3,0)*VLOOKUP('Données projet'!$B$10,Paramètres!$A$1:$I$89,5,0)</f>
        <v>-1.69961822393816E-13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289.24721145176682</v>
      </c>
      <c r="AO194" s="62">
        <f t="shared" si="144"/>
        <v>229.06617320689003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2.6602720026858149E-14</v>
      </c>
      <c r="BF194" s="14">
        <f t="shared" si="167"/>
        <v>4.6624771586320878E-13</v>
      </c>
      <c r="BG194" s="22">
        <f t="shared" si="168"/>
        <v>8.583811758418665E-13</v>
      </c>
      <c r="BH194" s="62">
        <f t="shared" si="116"/>
        <v>293.33333333333417</v>
      </c>
      <c r="BI194" s="62">
        <f ca="1">AVERAGE(OFFSET($BH$3,0,0,'Données projet'!$E$11+1,1))-AVERAGE(OFFSET($H$3,0,0,'Données projet'!$E$11+1,1))</f>
        <v>284.72381074796073</v>
      </c>
      <c r="BJ194" s="62">
        <f t="shared" si="146"/>
        <v>190.4880882944471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-7.1054273576010019E-13</v>
      </c>
      <c r="BZ194" s="14">
        <f>BY194*VLOOKUP('Données projet'!$B$12,Paramètres!$A$1:$I$89,3,0)*VLOOKUP('Données projet'!$B$12,Paramètres!$A$1:$I$89,5,0)</f>
        <v>-7.2049033406074163E-13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496.71400086768705</v>
      </c>
      <c r="CE194" s="62">
        <f t="shared" si="148"/>
        <v>206.75063396134982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-7.1054273576010019E-13</v>
      </c>
      <c r="CU194" s="18">
        <f>CT194*VLOOKUP('Données projet'!$B$13,Paramètres!$A$1:$I$89,3,0)*VLOOKUP('Données projet'!$B$13,Paramètres!$A$1:$I$89,5,0)</f>
        <v>-7.6482820077217184E-13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524.55238798353344</v>
      </c>
      <c r="CZ194" s="62">
        <f t="shared" si="150"/>
        <v>216.94512104983255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-2.0395418687257919E-13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260.01925143568263</v>
      </c>
      <c r="T195" s="62">
        <f t="shared" si="142"/>
        <v>269.95358755269427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-2.8421709430404007E-13</v>
      </c>
      <c r="AJ195" s="14">
        <f>AI195*VLOOKUP('Données projet'!$B$10,Paramètres!$A$1:$I$89,3,0)*VLOOKUP('Données projet'!$B$10,Paramètres!$A$1:$I$89,5,0)</f>
        <v>-1.69961822393816E-13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289.24721145176682</v>
      </c>
      <c r="AO195" s="62">
        <f t="shared" si="144"/>
        <v>229.06617320689003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2.6602720026858149E-14</v>
      </c>
      <c r="BF195" s="14">
        <f t="shared" si="167"/>
        <v>4.6624771586320878E-13</v>
      </c>
      <c r="BG195" s="22">
        <f t="shared" si="168"/>
        <v>8.583811758418665E-13</v>
      </c>
      <c r="BH195" s="62">
        <f t="shared" si="116"/>
        <v>293.33333333333417</v>
      </c>
      <c r="BI195" s="62">
        <f ca="1">AVERAGE(OFFSET($BH$3,0,0,'Données projet'!$E$11+1,1))-AVERAGE(OFFSET($H$3,0,0,'Données projet'!$E$11+1,1))</f>
        <v>284.72381074796073</v>
      </c>
      <c r="BJ195" s="62">
        <f t="shared" si="146"/>
        <v>190.4880882944471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-7.1054273576010019E-13</v>
      </c>
      <c r="BZ195" s="14">
        <f>BY195*VLOOKUP('Données projet'!$B$12,Paramètres!$A$1:$I$89,3,0)*VLOOKUP('Données projet'!$B$12,Paramètres!$A$1:$I$89,5,0)</f>
        <v>-7.2049033406074163E-13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496.71400086768705</v>
      </c>
      <c r="CE195" s="62">
        <f t="shared" si="148"/>
        <v>206.75063396134982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-7.1054273576010019E-13</v>
      </c>
      <c r="CU195" s="18">
        <f>CT195*VLOOKUP('Données projet'!$B$13,Paramètres!$A$1:$I$89,3,0)*VLOOKUP('Données projet'!$B$13,Paramètres!$A$1:$I$89,5,0)</f>
        <v>-7.6482820077217184E-13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524.55238798353344</v>
      </c>
      <c r="CZ195" s="62">
        <f t="shared" si="150"/>
        <v>216.94512104983255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-2.0395418687257919E-13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260.01925143568263</v>
      </c>
      <c r="T196" s="62">
        <f t="shared" si="142"/>
        <v>269.95358755269427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-2.8421709430404007E-13</v>
      </c>
      <c r="AJ196" s="14">
        <f>AI196*VLOOKUP('Données projet'!$B$10,Paramètres!$A$1:$I$89,3,0)*VLOOKUP('Données projet'!$B$10,Paramètres!$A$1:$I$89,5,0)</f>
        <v>-1.69961822393816E-13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289.24721145176682</v>
      </c>
      <c r="AO196" s="62">
        <f t="shared" si="144"/>
        <v>229.06617320689003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2.6602720026858149E-14</v>
      </c>
      <c r="BF196" s="14">
        <f t="shared" si="167"/>
        <v>4.6624771586320878E-13</v>
      </c>
      <c r="BG196" s="22">
        <f t="shared" si="168"/>
        <v>8.583811758418665E-13</v>
      </c>
      <c r="BH196" s="62">
        <f t="shared" ref="BH196:BH203" si="194">BG196+(AY196+AZ196)*44/12</f>
        <v>293.33333333333417</v>
      </c>
      <c r="BI196" s="62">
        <f ca="1">AVERAGE(OFFSET($BH$3,0,0,'Données projet'!$E$11+1,1))-AVERAGE(OFFSET($H$3,0,0,'Données projet'!$E$11+1,1))</f>
        <v>284.72381074796073</v>
      </c>
      <c r="BJ196" s="62">
        <f t="shared" si="146"/>
        <v>190.4880882944471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-7.1054273576010019E-13</v>
      </c>
      <c r="BZ196" s="14">
        <f>BY196*VLOOKUP('Données projet'!$B$12,Paramètres!$A$1:$I$89,3,0)*VLOOKUP('Données projet'!$B$12,Paramètres!$A$1:$I$89,5,0)</f>
        <v>-7.2049033406074163E-13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496.71400086768705</v>
      </c>
      <c r="CE196" s="62">
        <f t="shared" si="148"/>
        <v>206.75063396134982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-7.1054273576010019E-13</v>
      </c>
      <c r="CU196" s="18">
        <f>CT196*VLOOKUP('Données projet'!$B$13,Paramètres!$A$1:$I$89,3,0)*VLOOKUP('Données projet'!$B$13,Paramètres!$A$1:$I$89,5,0)</f>
        <v>-7.6482820077217184E-13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524.55238798353344</v>
      </c>
      <c r="CZ196" s="62">
        <f t="shared" si="150"/>
        <v>216.94512104983255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-2.0395418687257919E-13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260.01925143568263</v>
      </c>
      <c r="T197" s="62">
        <f t="shared" ref="T197:T203" si="204">$T$3</f>
        <v>269.95358755269427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-2.8421709430404007E-13</v>
      </c>
      <c r="AJ197" s="14">
        <f>AI197*VLOOKUP('Données projet'!$B$10,Paramètres!$A$1:$I$89,3,0)*VLOOKUP('Données projet'!$B$10,Paramètres!$A$1:$I$89,5,0)</f>
        <v>-1.69961822393816E-13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289.24721145176682</v>
      </c>
      <c r="AO197" s="62">
        <f t="shared" ref="AO197:AO203" si="205">$AO$3</f>
        <v>229.06617320689003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2.6602720026858149E-14</v>
      </c>
      <c r="BF197" s="14">
        <f t="shared" si="167"/>
        <v>4.6624771586320878E-13</v>
      </c>
      <c r="BG197" s="22">
        <f t="shared" si="168"/>
        <v>8.583811758418665E-13</v>
      </c>
      <c r="BH197" s="62">
        <f t="shared" si="194"/>
        <v>293.33333333333417</v>
      </c>
      <c r="BI197" s="62">
        <f ca="1">AVERAGE(OFFSET($BH$3,0,0,'Données projet'!$E$11+1,1))-AVERAGE(OFFSET($H$3,0,0,'Données projet'!$E$11+1,1))</f>
        <v>284.72381074796073</v>
      </c>
      <c r="BJ197" s="62">
        <f t="shared" ref="BJ197:BJ203" si="206">$BJ$3</f>
        <v>190.4880882944471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-7.1054273576010019E-13</v>
      </c>
      <c r="BZ197" s="14">
        <f>BY197*VLOOKUP('Données projet'!$B$12,Paramètres!$A$1:$I$89,3,0)*VLOOKUP('Données projet'!$B$12,Paramètres!$A$1:$I$89,5,0)</f>
        <v>-7.2049033406074163E-13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496.71400086768705</v>
      </c>
      <c r="CE197" s="62">
        <f t="shared" ref="CE197:CE203" si="207">$CE$3</f>
        <v>206.75063396134982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-7.1054273576010019E-13</v>
      </c>
      <c r="CU197" s="18">
        <f>CT197*VLOOKUP('Données projet'!$B$13,Paramètres!$A$1:$I$89,3,0)*VLOOKUP('Données projet'!$B$13,Paramètres!$A$1:$I$89,5,0)</f>
        <v>-7.6482820077217184E-13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524.55238798353344</v>
      </c>
      <c r="CZ197" s="62">
        <f t="shared" ref="CZ197:CZ203" si="208">$CZ$3</f>
        <v>216.94512104983255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-2.0395418687257919E-13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260.01925143568263</v>
      </c>
      <c r="T198" s="62">
        <f t="shared" si="204"/>
        <v>269.95358755269427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-2.8421709430404007E-13</v>
      </c>
      <c r="AJ198" s="14">
        <f>AI198*VLOOKUP('Données projet'!$B$10,Paramètres!$A$1:$I$89,3,0)*VLOOKUP('Données projet'!$B$10,Paramètres!$A$1:$I$89,5,0)</f>
        <v>-1.69961822393816E-13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289.24721145176682</v>
      </c>
      <c r="AO198" s="62">
        <f t="shared" si="205"/>
        <v>229.06617320689003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2.6602720026858149E-14</v>
      </c>
      <c r="BF198" s="14">
        <f t="shared" si="167"/>
        <v>4.6624771586320878E-13</v>
      </c>
      <c r="BG198" s="22">
        <f t="shared" si="168"/>
        <v>8.583811758418665E-13</v>
      </c>
      <c r="BH198" s="62">
        <f t="shared" si="194"/>
        <v>293.33333333333417</v>
      </c>
      <c r="BI198" s="62">
        <f ca="1">AVERAGE(OFFSET($BH$3,0,0,'Données projet'!$E$11+1,1))-AVERAGE(OFFSET($H$3,0,0,'Données projet'!$E$11+1,1))</f>
        <v>284.72381074796073</v>
      </c>
      <c r="BJ198" s="62">
        <f t="shared" si="206"/>
        <v>190.4880882944471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-7.1054273576010019E-13</v>
      </c>
      <c r="BZ198" s="14">
        <f>BY198*VLOOKUP('Données projet'!$B$12,Paramètres!$A$1:$I$89,3,0)*VLOOKUP('Données projet'!$B$12,Paramètres!$A$1:$I$89,5,0)</f>
        <v>-7.2049033406074163E-13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496.71400086768705</v>
      </c>
      <c r="CE198" s="62">
        <f t="shared" si="207"/>
        <v>206.75063396134982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-7.1054273576010019E-13</v>
      </c>
      <c r="CU198" s="18">
        <f>CT198*VLOOKUP('Données projet'!$B$13,Paramètres!$A$1:$I$89,3,0)*VLOOKUP('Données projet'!$B$13,Paramètres!$A$1:$I$89,5,0)</f>
        <v>-7.6482820077217184E-13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524.55238798353344</v>
      </c>
      <c r="CZ198" s="62">
        <f t="shared" si="208"/>
        <v>216.94512104983255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-2.0395418687257919E-13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260.01925143568263</v>
      </c>
      <c r="T199" s="62">
        <f t="shared" si="204"/>
        <v>269.95358755269427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-2.8421709430404007E-13</v>
      </c>
      <c r="AJ199" s="14">
        <f>AI199*VLOOKUP('Données projet'!$B$10,Paramètres!$A$1:$I$89,3,0)*VLOOKUP('Données projet'!$B$10,Paramètres!$A$1:$I$89,5,0)</f>
        <v>-1.69961822393816E-13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289.24721145176682</v>
      </c>
      <c r="AO199" s="62">
        <f t="shared" si="205"/>
        <v>229.06617320689003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2.6602720026858149E-14</v>
      </c>
      <c r="BF199" s="14">
        <f t="shared" si="167"/>
        <v>4.6624771586320878E-13</v>
      </c>
      <c r="BG199" s="22">
        <f t="shared" si="168"/>
        <v>8.583811758418665E-13</v>
      </c>
      <c r="BH199" s="62">
        <f t="shared" si="194"/>
        <v>293.33333333333417</v>
      </c>
      <c r="BI199" s="62">
        <f ca="1">AVERAGE(OFFSET($BH$3,0,0,'Données projet'!$E$11+1,1))-AVERAGE(OFFSET($H$3,0,0,'Données projet'!$E$11+1,1))</f>
        <v>284.72381074796073</v>
      </c>
      <c r="BJ199" s="62">
        <f t="shared" si="206"/>
        <v>190.4880882944471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-7.1054273576010019E-13</v>
      </c>
      <c r="BZ199" s="14">
        <f>BY199*VLOOKUP('Données projet'!$B$12,Paramètres!$A$1:$I$89,3,0)*VLOOKUP('Données projet'!$B$12,Paramètres!$A$1:$I$89,5,0)</f>
        <v>-7.2049033406074163E-13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496.71400086768705</v>
      </c>
      <c r="CE199" s="62">
        <f t="shared" si="207"/>
        <v>206.75063396134982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-7.1054273576010019E-13</v>
      </c>
      <c r="CU199" s="18">
        <f>CT199*VLOOKUP('Données projet'!$B$13,Paramètres!$A$1:$I$89,3,0)*VLOOKUP('Données projet'!$B$13,Paramètres!$A$1:$I$89,5,0)</f>
        <v>-7.6482820077217184E-13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524.55238798353344</v>
      </c>
      <c r="CZ199" s="62">
        <f t="shared" si="208"/>
        <v>216.94512104983255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-2.0395418687257919E-13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260.01925143568263</v>
      </c>
      <c r="T200" s="62">
        <f t="shared" si="204"/>
        <v>269.95358755269427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-2.8421709430404007E-13</v>
      </c>
      <c r="AJ200" s="14">
        <f>AI200*VLOOKUP('Données projet'!$B$10,Paramètres!$A$1:$I$89,3,0)*VLOOKUP('Données projet'!$B$10,Paramètres!$A$1:$I$89,5,0)</f>
        <v>-1.69961822393816E-13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289.24721145176682</v>
      </c>
      <c r="AO200" s="62">
        <f t="shared" si="205"/>
        <v>229.06617320689003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2.6602720026858149E-14</v>
      </c>
      <c r="BF200" s="14">
        <f t="shared" si="167"/>
        <v>4.6624771586320878E-13</v>
      </c>
      <c r="BG200" s="22">
        <f t="shared" si="168"/>
        <v>8.583811758418665E-13</v>
      </c>
      <c r="BH200" s="62">
        <f t="shared" si="194"/>
        <v>293.33333333333417</v>
      </c>
      <c r="BI200" s="62">
        <f ca="1">AVERAGE(OFFSET($BH$3,0,0,'Données projet'!$E$11+1,1))-AVERAGE(OFFSET($H$3,0,0,'Données projet'!$E$11+1,1))</f>
        <v>284.72381074796073</v>
      </c>
      <c r="BJ200" s="62">
        <f t="shared" si="206"/>
        <v>190.4880882944471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-7.1054273576010019E-13</v>
      </c>
      <c r="BZ200" s="14">
        <f>BY200*VLOOKUP('Données projet'!$B$12,Paramètres!$A$1:$I$89,3,0)*VLOOKUP('Données projet'!$B$12,Paramètres!$A$1:$I$89,5,0)</f>
        <v>-7.2049033406074163E-13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496.71400086768705</v>
      </c>
      <c r="CE200" s="62">
        <f t="shared" si="207"/>
        <v>206.75063396134982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-7.1054273576010019E-13</v>
      </c>
      <c r="CU200" s="18">
        <f>CT200*VLOOKUP('Données projet'!$B$13,Paramètres!$A$1:$I$89,3,0)*VLOOKUP('Données projet'!$B$13,Paramètres!$A$1:$I$89,5,0)</f>
        <v>-7.6482820077217184E-13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524.55238798353344</v>
      </c>
      <c r="CZ200" s="62">
        <f t="shared" si="208"/>
        <v>216.94512104983255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-2.0395418687257919E-13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260.01925143568263</v>
      </c>
      <c r="T201" s="62">
        <f t="shared" si="204"/>
        <v>269.95358755269427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-2.8421709430404007E-13</v>
      </c>
      <c r="AJ201" s="14">
        <f>AI201*VLOOKUP('Données projet'!$B$10,Paramètres!$A$1:$I$89,3,0)*VLOOKUP('Données projet'!$B$10,Paramètres!$A$1:$I$89,5,0)</f>
        <v>-1.69961822393816E-13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289.24721145176682</v>
      </c>
      <c r="AO201" s="62">
        <f t="shared" si="205"/>
        <v>229.06617320689003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2.6602720026858149E-14</v>
      </c>
      <c r="BF201" s="14">
        <f t="shared" si="167"/>
        <v>4.6624771586320878E-13</v>
      </c>
      <c r="BG201" s="22">
        <f t="shared" si="168"/>
        <v>8.583811758418665E-13</v>
      </c>
      <c r="BH201" s="62">
        <f t="shared" si="194"/>
        <v>293.33333333333417</v>
      </c>
      <c r="BI201" s="62">
        <f ca="1">AVERAGE(OFFSET($BH$3,0,0,'Données projet'!$E$11+1,1))-AVERAGE(OFFSET($H$3,0,0,'Données projet'!$E$11+1,1))</f>
        <v>284.72381074796073</v>
      </c>
      <c r="BJ201" s="62">
        <f t="shared" si="206"/>
        <v>190.4880882944471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-7.1054273576010019E-13</v>
      </c>
      <c r="BZ201" s="14">
        <f>BY201*VLOOKUP('Données projet'!$B$12,Paramètres!$A$1:$I$89,3,0)*VLOOKUP('Données projet'!$B$12,Paramètres!$A$1:$I$89,5,0)</f>
        <v>-7.2049033406074163E-13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496.71400086768705</v>
      </c>
      <c r="CE201" s="62">
        <f t="shared" si="207"/>
        <v>206.75063396134982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-7.1054273576010019E-13</v>
      </c>
      <c r="CU201" s="18">
        <f>CT201*VLOOKUP('Données projet'!$B$13,Paramètres!$A$1:$I$89,3,0)*VLOOKUP('Données projet'!$B$13,Paramètres!$A$1:$I$89,5,0)</f>
        <v>-7.6482820077217184E-13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524.55238798353344</v>
      </c>
      <c r="CZ201" s="62">
        <f t="shared" si="208"/>
        <v>216.94512104983255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-2.0395418687257919E-13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260.01925143568263</v>
      </c>
      <c r="T202" s="62">
        <f t="shared" si="204"/>
        <v>269.95358755269427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-2.8421709430404007E-13</v>
      </c>
      <c r="AJ202" s="14">
        <f>AI202*VLOOKUP('Données projet'!$B$10,Paramètres!$A$1:$I$89,3,0)*VLOOKUP('Données projet'!$B$10,Paramètres!$A$1:$I$89,5,0)</f>
        <v>-1.69961822393816E-13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289.24721145176682</v>
      </c>
      <c r="AO202" s="62">
        <f t="shared" si="205"/>
        <v>229.06617320689003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2.6602720026858149E-14</v>
      </c>
      <c r="BF202" s="14">
        <f t="shared" si="167"/>
        <v>4.6624771586320878E-13</v>
      </c>
      <c r="BG202" s="22">
        <f t="shared" si="168"/>
        <v>8.583811758418665E-13</v>
      </c>
      <c r="BH202" s="62">
        <f t="shared" si="194"/>
        <v>293.33333333333417</v>
      </c>
      <c r="BI202" s="62">
        <f ca="1">AVERAGE(OFFSET($BH$3,0,0,'Données projet'!$E$11+1,1))-AVERAGE(OFFSET($H$3,0,0,'Données projet'!$E$11+1,1))</f>
        <v>284.72381074796073</v>
      </c>
      <c r="BJ202" s="62">
        <f t="shared" si="206"/>
        <v>190.4880882944471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-7.1054273576010019E-13</v>
      </c>
      <c r="BZ202" s="14">
        <f>BY202*VLOOKUP('Données projet'!$B$12,Paramètres!$A$1:$I$89,3,0)*VLOOKUP('Données projet'!$B$12,Paramètres!$A$1:$I$89,5,0)</f>
        <v>-7.2049033406074163E-13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496.71400086768705</v>
      </c>
      <c r="CE202" s="62">
        <f t="shared" si="207"/>
        <v>206.75063396134982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-7.1054273576010019E-13</v>
      </c>
      <c r="CU202" s="18">
        <f>CT202*VLOOKUP('Données projet'!$B$13,Paramètres!$A$1:$I$89,3,0)*VLOOKUP('Données projet'!$B$13,Paramètres!$A$1:$I$89,5,0)</f>
        <v>-7.6482820077217184E-13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524.55238798353344</v>
      </c>
      <c r="CZ202" s="62">
        <f t="shared" si="208"/>
        <v>216.94512104983255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-2.0395418687257919E-13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260.01925143568263</v>
      </c>
      <c r="T203" s="62">
        <f t="shared" si="204"/>
        <v>269.95358755269427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-2.8421709430404007E-13</v>
      </c>
      <c r="AJ203" s="14">
        <f>AI203*VLOOKUP('Données projet'!$B$10,Paramètres!$A$1:$I$89,3,0)*VLOOKUP('Données projet'!$B$10,Paramètres!$A$1:$I$89,5,0)</f>
        <v>-1.69961822393816E-13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289.24721145176682</v>
      </c>
      <c r="AO203" s="62">
        <f t="shared" si="205"/>
        <v>229.06617320689003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2.6602720026858149E-14</v>
      </c>
      <c r="BF203" s="14">
        <f t="shared" si="167"/>
        <v>4.6624771586320878E-13</v>
      </c>
      <c r="BG203" s="22">
        <f t="shared" si="168"/>
        <v>8.583811758418665E-13</v>
      </c>
      <c r="BH203" s="62">
        <f t="shared" si="194"/>
        <v>293.33333333333417</v>
      </c>
      <c r="BI203" s="62">
        <f ca="1">AVERAGE(OFFSET($BH$3,0,0,'Données projet'!$E$11+1,1))-AVERAGE(OFFSET($H$3,0,0,'Données projet'!$E$11+1,1))</f>
        <v>284.72381074796073</v>
      </c>
      <c r="BJ203" s="62">
        <f t="shared" si="206"/>
        <v>190.4880882944471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-7.1054273576010019E-13</v>
      </c>
      <c r="BZ203" s="14">
        <f>BY203*VLOOKUP('Données projet'!$B$12,Paramètres!$A$1:$I$89,3,0)*VLOOKUP('Données projet'!$B$12,Paramètres!$A$1:$I$89,5,0)</f>
        <v>-7.2049033406074163E-13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496.71400086768705</v>
      </c>
      <c r="CE203" s="62">
        <f t="shared" si="207"/>
        <v>206.75063396134982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-7.1054273576010019E-13</v>
      </c>
      <c r="CU203" s="18">
        <f>CT203*VLOOKUP('Données projet'!$B$13,Paramètres!$A$1:$I$89,3,0)*VLOOKUP('Données projet'!$B$13,Paramètres!$A$1:$I$89,5,0)</f>
        <v>-7.6482820077217184E-13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524.55238798353344</v>
      </c>
      <c r="CZ203" s="62">
        <f t="shared" si="208"/>
        <v>216.94512104983255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1.3292852468636394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1.2691631451226497</v>
      </c>
      <c r="BA205" s="88">
        <f>EXP(LN('Données projet'!B88)/'Données projet'!A88)</f>
        <v>1.1810516433311786</v>
      </c>
      <c r="BV205" s="88">
        <f>EXP(LN('Données projet'!B114)/'Données projet'!A114)</f>
        <v>1.1549646791274306</v>
      </c>
      <c r="CQ205" s="88">
        <f>EXP(LN('Données projet'!B140)/'Données projet'!A140)</f>
        <v>1.1549646791274306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35" workbookViewId="0">
      <selection activeCell="C39" sqref="C39:C61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L20" sqref="L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2.330991</v>
      </c>
      <c r="C6" s="156">
        <f ca="1">IF(OR('Données projet'!B9="",'Données projet'!C9="",'Données projet'!C9=0%),0,Calculateur!S3)</f>
        <v>260.01925143568263</v>
      </c>
      <c r="D6" s="156">
        <f>IF(OR('Données projet'!B9="",'Données projet'!C9="",'Données projet'!C9=0%),0,Calculateur!T3)</f>
        <v>269.95358755269427</v>
      </c>
      <c r="E6" s="156">
        <f ca="1">MIN(C6,D6)</f>
        <v>260.01925143568263</v>
      </c>
      <c r="F6" s="156">
        <f ca="1">E6*B6</f>
        <v>606.10253492331333</v>
      </c>
      <c r="G6" s="156">
        <f ca="1">F6*(100%-'Données projet'!$C$24)*(100%-'Données projet'!$C$25)*(100%-'Données projet'!$C$26)*(100%-'Données projet'!$C$27)</f>
        <v>518.21766735943288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197.82941310000001</v>
      </c>
      <c r="K6" s="160">
        <f>J6*(100%-'Données projet'!$C$24)*(100%-'Données projet'!$C$25)*(100%-'Données projet'!$C$26)*(100%-'Données projet'!$C$27)</f>
        <v>169.14414820050001</v>
      </c>
      <c r="L6" s="161">
        <f ca="1">G6+I6+K6</f>
        <v>687.36181555993289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0.9990500000000001</v>
      </c>
      <c r="C7" s="156">
        <f ca="1">IF(OR('Données projet'!B10="",'Données projet'!C10="",'Données projet'!C10=0%),0,Calculateur!AN3)</f>
        <v>289.24721145176682</v>
      </c>
      <c r="D7" s="156">
        <f>IF(OR('Données projet'!B10="",'Données projet'!C10="",'Données projet'!C10=0%),0,Calculateur!AO3)</f>
        <v>229.06617320689003</v>
      </c>
      <c r="E7" s="156">
        <f t="shared" ref="E7:E15" ca="1" si="0">MIN(C7,D7)</f>
        <v>229.06617320689003</v>
      </c>
      <c r="F7" s="156">
        <f t="shared" ref="F7:F15" ca="1" si="1">E7*B7</f>
        <v>228.84856034234352</v>
      </c>
      <c r="G7" s="156">
        <f ca="1">F7*(100%-'Données projet'!$C$24)*(100%-'Données projet'!$C$25)*(100%-'Données projet'!$C$26)*(100%-'Données projet'!$C$27)</f>
        <v>195.6655190927037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37.542992549999994</v>
      </c>
      <c r="K7" s="160">
        <f>J7*(100%-'Données projet'!$C$24)*(100%-'Données projet'!$C$25)*(100%-'Données projet'!$C$26)*(100%-'Données projet'!$C$27)</f>
        <v>32.099258630249992</v>
      </c>
      <c r="L7" s="161">
        <f t="shared" ref="L7:L15" ca="1" si="2">G7+I7+K7</f>
        <v>227.76477772295368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Cèdre de l'Atlas</v>
      </c>
      <c r="B8" s="163">
        <f>'Données projet'!D11</f>
        <v>0.220168</v>
      </c>
      <c r="C8" s="156">
        <f ca="1">IF(OR('Données projet'!B11="",'Données projet'!C11="",'Données projet'!C11=0%),0,Calculateur!BI3)</f>
        <v>284.72381074796073</v>
      </c>
      <c r="D8" s="156">
        <f>IF(OR('Données projet'!B11="",'Données projet'!C11="",'Données projet'!C11=0%),0,Calculateur!BJ3)</f>
        <v>190.4880882944471</v>
      </c>
      <c r="E8" s="156">
        <f t="shared" ca="1" si="0"/>
        <v>190.4880882944471</v>
      </c>
      <c r="F8" s="156">
        <f t="shared" ca="1" si="1"/>
        <v>41.939381423611827</v>
      </c>
      <c r="G8" s="156">
        <f ca="1">F8*(100%-'Données projet'!$C$24)*(100%-'Données projet'!$C$25)*(100%-'Données projet'!$C$26)*(100%-'Données projet'!$C$27)</f>
        <v>35.858171117188107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35.858171117188107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pubescent</v>
      </c>
      <c r="B9" s="163">
        <f>'Données projet'!D12</f>
        <v>0.17605899999999999</v>
      </c>
      <c r="C9" s="156">
        <f ca="1">IF(OR('Données projet'!B12="",'Données projet'!C12="",'Données projet'!C12=0%),0,Calculateur!CD3)</f>
        <v>496.71400086768705</v>
      </c>
      <c r="D9" s="156">
        <f>IF(OR('Données projet'!B12="",'Données projet'!C12="",'Données projet'!C12=0%),0,Calculateur!CE3)</f>
        <v>206.75063396134982</v>
      </c>
      <c r="E9" s="156">
        <f t="shared" ca="1" si="0"/>
        <v>206.75063396134982</v>
      </c>
      <c r="F9" s="156">
        <f t="shared" ca="1" si="1"/>
        <v>36.400309864601283</v>
      </c>
      <c r="G9" s="156">
        <f ca="1">F9*(100%-'Données projet'!$C$24)*(100%-'Données projet'!$C$25)*(100%-'Données projet'!$C$26)*(100%-'Données projet'!$C$27)</f>
        <v>31.122264934234099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31.122264934234099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Cormier</v>
      </c>
      <c r="B10" s="163">
        <f>'Données projet'!D13</f>
        <v>4.3732E-2</v>
      </c>
      <c r="C10" s="156">
        <f ca="1">IF(OR('Données projet'!B13="",'Données projet'!C13="",'Données projet'!C13=0%),0,Calculateur!CY3)</f>
        <v>524.55238798353344</v>
      </c>
      <c r="D10" s="156">
        <f>IF(OR('Données projet'!B13="",'Données projet'!C13="",'Données projet'!C13=0%),0,Calculateur!CZ3)</f>
        <v>216.94512104983255</v>
      </c>
      <c r="E10" s="156">
        <f t="shared" ca="1" si="0"/>
        <v>216.94512104983255</v>
      </c>
      <c r="F10" s="156">
        <f t="shared" ca="1" si="1"/>
        <v>9.4874440337512773</v>
      </c>
      <c r="G10" s="156">
        <f ca="1">F10*(100%-'Données projet'!$C$24)*(100%-'Données projet'!$C$25)*(100%-'Données projet'!$C$26)*(100%-'Données projet'!$C$27)</f>
        <v>8.1117646488573421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8.1117646488573421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922.77823058762124</v>
      </c>
      <c r="G16" s="175">
        <f t="shared" ca="1" si="3"/>
        <v>788.97538715241615</v>
      </c>
      <c r="H16" s="176">
        <f t="shared" si="3"/>
        <v>0</v>
      </c>
      <c r="I16" s="176">
        <f t="shared" si="3"/>
        <v>0</v>
      </c>
      <c r="J16" s="177">
        <f t="shared" si="3"/>
        <v>235.37240565000002</v>
      </c>
      <c r="K16" s="177">
        <f t="shared" si="3"/>
        <v>201.24340683075002</v>
      </c>
      <c r="L16" s="178">
        <f t="shared" ca="1" si="3"/>
        <v>990.21879398316617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pubescent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Cormier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S7" zoomScale="89" zoomScaleNormal="89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2334.7013539985855</v>
      </c>
      <c r="U10" s="190">
        <f>'Données projet'!D9</f>
        <v>2.330991</v>
      </c>
      <c r="V10" s="189">
        <f>U10*T10</f>
        <v>5442.1678438585168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1410.2265459062824</v>
      </c>
      <c r="U11" s="190">
        <f>'Données projet'!D10</f>
        <v>0.9990500000000001</v>
      </c>
      <c r="V11" s="189">
        <f t="shared" ref="V11" si="0">U11*T11</f>
        <v>1408.8868306876716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992.35105742673647</v>
      </c>
      <c r="U12" s="190">
        <f>'Données projet'!D11</f>
        <v>0.220168</v>
      </c>
      <c r="V12" s="189">
        <f t="shared" ref="V12:V19" si="1">U12*T12</f>
        <v>218.48394761152971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pubescent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401.39109788913515</v>
      </c>
      <c r="U13" s="190">
        <f>'Données projet'!D12</f>
        <v>0.17605899999999999</v>
      </c>
      <c r="V13" s="189">
        <f t="shared" si="1"/>
        <v>70.668515303263248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Cormier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401.39109788913515</v>
      </c>
      <c r="U14" s="190">
        <f>'Données projet'!D13</f>
        <v>4.3732E-2</v>
      </c>
      <c r="V14" s="189">
        <f t="shared" si="1"/>
        <v>17.553635492887658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9500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42.084615384615383</v>
      </c>
      <c r="C23" s="206">
        <v>10</v>
      </c>
      <c r="D23" s="194">
        <f>B23*C23</f>
        <v>420.84615384615381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-28657.239227046131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23</v>
      </c>
      <c r="B24" s="193">
        <f>'Données projet'!D37</f>
        <v>54.099999999999994</v>
      </c>
      <c r="C24" s="206">
        <v>10</v>
      </c>
      <c r="D24" s="194">
        <f t="shared" ref="D24:D42" si="2">B24*C24</f>
        <v>541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-28657.239227046131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29</v>
      </c>
      <c r="B26" s="193">
        <f>'Données projet'!D39</f>
        <v>47.661538461538463</v>
      </c>
      <c r="C26" s="206">
        <v>15</v>
      </c>
      <c r="D26" s="194">
        <f t="shared" si="2"/>
        <v>714.92307692307691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36</v>
      </c>
      <c r="B28" s="193">
        <f>'Données projet'!D41</f>
        <v>64.553846153846152</v>
      </c>
      <c r="C28" s="206">
        <v>20</v>
      </c>
      <c r="D28" s="194">
        <f t="shared" si="2"/>
        <v>1291.0769230769231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44</v>
      </c>
      <c r="B29" s="193">
        <f>'Données projet'!D42</f>
        <v>64.476923076923072</v>
      </c>
      <c r="C29" s="206">
        <v>30</v>
      </c>
      <c r="D29" s="194">
        <f t="shared" si="2"/>
        <v>1934.3076923076922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52</v>
      </c>
      <c r="B30" s="193">
        <f>'Données projet'!D43</f>
        <v>61.784615384615378</v>
      </c>
      <c r="C30" s="206">
        <v>30</v>
      </c>
      <c r="D30" s="194">
        <f t="shared" si="2"/>
        <v>1853.5384615384614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353.5</v>
      </c>
      <c r="C31" s="206">
        <v>40</v>
      </c>
      <c r="D31" s="194">
        <f t="shared" si="2"/>
        <v>14140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22</v>
      </c>
      <c r="B55" s="193">
        <f>'Données projet'!D63</f>
        <v>52.746153846153838</v>
      </c>
      <c r="C55" s="204">
        <v>10</v>
      </c>
      <c r="D55" s="191">
        <f t="shared" ref="D55:D73" si="4">B55*C55</f>
        <v>527.46153846153834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24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27</v>
      </c>
      <c r="B57" s="193">
        <f>'Données projet'!D65</f>
        <v>34.646153846153844</v>
      </c>
      <c r="C57" s="204">
        <v>10</v>
      </c>
      <c r="D57" s="191">
        <f t="shared" si="4"/>
        <v>346.46153846153845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33</v>
      </c>
      <c r="B59" s="193">
        <f>'Données projet'!D67</f>
        <v>43.007692307692302</v>
      </c>
      <c r="C59" s="204">
        <v>15</v>
      </c>
      <c r="D59" s="191">
        <f t="shared" si="4"/>
        <v>645.11538461538453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41</v>
      </c>
      <c r="B60" s="193">
        <f>'Données projet'!D68</f>
        <v>58.484615384615381</v>
      </c>
      <c r="C60" s="204">
        <v>20</v>
      </c>
      <c r="D60" s="191">
        <f t="shared" si="4"/>
        <v>1169.6923076923076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55.292307692307688</v>
      </c>
      <c r="C61" s="204">
        <v>25</v>
      </c>
      <c r="D61" s="191">
        <f t="shared" si="4"/>
        <v>1382.3076923076922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54.261538461538464</v>
      </c>
      <c r="C62" s="204">
        <v>30</v>
      </c>
      <c r="D62" s="191">
        <f t="shared" si="4"/>
        <v>1627.8461538461538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52.669230769230765</v>
      </c>
      <c r="C63" s="204">
        <v>40</v>
      </c>
      <c r="D63" s="191">
        <f t="shared" si="4"/>
        <v>2106.7692307692305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80</v>
      </c>
      <c r="B64" s="193">
        <f>'Données projet'!D72</f>
        <v>402.90769230769229</v>
      </c>
      <c r="C64" s="204">
        <v>50</v>
      </c>
      <c r="D64" s="191">
        <f t="shared" si="4"/>
        <v>20145.384615384613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30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36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42</v>
      </c>
      <c r="B87" s="193">
        <f>'Données projet'!D90</f>
        <v>0</v>
      </c>
      <c r="C87" s="204">
        <v>15</v>
      </c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46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51</v>
      </c>
      <c r="B89" s="193">
        <f>'Données projet'!D92</f>
        <v>170.16153846153847</v>
      </c>
      <c r="C89" s="204">
        <v>20</v>
      </c>
      <c r="D89" s="191">
        <f t="shared" si="6"/>
        <v>3403.2307692307695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56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61</v>
      </c>
      <c r="B91" s="193">
        <f>'Données projet'!D94</f>
        <v>94.76153846153845</v>
      </c>
      <c r="C91" s="204">
        <v>30</v>
      </c>
      <c r="D91" s="191">
        <f t="shared" si="6"/>
        <v>2842.8461538461534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67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73</v>
      </c>
      <c r="B93" s="193">
        <f>'Données projet'!D96</f>
        <v>93.584615384615375</v>
      </c>
      <c r="C93" s="204">
        <v>40</v>
      </c>
      <c r="D93" s="191">
        <f t="shared" si="6"/>
        <v>3743.3846153846152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79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85</v>
      </c>
      <c r="B95" s="193">
        <f>'Données projet'!D98</f>
        <v>85.207692307692298</v>
      </c>
      <c r="C95" s="204">
        <v>45</v>
      </c>
      <c r="D95" s="191">
        <f t="shared" si="6"/>
        <v>3834.3461538461534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91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97</v>
      </c>
      <c r="B97" s="193">
        <f>'Données projet'!D100</f>
        <v>79.669230769230765</v>
      </c>
      <c r="C97" s="204">
        <v>50</v>
      </c>
      <c r="D97" s="191">
        <f t="shared" si="6"/>
        <v>3983.4615384615381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103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109</v>
      </c>
      <c r="B99" s="193">
        <f>'Données projet'!D102</f>
        <v>80.653846153846146</v>
      </c>
      <c r="C99" s="204">
        <v>60</v>
      </c>
      <c r="D99" s="191">
        <f t="shared" si="6"/>
        <v>4839.2307692307686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115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121</v>
      </c>
      <c r="B101" s="193">
        <f>'Données projet'!D104</f>
        <v>207.07692307692307</v>
      </c>
      <c r="C101" s="204">
        <v>100</v>
      </c>
      <c r="D101" s="191">
        <f t="shared" si="6"/>
        <v>20707.692307692305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126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131</v>
      </c>
      <c r="B103" s="193">
        <f>'Données projet'!D106</f>
        <v>259.61538461538458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pubescent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30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42</v>
      </c>
      <c r="B117" s="193">
        <f>'Données projet'!D115</f>
        <v>38.685897435897438</v>
      </c>
      <c r="C117" s="204">
        <v>10</v>
      </c>
      <c r="D117" s="191">
        <f t="shared" ref="D117:D135" si="8">B117*C117</f>
        <v>386.85897435897436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50</v>
      </c>
      <c r="B118" s="193">
        <f>'Données projet'!D116</f>
        <v>29.416666666666664</v>
      </c>
      <c r="C118" s="204">
        <v>15</v>
      </c>
      <c r="D118" s="191">
        <f t="shared" si="8"/>
        <v>441.24999999999994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58</v>
      </c>
      <c r="B119" s="193">
        <f>'Données projet'!D117</f>
        <v>35.88461538461538</v>
      </c>
      <c r="C119" s="204">
        <v>15</v>
      </c>
      <c r="D119" s="191">
        <f t="shared" si="8"/>
        <v>538.26923076923072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66</v>
      </c>
      <c r="B120" s="193">
        <f>'Données projet'!D118</f>
        <v>39.166666666666664</v>
      </c>
      <c r="C120" s="204">
        <v>20</v>
      </c>
      <c r="D120" s="191">
        <f t="shared" si="8"/>
        <v>783.33333333333326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74</v>
      </c>
      <c r="B121" s="193">
        <f>'Données projet'!D119</f>
        <v>36.865384615384613</v>
      </c>
      <c r="C121" s="204">
        <v>25</v>
      </c>
      <c r="D121" s="191">
        <f t="shared" si="8"/>
        <v>921.63461538461536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84</v>
      </c>
      <c r="B122" s="193">
        <f>'Données projet'!D120</f>
        <v>47.256410256410255</v>
      </c>
      <c r="C122" s="204">
        <v>30</v>
      </c>
      <c r="D122" s="191">
        <f t="shared" si="8"/>
        <v>1417.6923076923076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94</v>
      </c>
      <c r="B123" s="193">
        <f>'Données projet'!D121</f>
        <v>47.243589743589745</v>
      </c>
      <c r="C123" s="204">
        <v>40</v>
      </c>
      <c r="D123" s="191">
        <f t="shared" si="8"/>
        <v>1889.7435897435898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104</v>
      </c>
      <c r="B124" s="193">
        <f>'Données projet'!D122</f>
        <v>45.987179487179482</v>
      </c>
      <c r="C124" s="204">
        <v>50</v>
      </c>
      <c r="D124" s="191">
        <f t="shared" si="8"/>
        <v>2299.3589743589741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114</v>
      </c>
      <c r="B125" s="193">
        <f>'Données projet'!D123</f>
        <v>42.78846153846154</v>
      </c>
      <c r="C125" s="204">
        <v>60</v>
      </c>
      <c r="D125" s="191">
        <f t="shared" si="8"/>
        <v>2567.3076923076924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124</v>
      </c>
      <c r="B126" s="193">
        <f>'Données projet'!D124</f>
        <v>39.820512820512818</v>
      </c>
      <c r="C126" s="204">
        <v>70</v>
      </c>
      <c r="D126" s="191">
        <f t="shared" si="8"/>
        <v>2787.4358974358975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134</v>
      </c>
      <c r="B127" s="193">
        <f>'Données projet'!D125</f>
        <v>41.666666666666664</v>
      </c>
      <c r="C127" s="204">
        <v>80</v>
      </c>
      <c r="D127" s="191">
        <f t="shared" si="8"/>
        <v>3333.333333333333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144</v>
      </c>
      <c r="B128" s="193">
        <f>'Données projet'!D126</f>
        <v>42.224358974358978</v>
      </c>
      <c r="C128" s="204">
        <v>90</v>
      </c>
      <c r="D128" s="191">
        <f t="shared" si="8"/>
        <v>3800.1923076923081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154</v>
      </c>
      <c r="B129" s="193">
        <f>'Données projet'!D127</f>
        <v>41.564102564102562</v>
      </c>
      <c r="C129" s="204">
        <v>100</v>
      </c>
      <c r="D129" s="191">
        <f t="shared" si="8"/>
        <v>4156.4102564102559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164</v>
      </c>
      <c r="B130" s="193">
        <f>'Données projet'!D128</f>
        <v>44.814102564102562</v>
      </c>
      <c r="C130" s="204">
        <v>110</v>
      </c>
      <c r="D130" s="191">
        <f t="shared" si="8"/>
        <v>4929.5512820512822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174</v>
      </c>
      <c r="B131" s="193">
        <f>'Données projet'!D129</f>
        <v>162.38461538461539</v>
      </c>
      <c r="C131" s="204">
        <v>150</v>
      </c>
      <c r="D131" s="191">
        <f t="shared" si="8"/>
        <v>24357.692307692309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177</v>
      </c>
      <c r="B132" s="193">
        <f>'Données projet'!D130</f>
        <v>87</v>
      </c>
      <c r="C132" s="204">
        <v>150</v>
      </c>
      <c r="D132" s="191">
        <f t="shared" si="8"/>
        <v>13050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180</v>
      </c>
      <c r="B133" s="193">
        <f>'Données projet'!D131</f>
        <v>58.794871794871796</v>
      </c>
      <c r="C133" s="204">
        <v>200</v>
      </c>
      <c r="D133" s="191">
        <f t="shared" si="8"/>
        <v>11758.974358974359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183</v>
      </c>
      <c r="B134" s="193">
        <f>'Données projet'!D132</f>
        <v>129.32692307692307</v>
      </c>
      <c r="C134" s="204">
        <v>200</v>
      </c>
      <c r="D134" s="191">
        <f t="shared" si="8"/>
        <v>25865.384615384613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Cormier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30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42</v>
      </c>
      <c r="B148" s="187">
        <f>'Données projet'!D141</f>
        <v>38.685897435897438</v>
      </c>
      <c r="C148" s="204">
        <v>10</v>
      </c>
      <c r="D148" s="194">
        <f t="shared" ref="D148:D166" si="10">B148*C148</f>
        <v>386.85897435897436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50</v>
      </c>
      <c r="B149" s="187">
        <f>'Données projet'!D142</f>
        <v>29.416666666666664</v>
      </c>
      <c r="C149" s="204">
        <v>15</v>
      </c>
      <c r="D149" s="194">
        <f t="shared" si="10"/>
        <v>441.24999999999994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58</v>
      </c>
      <c r="B150" s="187">
        <f>'Données projet'!D143</f>
        <v>35.88461538461538</v>
      </c>
      <c r="C150" s="204">
        <v>15</v>
      </c>
      <c r="D150" s="194">
        <f t="shared" si="10"/>
        <v>538.26923076923072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66</v>
      </c>
      <c r="B151" s="187">
        <f>'Données projet'!D144</f>
        <v>39.166666666666664</v>
      </c>
      <c r="C151" s="204">
        <v>20</v>
      </c>
      <c r="D151" s="194">
        <f t="shared" si="10"/>
        <v>783.33333333333326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74</v>
      </c>
      <c r="B152" s="187">
        <f>'Données projet'!D145</f>
        <v>36.865384615384613</v>
      </c>
      <c r="C152" s="204">
        <v>25</v>
      </c>
      <c r="D152" s="194">
        <f t="shared" si="10"/>
        <v>921.63461538461536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84</v>
      </c>
      <c r="B153" s="187">
        <f>'Données projet'!D146</f>
        <v>47.256410256410255</v>
      </c>
      <c r="C153" s="204">
        <v>30</v>
      </c>
      <c r="D153" s="194">
        <f t="shared" si="10"/>
        <v>1417.6923076923076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94</v>
      </c>
      <c r="B154" s="187">
        <f>'Données projet'!D147</f>
        <v>47.243589743589745</v>
      </c>
      <c r="C154" s="204">
        <v>40</v>
      </c>
      <c r="D154" s="194">
        <f t="shared" si="10"/>
        <v>1889.7435897435898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104</v>
      </c>
      <c r="B155" s="187">
        <f>'Données projet'!D148</f>
        <v>45.987179487179482</v>
      </c>
      <c r="C155" s="204">
        <v>50</v>
      </c>
      <c r="D155" s="194">
        <f t="shared" si="10"/>
        <v>2299.3589743589741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114</v>
      </c>
      <c r="B156" s="187">
        <f>'Données projet'!D149</f>
        <v>42.78846153846154</v>
      </c>
      <c r="C156" s="204">
        <v>60</v>
      </c>
      <c r="D156" s="194">
        <f t="shared" si="10"/>
        <v>2567.3076923076924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124</v>
      </c>
      <c r="B157" s="187">
        <f>'Données projet'!D150</f>
        <v>39.820512820512818</v>
      </c>
      <c r="C157" s="204">
        <v>70</v>
      </c>
      <c r="D157" s="194">
        <f t="shared" si="10"/>
        <v>2787.4358974358975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134</v>
      </c>
      <c r="B158" s="187">
        <f>'Données projet'!D151</f>
        <v>41.666666666666664</v>
      </c>
      <c r="C158" s="204">
        <v>80</v>
      </c>
      <c r="D158" s="194">
        <f t="shared" si="10"/>
        <v>3333.333333333333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144</v>
      </c>
      <c r="B159" s="187">
        <f>'Données projet'!D152</f>
        <v>42.224358974358978</v>
      </c>
      <c r="C159" s="204">
        <v>90</v>
      </c>
      <c r="D159" s="194">
        <f t="shared" si="10"/>
        <v>3800.1923076923081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154</v>
      </c>
      <c r="B160" s="187">
        <f>'Données projet'!D153</f>
        <v>41.564102564102562</v>
      </c>
      <c r="C160" s="204">
        <v>100</v>
      </c>
      <c r="D160" s="194">
        <f t="shared" si="10"/>
        <v>4156.4102564102559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164</v>
      </c>
      <c r="B161" s="187">
        <f>'Données projet'!D154</f>
        <v>44.814102564102562</v>
      </c>
      <c r="C161" s="204">
        <v>110</v>
      </c>
      <c r="D161" s="194">
        <f t="shared" si="10"/>
        <v>4929.5512820512822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174</v>
      </c>
      <c r="B162" s="187">
        <f>'Données projet'!D155</f>
        <v>162.38461538461539</v>
      </c>
      <c r="C162" s="204">
        <v>150</v>
      </c>
      <c r="D162" s="194">
        <f t="shared" si="10"/>
        <v>24357.692307692309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177</v>
      </c>
      <c r="B163" s="187">
        <f>'Données projet'!D156</f>
        <v>87</v>
      </c>
      <c r="C163" s="204">
        <v>150</v>
      </c>
      <c r="D163" s="194">
        <f t="shared" si="10"/>
        <v>13050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180</v>
      </c>
      <c r="B164" s="187">
        <f>'Données projet'!D157</f>
        <v>58.794871794871796</v>
      </c>
      <c r="C164" s="204">
        <v>200</v>
      </c>
      <c r="D164" s="194">
        <f t="shared" si="10"/>
        <v>11758.974358974359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183</v>
      </c>
      <c r="B165" s="187">
        <f>'Données projet'!D158</f>
        <v>129.32692307692307</v>
      </c>
      <c r="C165" s="204">
        <v>200</v>
      </c>
      <c r="D165" s="194">
        <f t="shared" si="10"/>
        <v>25865.384615384613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2023-08-24T16:31:29Z</dcterms:modified>
</cp:coreProperties>
</file>