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# HERMOUET/GUILLOTEAU - 13789557 LE/"/>
    </mc:Choice>
  </mc:AlternateContent>
  <xr:revisionPtr revIDLastSave="189" documentId="13_ncr:1_{91C62E09-7A97-40C6-8A6D-8C8B5668C142}" xr6:coauthVersionLast="47" xr6:coauthVersionMax="47" xr10:uidLastSave="{0EFB522A-46AB-4E61-8645-0D2F8610137A}"/>
  <bookViews>
    <workbookView xWindow="-28905" yWindow="7635" windowWidth="14610" windowHeight="1558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I22" i="6"/>
  <c r="I23" i="6"/>
  <c r="I21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FS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I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G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I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X155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I160" i="2"/>
  <c r="EY159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B162" i="2" l="1"/>
  <c r="ED161" i="2"/>
  <c r="EY161" i="2"/>
  <c r="EW162" i="2"/>
  <c r="DI161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I163" i="2"/>
  <c r="ED163" i="2"/>
  <c r="EA164" i="2"/>
  <c r="FR164" i="2"/>
  <c r="HH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Y166" i="2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B168" i="2"/>
  <c r="DG168" i="2"/>
  <c r="EC168" i="2"/>
  <c r="EV168" i="2"/>
  <c r="EW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A172" i="2"/>
  <c r="ED171" i="2"/>
  <c r="EB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D172" i="2"/>
  <c r="EX173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A178" i="2"/>
  <c r="EB178" i="2"/>
  <c r="ED177" i="2"/>
  <c r="HH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Y184" i="2"/>
  <c r="HI185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HH189" i="2"/>
  <c r="AA189" i="2"/>
  <c r="EB189" i="2"/>
  <c r="EV189" i="2"/>
  <c r="EC189" i="2"/>
  <c r="FS189" i="2"/>
  <c r="HI189" i="2"/>
  <c r="EX189" i="2"/>
  <c r="EY189" i="2" s="1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D189" i="2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EB193" i="2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G194" i="2"/>
  <c r="EB194" i="2"/>
  <c r="HI194" i="2"/>
  <c r="ED193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ED194" i="2"/>
  <c r="EY194" i="2"/>
  <c r="AA195" i="2"/>
  <c r="EX195" i="2"/>
  <c r="HI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AA197" i="2"/>
  <c r="FS197" i="2"/>
  <c r="HH197" i="2"/>
  <c r="EA197" i="2"/>
  <c r="EW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EV199" i="2"/>
  <c r="FS199" i="2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FS201" i="2" l="1"/>
  <c r="DI200" i="2"/>
  <c r="ED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S202" i="2" l="1"/>
  <c r="HI202" i="2"/>
  <c r="EW202" i="2"/>
  <c r="ED201" i="2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BC114" i="2" a="1"/>
  <c r="BC114" i="2" s="1"/>
  <c r="BC65" i="2" a="1"/>
  <c r="BC65" i="2" s="1"/>
  <c r="BC181" i="2" a="1"/>
  <c r="BC181" i="2" s="1"/>
  <c r="GT102" i="2" a="1"/>
  <c r="GT102" i="2" s="1"/>
  <c r="GT11" i="2" a="1"/>
  <c r="GT11" i="2" s="1"/>
  <c r="CS129" i="2" a="1"/>
  <c r="CS129" i="2" s="1"/>
  <c r="CS116" i="2" a="1"/>
  <c r="CS116" i="2" s="1"/>
  <c r="CS137" i="2" a="1"/>
  <c r="CS137" i="2" s="1"/>
  <c r="CS105" i="2" a="1"/>
  <c r="CS105" i="2" s="1"/>
  <c r="CS38" i="2" a="1"/>
  <c r="CS38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7" i="2" a="1"/>
  <c r="BC7" i="2" s="1"/>
  <c r="BC151" i="2" a="1"/>
  <c r="BC151" i="2" s="1"/>
  <c r="BC83" i="2" a="1"/>
  <c r="BC83" i="2" s="1"/>
  <c r="GT138" i="2" a="1"/>
  <c r="GT138" i="2" s="1"/>
  <c r="GT15" i="2" a="1"/>
  <c r="GT15" i="2" s="1"/>
  <c r="EI38" i="2" a="1"/>
  <c r="EI38" i="2" s="1"/>
  <c r="EI128" i="2" a="1"/>
  <c r="EI128" i="2" s="1"/>
  <c r="EI113" i="2" a="1"/>
  <c r="EI113" i="2" s="1"/>
  <c r="DN6" i="2" a="1"/>
  <c r="DN6" i="2" s="1"/>
  <c r="DO6" i="2" s="1"/>
  <c r="CS24" i="2" a="1"/>
  <c r="CS24" i="2" s="1"/>
  <c r="CS134" i="2" a="1"/>
  <c r="CS134" i="2" s="1"/>
  <c r="CS72" i="2" a="1"/>
  <c r="CS72" i="2" s="1"/>
  <c r="HJ202" i="2"/>
  <c r="AX200" i="2"/>
  <c r="FD159" i="2" l="1" a="1"/>
  <c r="FD159" i="2" s="1"/>
  <c r="FD82" i="2" a="1"/>
  <c r="FD82" i="2" s="1"/>
  <c r="EI195" i="2" a="1"/>
  <c r="EI195" i="2" s="1"/>
  <c r="EI37" i="2" a="1"/>
  <c r="EI37" i="2" s="1"/>
  <c r="EI166" i="2" a="1"/>
  <c r="EI166" i="2" s="1"/>
  <c r="EI35" i="2" a="1"/>
  <c r="EI35" i="2" s="1"/>
  <c r="EI67" i="2" a="1"/>
  <c r="EI67" i="2" s="1"/>
  <c r="EI170" i="2" a="1"/>
  <c r="EI170" i="2" s="1"/>
  <c r="EI139" i="2" a="1"/>
  <c r="EI139" i="2" s="1"/>
  <c r="EI16" i="2" a="1"/>
  <c r="EI16" i="2" s="1"/>
  <c r="DN63" i="2" a="1"/>
  <c r="DN63" i="2" s="1"/>
  <c r="DN103" i="2" a="1"/>
  <c r="DN103" i="2" s="1"/>
  <c r="DN70" i="2" a="1"/>
  <c r="DN70" i="2" s="1"/>
  <c r="DN113" i="2" a="1"/>
  <c r="DN113" i="2" s="1"/>
  <c r="BC126" i="2" a="1"/>
  <c r="BC126" i="2" s="1"/>
  <c r="BC18" i="2" a="1"/>
  <c r="BC18" i="2" s="1"/>
  <c r="BC82" i="2" a="1"/>
  <c r="BC82" i="2" s="1"/>
  <c r="BC38" i="2" a="1"/>
  <c r="BC38" i="2" s="1"/>
  <c r="BC47" i="2" a="1"/>
  <c r="BC47" i="2" s="1"/>
  <c r="BC185" i="2" a="1"/>
  <c r="BC185" i="2" s="1"/>
  <c r="BC68" i="2" a="1"/>
  <c r="BC68" i="2" s="1"/>
  <c r="BC58" i="2" a="1"/>
  <c r="BC58" i="2" s="1"/>
  <c r="BC143" i="2" a="1"/>
  <c r="BC143" i="2" s="1"/>
  <c r="BC31" i="2" a="1"/>
  <c r="BC31" i="2" s="1"/>
  <c r="BC34" i="2" a="1"/>
  <c r="BC34" i="2" s="1"/>
  <c r="GT147" i="2" a="1"/>
  <c r="GT147" i="2" s="1"/>
  <c r="DN16" i="2" a="1"/>
  <c r="DN16" i="2" s="1"/>
  <c r="GT33" i="2" a="1"/>
  <c r="GT33" i="2" s="1"/>
  <c r="GT133" i="2" a="1"/>
  <c r="GT133" i="2" s="1"/>
  <c r="FY196" i="2" a="1"/>
  <c r="FY196" i="2" s="1"/>
  <c r="EI20" i="2" a="1"/>
  <c r="EI20" i="2" s="1"/>
  <c r="GT122" i="2" a="1"/>
  <c r="GT122" i="2" s="1"/>
  <c r="DN46" i="2" a="1"/>
  <c r="DN46" i="2" s="1"/>
  <c r="DN38" i="2" a="1"/>
  <c r="DN38" i="2" s="1"/>
  <c r="EI165" i="2" a="1"/>
  <c r="EI165" i="2" s="1"/>
  <c r="GT178" i="2" a="1"/>
  <c r="GT178" i="2" s="1"/>
  <c r="CS161" i="2" a="1"/>
  <c r="CS161" i="2" s="1"/>
  <c r="DN177" i="2" a="1"/>
  <c r="DN177" i="2" s="1"/>
  <c r="CS52" i="2" a="1"/>
  <c r="CS52" i="2" s="1"/>
  <c r="GT68" i="2" a="1"/>
  <c r="GT68" i="2" s="1"/>
  <c r="FY190" i="2" a="1"/>
  <c r="FY190" i="2" s="1"/>
  <c r="DN187" i="2" a="1"/>
  <c r="DN187" i="2" s="1"/>
  <c r="DN184" i="2" a="1"/>
  <c r="DN184" i="2" s="1"/>
  <c r="DN152" i="2" a="1"/>
  <c r="DN152" i="2" s="1"/>
  <c r="DN45" i="2" a="1"/>
  <c r="DN45" i="2" s="1"/>
  <c r="DN150" i="2" a="1"/>
  <c r="DN150" i="2" s="1"/>
  <c r="DN192" i="2" a="1"/>
  <c r="DN192" i="2" s="1"/>
  <c r="GT38" i="2" a="1"/>
  <c r="GT38" i="2" s="1"/>
  <c r="DN30" i="2" a="1"/>
  <c r="DN30" i="2" s="1"/>
  <c r="EI71" i="2" a="1"/>
  <c r="EI71" i="2" s="1"/>
  <c r="GT189" i="2" a="1"/>
  <c r="GT189" i="2" s="1"/>
  <c r="AH163" i="2" a="1"/>
  <c r="AH163" i="2" s="1"/>
  <c r="DN115" i="2" a="1"/>
  <c r="DN115" i="2" s="1"/>
  <c r="DN124" i="2" a="1"/>
  <c r="DN124" i="2" s="1"/>
  <c r="GT181" i="2" a="1"/>
  <c r="GT181" i="2" s="1"/>
  <c r="AH92" i="2" a="1"/>
  <c r="AH92" i="2" s="1"/>
  <c r="DN167" i="2" a="1"/>
  <c r="DN167" i="2" s="1"/>
  <c r="DN186" i="2" a="1"/>
  <c r="DN186" i="2" s="1"/>
  <c r="DN164" i="2" a="1"/>
  <c r="DN164" i="2" s="1"/>
  <c r="DN188" i="2" a="1"/>
  <c r="DN188" i="2" s="1"/>
  <c r="GT74" i="2" a="1"/>
  <c r="GT74" i="2" s="1"/>
  <c r="EI57" i="2" a="1"/>
  <c r="EI57" i="2" s="1"/>
  <c r="AH62" i="2" a="1"/>
  <c r="AH62" i="2" s="1"/>
  <c r="DN153" i="2" a="1"/>
  <c r="DN153" i="2" s="1"/>
  <c r="CS66" i="2" a="1"/>
  <c r="CS66" i="2" s="1"/>
  <c r="GT184" i="2" a="1"/>
  <c r="GT184" i="2" s="1"/>
  <c r="FY78" i="2" a="1"/>
  <c r="FY78" i="2" s="1"/>
  <c r="DN123" i="2" a="1"/>
  <c r="DN123" i="2" s="1"/>
  <c r="BX107" i="2" a="1"/>
  <c r="BX107" i="2" s="1"/>
  <c r="GT152" i="2" a="1"/>
  <c r="GT152" i="2" s="1"/>
  <c r="DN162" i="2" a="1"/>
  <c r="DN162" i="2" s="1"/>
  <c r="EI34" i="2" a="1"/>
  <c r="EI34" i="2" s="1"/>
  <c r="FY104" i="2" a="1"/>
  <c r="FY104" i="2" s="1"/>
  <c r="CS114" i="2" a="1"/>
  <c r="CS114" i="2" s="1"/>
  <c r="DN190" i="2" a="1"/>
  <c r="DN190" i="2" s="1"/>
  <c r="EI36" i="2" a="1"/>
  <c r="EI36" i="2" s="1"/>
  <c r="GT21" i="2" a="1"/>
  <c r="GT21" i="2" s="1"/>
  <c r="AH199" i="2" a="1"/>
  <c r="AH199" i="2" s="1"/>
  <c r="DN170" i="2" a="1"/>
  <c r="DN170" i="2" s="1"/>
  <c r="DN155" i="2" a="1"/>
  <c r="DN155" i="2" s="1"/>
  <c r="GT115" i="2" a="1"/>
  <c r="GT115" i="2" s="1"/>
  <c r="FY186" i="2" a="1"/>
  <c r="FY186" i="2" s="1"/>
  <c r="GT107" i="2" a="1"/>
  <c r="GT107" i="2" s="1"/>
  <c r="DN29" i="2" a="1"/>
  <c r="DN29" i="2" s="1"/>
  <c r="GT190" i="2" a="1"/>
  <c r="GT190" i="2" s="1"/>
  <c r="FY30" i="2" a="1"/>
  <c r="FY30" i="2" s="1"/>
  <c r="DN49" i="2" a="1"/>
  <c r="DN49" i="2" s="1"/>
  <c r="DN137" i="2" a="1"/>
  <c r="DN137" i="2" s="1"/>
  <c r="DN135" i="2" a="1"/>
  <c r="DN135" i="2" s="1"/>
  <c r="GT51" i="2" a="1"/>
  <c r="GT51" i="2" s="1"/>
  <c r="DN176" i="2" a="1"/>
  <c r="DN176" i="2" s="1"/>
  <c r="DN133" i="2" a="1"/>
  <c r="DN133" i="2" s="1"/>
  <c r="GT12" i="2" a="1"/>
  <c r="GT12" i="2" s="1"/>
  <c r="CS77" i="2" a="1"/>
  <c r="CS77" i="2" s="1"/>
  <c r="DN129" i="2" a="1"/>
  <c r="DN129" i="2" s="1"/>
  <c r="EI142" i="2" a="1"/>
  <c r="EI142" i="2" s="1"/>
  <c r="DN56" i="2" a="1"/>
  <c r="DN56" i="2" s="1"/>
  <c r="FY69" i="2" a="1"/>
  <c r="FY69" i="2" s="1"/>
  <c r="DN55" i="2" a="1"/>
  <c r="DN55" i="2" s="1"/>
  <c r="DN25" i="2" a="1"/>
  <c r="DN25" i="2" s="1"/>
  <c r="DN110" i="2" a="1"/>
  <c r="DN110" i="2" s="1"/>
  <c r="DN31" i="2" a="1"/>
  <c r="DN31" i="2" s="1"/>
  <c r="GT174" i="2" a="1"/>
  <c r="GT174" i="2" s="1"/>
  <c r="DN41" i="2" a="1"/>
  <c r="DN41" i="2" s="1"/>
  <c r="GT191" i="2" a="1"/>
  <c r="GT191" i="2" s="1"/>
  <c r="DN43" i="2" a="1"/>
  <c r="DN43" i="2" s="1"/>
  <c r="DN66" i="2" a="1"/>
  <c r="DN66" i="2" s="1"/>
  <c r="GT121" i="2" a="1"/>
  <c r="GT121" i="2" s="1"/>
  <c r="DN132" i="2" a="1"/>
  <c r="DN132" i="2" s="1"/>
  <c r="GT126" i="2" a="1"/>
  <c r="GT126" i="2" s="1"/>
  <c r="FS203" i="2"/>
  <c r="DN86" i="2" a="1"/>
  <c r="DN86" i="2" s="1"/>
  <c r="CS56" i="2" a="1"/>
  <c r="CS56" i="2" s="1"/>
  <c r="GT198" i="2" a="1"/>
  <c r="GT198" i="2" s="1"/>
  <c r="DN80" i="2" a="1"/>
  <c r="DN80" i="2" s="1"/>
  <c r="CS185" i="2" a="1"/>
  <c r="CS185" i="2" s="1"/>
  <c r="EI87" i="2" a="1"/>
  <c r="EI87" i="2" s="1"/>
  <c r="DN65" i="2" a="1"/>
  <c r="DN65" i="2" s="1"/>
  <c r="DN168" i="2" a="1"/>
  <c r="DN168" i="2" s="1"/>
  <c r="EI109" i="2" a="1"/>
  <c r="EI109" i="2" s="1"/>
  <c r="CS120" i="2" a="1"/>
  <c r="CS120" i="2" s="1"/>
  <c r="FD160" i="2" a="1"/>
  <c r="FD160" i="2" s="1"/>
  <c r="DN114" i="2" a="1"/>
  <c r="DN114" i="2" s="1"/>
  <c r="DN50" i="2" a="1"/>
  <c r="DN50" i="2" s="1"/>
  <c r="EI106" i="2" a="1"/>
  <c r="EI106" i="2" s="1"/>
  <c r="BC117" i="2" a="1"/>
  <c r="BC117" i="2" s="1"/>
  <c r="FY35" i="2" a="1"/>
  <c r="FY35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Y203" i="2"/>
  <c r="FZ8" i="2"/>
  <c r="FZ9" i="2" s="1"/>
  <c r="FZ10" i="2" s="1"/>
  <c r="FZ11" i="2" s="1"/>
  <c r="ED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34" i="2" l="1"/>
  <c r="FJ183" i="2"/>
  <c r="FJ156" i="2"/>
  <c r="FJ131" i="2"/>
  <c r="FJ112" i="2"/>
  <c r="FJ34" i="2"/>
  <c r="FJ63" i="2"/>
  <c r="FJ176" i="2"/>
  <c r="FJ181" i="2"/>
  <c r="FJ148" i="2"/>
  <c r="FJ165" i="2"/>
  <c r="FJ70" i="2"/>
  <c r="FJ161" i="2"/>
  <c r="FJ77" i="2"/>
  <c r="FJ164" i="2"/>
  <c r="FJ179" i="2"/>
  <c r="FJ121" i="2"/>
  <c r="FJ198" i="2"/>
  <c r="FJ99" i="2"/>
  <c r="FJ163" i="2"/>
  <c r="FJ36" i="2"/>
  <c r="FJ66" i="2"/>
  <c r="FJ97" i="2"/>
  <c r="FJ75" i="2"/>
  <c r="FJ14" i="2"/>
  <c r="FJ154" i="2"/>
  <c r="FJ80" i="2"/>
  <c r="FJ114" i="2"/>
  <c r="FJ48" i="2"/>
  <c r="FJ120" i="2"/>
  <c r="FJ133" i="2"/>
  <c r="FJ173" i="2"/>
  <c r="FJ12" i="2"/>
  <c r="FJ5" i="2"/>
  <c r="FJ9" i="2"/>
  <c r="FJ59" i="2"/>
  <c r="FJ38" i="2"/>
  <c r="FJ43" i="2"/>
  <c r="FJ28" i="2"/>
  <c r="FJ55" i="2"/>
  <c r="FJ40" i="2"/>
  <c r="FJ22" i="2"/>
  <c r="FJ25" i="2"/>
  <c r="FJ96" i="2"/>
  <c r="FJ93" i="2"/>
  <c r="FJ128" i="2"/>
  <c r="FJ98" i="2"/>
  <c r="FJ37" i="2"/>
  <c r="FJ58" i="2"/>
  <c r="FJ160" i="2"/>
  <c r="FJ91" i="2"/>
  <c r="FJ135" i="2"/>
  <c r="FJ8" i="2"/>
  <c r="FJ87" i="2"/>
  <c r="FJ171" i="2"/>
  <c r="FJ95" i="2"/>
  <c r="FJ24" i="2"/>
  <c r="FJ178" i="2"/>
  <c r="FJ33" i="2"/>
  <c r="FJ200" i="2"/>
  <c r="FJ140" i="2"/>
  <c r="FJ52" i="2"/>
  <c r="FJ51" i="2"/>
  <c r="FJ193" i="2"/>
  <c r="FJ76" i="2"/>
  <c r="FJ85" i="2"/>
  <c r="FJ180" i="2"/>
  <c r="FJ3" i="2"/>
  <c r="C13" i="4" s="1"/>
  <c r="E13" i="4" s="1"/>
  <c r="F13" i="4" s="1"/>
  <c r="G13" i="4" s="1"/>
  <c r="L13" i="4" s="1"/>
  <c r="FJ167" i="2"/>
  <c r="FJ17" i="2"/>
  <c r="FJ189" i="2"/>
  <c r="FJ42" i="2"/>
  <c r="FJ60" i="2"/>
  <c r="FJ68" i="2"/>
  <c r="FJ78" i="2"/>
  <c r="FJ23" i="2"/>
  <c r="FJ122" i="2"/>
  <c r="FJ151" i="2"/>
  <c r="FJ11" i="2"/>
  <c r="FJ26" i="2"/>
  <c r="FJ124" i="2"/>
  <c r="FJ130" i="2"/>
  <c r="FJ201" i="2"/>
  <c r="FJ118" i="2"/>
  <c r="FJ74" i="2"/>
  <c r="FJ126" i="2"/>
  <c r="FJ195" i="2"/>
  <c r="FJ50" i="2"/>
  <c r="FJ109" i="2"/>
  <c r="FJ108" i="2"/>
  <c r="FJ18" i="2"/>
  <c r="FJ7" i="2"/>
  <c r="FJ182" i="2"/>
  <c r="FJ61" i="2"/>
  <c r="FJ15" i="2"/>
  <c r="FJ73" i="2"/>
  <c r="FJ187" i="2"/>
  <c r="FJ45" i="2"/>
  <c r="FJ65" i="2"/>
  <c r="FJ170" i="2"/>
  <c r="FJ146" i="2"/>
  <c r="FJ6" i="2"/>
  <c r="FJ192" i="2"/>
  <c r="FJ107" i="2"/>
  <c r="FJ111" i="2"/>
  <c r="FJ44" i="2"/>
  <c r="FJ157" i="2"/>
  <c r="FJ155" i="2"/>
  <c r="FJ119" i="2"/>
  <c r="FJ106" i="2"/>
  <c r="FJ16" i="2"/>
  <c r="FJ115" i="2"/>
  <c r="FJ145" i="2"/>
  <c r="FJ21" i="2"/>
  <c r="FJ39" i="2"/>
  <c r="FJ177" i="2"/>
  <c r="FJ197" i="2"/>
  <c r="FJ53" i="2"/>
  <c r="FJ194" i="2"/>
  <c r="FJ27" i="2"/>
  <c r="FJ88" i="2"/>
  <c r="FJ29" i="2"/>
  <c r="FJ13" i="2"/>
  <c r="FJ90" i="2"/>
  <c r="FJ83" i="2"/>
  <c r="FJ174" i="2"/>
  <c r="FJ158" i="2"/>
  <c r="FJ54" i="2"/>
  <c r="FJ196" i="2"/>
  <c r="FJ172" i="2"/>
  <c r="FJ4" i="2"/>
  <c r="FJ139" i="2"/>
  <c r="FJ117" i="2"/>
  <c r="FJ141" i="2"/>
  <c r="FJ137" i="2"/>
  <c r="FJ199" i="2"/>
  <c r="FJ162" i="2"/>
  <c r="FJ84" i="2"/>
  <c r="FJ159" i="2"/>
  <c r="FJ185" i="2"/>
  <c r="FJ150" i="2"/>
  <c r="FJ64" i="2"/>
  <c r="FJ166" i="2"/>
  <c r="FJ125" i="2"/>
  <c r="FJ169" i="2"/>
  <c r="FJ110" i="2"/>
  <c r="FJ153" i="2"/>
  <c r="FJ102" i="2"/>
  <c r="FJ79" i="2"/>
  <c r="FJ101" i="2"/>
  <c r="FJ138" i="2"/>
  <c r="FJ136" i="2"/>
  <c r="FJ103" i="2"/>
  <c r="FJ56" i="2"/>
  <c r="FJ186" i="2"/>
  <c r="FJ10" i="2"/>
  <c r="FJ82" i="2"/>
  <c r="FJ127" i="2"/>
  <c r="FJ49" i="2"/>
  <c r="FJ149" i="2"/>
  <c r="FJ81" i="2"/>
  <c r="FJ113" i="2"/>
  <c r="FJ191" i="2"/>
  <c r="FJ104" i="2"/>
  <c r="FJ105" i="2"/>
  <c r="FJ35" i="2"/>
  <c r="FJ175" i="2"/>
  <c r="FJ129" i="2"/>
  <c r="FJ190" i="2"/>
  <c r="FJ100" i="2"/>
  <c r="FJ19" i="2"/>
  <c r="FJ72" i="2"/>
  <c r="FJ32" i="2"/>
  <c r="FJ67" i="2"/>
  <c r="FJ152" i="2"/>
  <c r="FJ203" i="2"/>
  <c r="FJ30" i="2"/>
  <c r="FJ116" i="2"/>
  <c r="FJ132" i="2"/>
  <c r="FJ168" i="2"/>
  <c r="FJ147" i="2"/>
  <c r="FJ184" i="2"/>
  <c r="FJ123" i="2"/>
  <c r="FJ188" i="2"/>
  <c r="FJ143" i="2"/>
  <c r="FJ86" i="2"/>
  <c r="FJ69" i="2"/>
  <c r="FJ62" i="2"/>
  <c r="FJ92" i="2"/>
  <c r="FJ71" i="2"/>
  <c r="FJ202" i="2"/>
  <c r="FJ94" i="2"/>
  <c r="FJ47" i="2"/>
  <c r="FJ46" i="2"/>
  <c r="FJ57" i="2"/>
  <c r="FJ20" i="2"/>
  <c r="FJ142" i="2"/>
  <c r="FJ31" i="2"/>
  <c r="FJ89" i="2"/>
  <c r="FJ144" i="2"/>
  <c r="FJ41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CD3" i="2" l="1"/>
  <c r="C9" i="4" s="1"/>
  <c r="E9" i="4" s="1"/>
  <c r="F9" i="4" s="1"/>
  <c r="G9" i="4" s="1"/>
  <c r="L9" i="4" s="1"/>
  <c r="CD60" i="2"/>
  <c r="CD48" i="2"/>
  <c r="CD86" i="2"/>
  <c r="CD175" i="2"/>
  <c r="CD13" i="2"/>
  <c r="CD78" i="2"/>
  <c r="CD24" i="2"/>
  <c r="CD168" i="2"/>
  <c r="CD148" i="2"/>
  <c r="CD20" i="2"/>
  <c r="CD161" i="2"/>
  <c r="CD85" i="2"/>
  <c r="CD153" i="2"/>
  <c r="CD119" i="2"/>
  <c r="CD10" i="2"/>
  <c r="CD68" i="2"/>
  <c r="CD91" i="2"/>
  <c r="CD129" i="2"/>
  <c r="CD34" i="2"/>
  <c r="CD16" i="2"/>
  <c r="CD162" i="2"/>
  <c r="CD54" i="2"/>
  <c r="CD31" i="2"/>
  <c r="CD181" i="2"/>
  <c r="CD8" i="2"/>
  <c r="CD67" i="2"/>
  <c r="CD154" i="2"/>
  <c r="CD166" i="2"/>
  <c r="CD171" i="2"/>
  <c r="CD170" i="2"/>
  <c r="CD117" i="2"/>
  <c r="CD198" i="2"/>
  <c r="CD100" i="2"/>
  <c r="CD88" i="2"/>
  <c r="CD96" i="2"/>
  <c r="CD36" i="2"/>
  <c r="CD191" i="2"/>
  <c r="CD93" i="2"/>
  <c r="CD82" i="2"/>
  <c r="CD121" i="2"/>
  <c r="CD124" i="2"/>
  <c r="CD137" i="2"/>
  <c r="CD17" i="2"/>
  <c r="CD103" i="2"/>
  <c r="CD125" i="2"/>
  <c r="CD50" i="2"/>
  <c r="CD23" i="2"/>
  <c r="CD53" i="2"/>
  <c r="CD190" i="2"/>
  <c r="CD196" i="2"/>
  <c r="CD123" i="2"/>
  <c r="CD57" i="2"/>
  <c r="CD90" i="2"/>
  <c r="CD71" i="2"/>
  <c r="CD12" i="2"/>
  <c r="CD89" i="2"/>
  <c r="CD197" i="2"/>
  <c r="CD163" i="2"/>
  <c r="CD51" i="2"/>
  <c r="CD150" i="2"/>
  <c r="CD152" i="2"/>
  <c r="CD185" i="2"/>
  <c r="CD165" i="2"/>
  <c r="CD74" i="2"/>
  <c r="CD58" i="2"/>
  <c r="CD156" i="2"/>
  <c r="CD109" i="2"/>
  <c r="CD202" i="2"/>
  <c r="CD184" i="2"/>
  <c r="CD192" i="2"/>
  <c r="CD158" i="2"/>
  <c r="CD155" i="2"/>
  <c r="CD33" i="2"/>
  <c r="CD84" i="2"/>
  <c r="CD39" i="2"/>
  <c r="CD130" i="2"/>
  <c r="CD187" i="2"/>
  <c r="CD107" i="2"/>
  <c r="CD199" i="2"/>
  <c r="CD69" i="2"/>
  <c r="CD19" i="2"/>
  <c r="CD49" i="2"/>
  <c r="CD182" i="2"/>
  <c r="CD32" i="2"/>
  <c r="CD79" i="2"/>
  <c r="CD189" i="2"/>
  <c r="CD164" i="2"/>
  <c r="CD167" i="2"/>
  <c r="CD201" i="2"/>
  <c r="CD173" i="2"/>
  <c r="CD160" i="2"/>
  <c r="CD139" i="2"/>
  <c r="CD110" i="2"/>
  <c r="CD72" i="2"/>
  <c r="CD146" i="2"/>
  <c r="CD52" i="2"/>
  <c r="CD203" i="2"/>
  <c r="CD27" i="2"/>
  <c r="CD135" i="2"/>
  <c r="CD143" i="2"/>
  <c r="CD188" i="2"/>
  <c r="CD186" i="2"/>
  <c r="CD56" i="2"/>
  <c r="CD147" i="2"/>
  <c r="CD22" i="2"/>
  <c r="CD66" i="2"/>
  <c r="CD127" i="2"/>
  <c r="CD113" i="2"/>
  <c r="CD87" i="2"/>
  <c r="CD145" i="2"/>
  <c r="CD15" i="2"/>
  <c r="CD200" i="2"/>
  <c r="CD144" i="2"/>
  <c r="CD41" i="2"/>
  <c r="CD29" i="2"/>
  <c r="CD40" i="2"/>
  <c r="CD30" i="2"/>
  <c r="CD64" i="2"/>
  <c r="CD176" i="2"/>
  <c r="CD114" i="2"/>
  <c r="CD25" i="2"/>
  <c r="CD81" i="2"/>
  <c r="CD80" i="2"/>
  <c r="CD102" i="2"/>
  <c r="CD134" i="2"/>
  <c r="CD115" i="2"/>
  <c r="CD151" i="2"/>
  <c r="CD37" i="2"/>
  <c r="CD35" i="2"/>
  <c r="CD75" i="2"/>
  <c r="CD95" i="2"/>
  <c r="CD46" i="2"/>
  <c r="CD21" i="2"/>
  <c r="CD183" i="2"/>
  <c r="CD122" i="2"/>
  <c r="CD43" i="2"/>
  <c r="CD133" i="2"/>
  <c r="CD92" i="2"/>
  <c r="CD118" i="2"/>
  <c r="CD105" i="2"/>
  <c r="CD26" i="2"/>
  <c r="CD6" i="2"/>
  <c r="CD101" i="2"/>
  <c r="CD98" i="2"/>
  <c r="CD142" i="2"/>
  <c r="CD55" i="2"/>
  <c r="CD77" i="2"/>
  <c r="CD28" i="2"/>
  <c r="CD7" i="2"/>
  <c r="CD62" i="2"/>
  <c r="CD44" i="2"/>
  <c r="CD73" i="2"/>
  <c r="CD59" i="2"/>
  <c r="CD149" i="2"/>
  <c r="CD126" i="2"/>
  <c r="CD5" i="2"/>
  <c r="CD179" i="2"/>
  <c r="CD63" i="2"/>
  <c r="CD178" i="2"/>
  <c r="CD169" i="2"/>
  <c r="CD116" i="2"/>
  <c r="CD112" i="2"/>
  <c r="CD172" i="2"/>
  <c r="CD132" i="2"/>
  <c r="CD97" i="2"/>
  <c r="CD111" i="2"/>
  <c r="CD18" i="2"/>
  <c r="CD9" i="2"/>
  <c r="CD38" i="2"/>
  <c r="CD61" i="2"/>
  <c r="CD140" i="2"/>
  <c r="CD4" i="2"/>
  <c r="CD131" i="2"/>
  <c r="CD120" i="2"/>
  <c r="CD104" i="2"/>
  <c r="CD195" i="2"/>
  <c r="CD106" i="2"/>
  <c r="CD42" i="2"/>
  <c r="CD138" i="2"/>
  <c r="CD180" i="2"/>
  <c r="CD99" i="2"/>
  <c r="CD194" i="2"/>
  <c r="CD83" i="2"/>
  <c r="CD177" i="2"/>
  <c r="CD14" i="2"/>
  <c r="CD11" i="2"/>
  <c r="CD45" i="2"/>
  <c r="CD128" i="2"/>
  <c r="CD65" i="2"/>
  <c r="CD47" i="2"/>
  <c r="CD70" i="2"/>
  <c r="CD94" i="2"/>
  <c r="CD76" i="2"/>
  <c r="CD141" i="2"/>
  <c r="CD157" i="2"/>
  <c r="CD193" i="2"/>
  <c r="CD136" i="2"/>
  <c r="CD174" i="2"/>
  <c r="CD108" i="2"/>
  <c r="CD159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DT186" i="2" l="1"/>
  <c r="DT97" i="2"/>
  <c r="DT137" i="2"/>
  <c r="DT88" i="2"/>
  <c r="DT20" i="2"/>
  <c r="DT129" i="2"/>
  <c r="DT36" i="2"/>
  <c r="DT195" i="2"/>
  <c r="DT25" i="2"/>
  <c r="DT158" i="2"/>
  <c r="DT107" i="2"/>
  <c r="DT105" i="2"/>
  <c r="DT41" i="2"/>
  <c r="DT144" i="2"/>
  <c r="DT5" i="2"/>
  <c r="DT81" i="2"/>
  <c r="DT39" i="2"/>
  <c r="DT80" i="2"/>
  <c r="DT130" i="2"/>
  <c r="DT164" i="2"/>
  <c r="DT70" i="2"/>
  <c r="DT64" i="2"/>
  <c r="DT48" i="2"/>
  <c r="DT102" i="2"/>
  <c r="DT99" i="2"/>
  <c r="DT188" i="2"/>
  <c r="DT201" i="2"/>
  <c r="DT176" i="2"/>
  <c r="DT78" i="2"/>
  <c r="DT93" i="2"/>
  <c r="DT147" i="2"/>
  <c r="DT170" i="2"/>
  <c r="DT203" i="2"/>
  <c r="DT79" i="2"/>
  <c r="DT45" i="2"/>
  <c r="DT181" i="2"/>
  <c r="DT108" i="2"/>
  <c r="DT106" i="2"/>
  <c r="DT200" i="2"/>
  <c r="DT28" i="2"/>
  <c r="DT75" i="2"/>
  <c r="DT38" i="2"/>
  <c r="DT148" i="2"/>
  <c r="DT51" i="2"/>
  <c r="DT110" i="2"/>
  <c r="DT95" i="2"/>
  <c r="DT177" i="2"/>
  <c r="DT100" i="2"/>
  <c r="DT73" i="2"/>
  <c r="DT104" i="2"/>
  <c r="DT180" i="2"/>
  <c r="DT62" i="2"/>
  <c r="DT84" i="2"/>
  <c r="DT92" i="2"/>
  <c r="DT69" i="2"/>
  <c r="DT53" i="2"/>
  <c r="DT58" i="2"/>
  <c r="DT134" i="2"/>
  <c r="DT87" i="2"/>
  <c r="DT49" i="2"/>
  <c r="DT44" i="2"/>
  <c r="DT191" i="2"/>
  <c r="DT187" i="2"/>
  <c r="DT55" i="2"/>
  <c r="DT127" i="2"/>
  <c r="DT153" i="2"/>
  <c r="DT132" i="2"/>
  <c r="DT192" i="2"/>
  <c r="DT42" i="2"/>
  <c r="DT113" i="2"/>
  <c r="DT47" i="2"/>
  <c r="DT10" i="2"/>
  <c r="DT101" i="2"/>
  <c r="DT27" i="2"/>
  <c r="DT12" i="2"/>
  <c r="DT37" i="2"/>
  <c r="DT162" i="2"/>
  <c r="DT7" i="2"/>
  <c r="DT163" i="2"/>
  <c r="DT140" i="2"/>
  <c r="DT13" i="2"/>
  <c r="DT40" i="2"/>
  <c r="DT11" i="2"/>
  <c r="DT175" i="2"/>
  <c r="DT90" i="2"/>
  <c r="DT32" i="2"/>
  <c r="DT52" i="2"/>
  <c r="DT96" i="2"/>
  <c r="DT141" i="2"/>
  <c r="DT91" i="2"/>
  <c r="DT118" i="2"/>
  <c r="DT29" i="2"/>
  <c r="DT85" i="2"/>
  <c r="DT123" i="2"/>
  <c r="DT120" i="2"/>
  <c r="DT194" i="2"/>
  <c r="DT33" i="2"/>
  <c r="DT77" i="2"/>
  <c r="DT74" i="2"/>
  <c r="DT179" i="2"/>
  <c r="DT166" i="2"/>
  <c r="DT193" i="2"/>
  <c r="DT133" i="2"/>
  <c r="DT114" i="2"/>
  <c r="DT199" i="2"/>
  <c r="DT124" i="2"/>
  <c r="DT8" i="2"/>
  <c r="DT146" i="2"/>
  <c r="DT15" i="2"/>
  <c r="DT150" i="2"/>
  <c r="DT82" i="2"/>
  <c r="DT116" i="2"/>
  <c r="DT60" i="2"/>
  <c r="DT172" i="2"/>
  <c r="DT171" i="2"/>
  <c r="DT50" i="2"/>
  <c r="DT76" i="2"/>
  <c r="DT115" i="2"/>
  <c r="DT152" i="2"/>
  <c r="DT161" i="2"/>
  <c r="DT174" i="2"/>
  <c r="DT196" i="2"/>
  <c r="DT14" i="2"/>
  <c r="DT119" i="2"/>
  <c r="DT185" i="2"/>
  <c r="DT125" i="2"/>
  <c r="DT72" i="2"/>
  <c r="DT121" i="2"/>
  <c r="DT168" i="2"/>
  <c r="DT16" i="2"/>
  <c r="DT56" i="2"/>
  <c r="DT197" i="2"/>
  <c r="DT68" i="2"/>
  <c r="DT54" i="2"/>
  <c r="DT151" i="2"/>
  <c r="DT160" i="2"/>
  <c r="DT138" i="2"/>
  <c r="DT63" i="2"/>
  <c r="DT17" i="2"/>
  <c r="DT189" i="2"/>
  <c r="DT131" i="2"/>
  <c r="DT149" i="2"/>
  <c r="DT24" i="2"/>
  <c r="DT59" i="2"/>
  <c r="DT117" i="2"/>
  <c r="DT143" i="2"/>
  <c r="DT43" i="2"/>
  <c r="DT57" i="2"/>
  <c r="DT35" i="2"/>
  <c r="DT157" i="2"/>
  <c r="DT30" i="2"/>
  <c r="DT155" i="2"/>
  <c r="DT6" i="2"/>
  <c r="DT126" i="2"/>
  <c r="DT139" i="2"/>
  <c r="DT183" i="2"/>
  <c r="DT184" i="2"/>
  <c r="DT71" i="2"/>
  <c r="DT66" i="2"/>
  <c r="DT190" i="2"/>
  <c r="DT61" i="2"/>
  <c r="DT98" i="2"/>
  <c r="DT26" i="2"/>
  <c r="DT94" i="2"/>
  <c r="DT31" i="2"/>
  <c r="DT165" i="2"/>
  <c r="DT67" i="2"/>
  <c r="DT65" i="2"/>
  <c r="DT34" i="2"/>
  <c r="DT109" i="2"/>
  <c r="DT159" i="2"/>
  <c r="DT202" i="2"/>
  <c r="DT135" i="2"/>
  <c r="DT198" i="2"/>
  <c r="DT136" i="2"/>
  <c r="DT19" i="2"/>
  <c r="DT112" i="2"/>
  <c r="DT89" i="2"/>
  <c r="DT154" i="2"/>
  <c r="DT128" i="2"/>
  <c r="DT83" i="2"/>
  <c r="DT178" i="2"/>
  <c r="DT23" i="2"/>
  <c r="DT103" i="2"/>
  <c r="DT122" i="2"/>
  <c r="DT21" i="2"/>
  <c r="DT173" i="2"/>
  <c r="DT4" i="2"/>
  <c r="DT156" i="2"/>
  <c r="DT86" i="2"/>
  <c r="DT3" i="2"/>
  <c r="C11" i="4" s="1"/>
  <c r="E11" i="4" s="1"/>
  <c r="F11" i="4" s="1"/>
  <c r="G11" i="4" s="1"/>
  <c r="L11" i="4" s="1"/>
  <c r="DT167" i="2"/>
  <c r="DT182" i="2"/>
  <c r="DT145" i="2"/>
  <c r="DT46" i="2"/>
  <c r="DT111" i="2"/>
  <c r="DT9" i="2"/>
  <c r="DT22" i="2"/>
  <c r="DT142" i="2"/>
  <c r="DT18" i="2"/>
  <c r="DT169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10" i="2" l="1"/>
  <c r="AN158" i="2"/>
  <c r="AN182" i="2"/>
  <c r="AN114" i="2"/>
  <c r="AN100" i="2"/>
  <c r="AN74" i="2"/>
  <c r="AN27" i="2"/>
  <c r="AN34" i="2"/>
  <c r="AN81" i="2"/>
  <c r="AN184" i="2"/>
  <c r="AN79" i="2"/>
  <c r="AN165" i="2"/>
  <c r="AN135" i="2"/>
  <c r="AN121" i="2"/>
  <c r="AN91" i="2"/>
  <c r="AN125" i="2"/>
  <c r="AN190" i="2"/>
  <c r="AN139" i="2"/>
  <c r="AN94" i="2"/>
  <c r="AN12" i="2"/>
  <c r="AN146" i="2"/>
  <c r="AN144" i="2"/>
  <c r="AN87" i="2"/>
  <c r="AN68" i="2"/>
  <c r="AN82" i="2"/>
  <c r="AN129" i="2"/>
  <c r="AN4" i="2"/>
  <c r="AN29" i="2"/>
  <c r="AN109" i="2"/>
  <c r="AN187" i="2"/>
  <c r="AN172" i="2"/>
  <c r="AN107" i="2"/>
  <c r="AN84" i="2"/>
  <c r="AN106" i="2"/>
  <c r="AN185" i="2"/>
  <c r="AN149" i="2"/>
  <c r="AN70" i="2"/>
  <c r="AN40" i="2"/>
  <c r="AN201" i="2"/>
  <c r="AN78" i="2"/>
  <c r="AN196" i="2"/>
  <c r="AN36" i="2"/>
  <c r="AN37" i="2"/>
  <c r="AN113" i="2"/>
  <c r="AN8" i="2"/>
  <c r="AN105" i="2"/>
  <c r="AN10" i="2"/>
  <c r="AN55" i="2"/>
  <c r="AN20" i="2"/>
  <c r="AN72" i="2"/>
  <c r="AN93" i="2"/>
  <c r="AN143" i="2"/>
  <c r="AN131" i="2"/>
  <c r="AN39" i="2"/>
  <c r="AN85" i="2"/>
  <c r="AN164" i="2"/>
  <c r="AN183" i="2"/>
  <c r="AN14" i="2"/>
  <c r="AN83" i="2"/>
  <c r="AN173" i="2"/>
  <c r="AN76" i="2"/>
  <c r="AN124" i="2"/>
  <c r="AN202" i="2"/>
  <c r="AN57" i="2"/>
  <c r="AN69" i="2"/>
  <c r="AN67" i="2"/>
  <c r="AN7" i="2"/>
  <c r="AN157" i="2"/>
  <c r="AN167" i="2"/>
  <c r="AN189" i="2"/>
  <c r="AN186" i="2"/>
  <c r="AN59" i="2"/>
  <c r="AN179" i="2"/>
  <c r="AN17" i="2"/>
  <c r="AN97" i="2"/>
  <c r="AN178" i="2"/>
  <c r="AN86" i="2"/>
  <c r="AN103" i="2"/>
  <c r="AN119" i="2"/>
  <c r="AN45" i="2"/>
  <c r="AN48" i="2"/>
  <c r="AN148" i="2"/>
  <c r="AN176" i="2"/>
  <c r="AN63" i="2"/>
  <c r="AN35" i="2"/>
  <c r="AN58" i="2"/>
  <c r="AN13" i="2"/>
  <c r="AN160" i="2"/>
  <c r="AN156" i="2"/>
  <c r="AN98" i="2"/>
  <c r="AN90" i="2"/>
  <c r="AN9" i="2"/>
  <c r="AN112" i="2"/>
  <c r="AN88" i="2"/>
  <c r="AN199" i="2"/>
  <c r="AN62" i="2"/>
  <c r="AN65" i="2"/>
  <c r="AN38" i="2"/>
  <c r="AN111" i="2"/>
  <c r="AN166" i="2"/>
  <c r="AN31" i="2"/>
  <c r="AN77" i="2"/>
  <c r="AN11" i="2"/>
  <c r="AN95" i="2"/>
  <c r="AN18" i="2"/>
  <c r="AN177" i="2"/>
  <c r="AN19" i="2"/>
  <c r="AN193" i="2"/>
  <c r="AN191" i="2"/>
  <c r="AN130" i="2"/>
  <c r="AN142" i="2"/>
  <c r="AN6" i="2"/>
  <c r="AN194" i="2"/>
  <c r="AN145" i="2"/>
  <c r="AN136" i="2"/>
  <c r="AN24" i="2"/>
  <c r="AN195" i="2"/>
  <c r="AN71" i="2"/>
  <c r="AN49" i="2"/>
  <c r="AN133" i="2"/>
  <c r="AN126" i="2"/>
  <c r="AN28" i="2"/>
  <c r="AN203" i="2"/>
  <c r="AN47" i="2"/>
  <c r="AN33" i="2"/>
  <c r="AN154" i="2"/>
  <c r="AN23" i="2"/>
  <c r="AN22" i="2"/>
  <c r="AN150" i="2"/>
  <c r="AN198" i="2"/>
  <c r="AN116" i="2"/>
  <c r="AN174" i="2"/>
  <c r="AN127" i="2"/>
  <c r="AN102" i="2"/>
  <c r="AN25" i="2"/>
  <c r="AN43" i="2"/>
  <c r="AN104" i="2"/>
  <c r="AN51" i="2"/>
  <c r="AN153" i="2"/>
  <c r="AN15" i="2"/>
  <c r="AN3" i="2"/>
  <c r="C7" i="4" s="1"/>
  <c r="E7" i="4" s="1"/>
  <c r="F7" i="4" s="1"/>
  <c r="G7" i="4" s="1"/>
  <c r="L7" i="4" s="1"/>
  <c r="AN5" i="2"/>
  <c r="AN123" i="2"/>
  <c r="AN56" i="2"/>
  <c r="AN171" i="2"/>
  <c r="AN162" i="2"/>
  <c r="AN108" i="2"/>
  <c r="AN41" i="2"/>
  <c r="AN52" i="2"/>
  <c r="AN92" i="2"/>
  <c r="AN44" i="2"/>
  <c r="AN138" i="2"/>
  <c r="AN80" i="2"/>
  <c r="AN99" i="2"/>
  <c r="AN122" i="2"/>
  <c r="AN152" i="2"/>
  <c r="AN96" i="2"/>
  <c r="AN137" i="2"/>
  <c r="AN151" i="2"/>
  <c r="AN120" i="2"/>
  <c r="AN140" i="2"/>
  <c r="AN89" i="2"/>
  <c r="AN73" i="2"/>
  <c r="AN200" i="2"/>
  <c r="AN16" i="2"/>
  <c r="AN155" i="2"/>
  <c r="AN197" i="2"/>
  <c r="AN132" i="2"/>
  <c r="AN53" i="2"/>
  <c r="AN175" i="2"/>
  <c r="AN115" i="2"/>
  <c r="AN26" i="2"/>
  <c r="AN147" i="2"/>
  <c r="AN32" i="2"/>
  <c r="AN118" i="2"/>
  <c r="AN61" i="2"/>
  <c r="AN188" i="2"/>
  <c r="AN128" i="2"/>
  <c r="AN30" i="2"/>
  <c r="AN50" i="2"/>
  <c r="AN54" i="2"/>
  <c r="AN181" i="2"/>
  <c r="AN66" i="2"/>
  <c r="AN168" i="2"/>
  <c r="AN101" i="2"/>
  <c r="AN159" i="2"/>
  <c r="AN64" i="2"/>
  <c r="AN169" i="2"/>
  <c r="AN163" i="2"/>
  <c r="AN75" i="2"/>
  <c r="AN21" i="2"/>
  <c r="AN46" i="2"/>
  <c r="AN141" i="2"/>
  <c r="AN117" i="2"/>
  <c r="AN180" i="2"/>
  <c r="AN134" i="2"/>
  <c r="AN192" i="2"/>
  <c r="AN161" i="2"/>
  <c r="AN170" i="2"/>
  <c r="AN42" i="2"/>
  <c r="AN60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6" i="2" l="1"/>
  <c r="BI47" i="2"/>
  <c r="BI20" i="2"/>
  <c r="BI97" i="2"/>
  <c r="BI165" i="2"/>
  <c r="BI176" i="2"/>
  <c r="BI115" i="2"/>
  <c r="BI145" i="2"/>
  <c r="BI198" i="2"/>
  <c r="BI172" i="2"/>
  <c r="BI194" i="2"/>
  <c r="BI180" i="2"/>
  <c r="BI105" i="2"/>
  <c r="BI121" i="2"/>
  <c r="BI64" i="2"/>
  <c r="BI10" i="2"/>
  <c r="BI150" i="2"/>
  <c r="BI136" i="2"/>
  <c r="BI157" i="2"/>
  <c r="BI134" i="2"/>
  <c r="BI59" i="2"/>
  <c r="BI41" i="2"/>
  <c r="BI170" i="2"/>
  <c r="BI45" i="2"/>
  <c r="BI100" i="2"/>
  <c r="BI109" i="2"/>
  <c r="BI84" i="2"/>
  <c r="BI70" i="2"/>
  <c r="BI4" i="2"/>
  <c r="BI141" i="2"/>
  <c r="BI62" i="2"/>
  <c r="BI11" i="2"/>
  <c r="BI57" i="2"/>
  <c r="BI63" i="2"/>
  <c r="BI146" i="2"/>
  <c r="BI7" i="2"/>
  <c r="BI16" i="2"/>
  <c r="BI96" i="2"/>
  <c r="BI58" i="2"/>
  <c r="BI168" i="2"/>
  <c r="BI91" i="2"/>
  <c r="BI128" i="2"/>
  <c r="BI21" i="2"/>
  <c r="BI87" i="2"/>
  <c r="BI72" i="2"/>
  <c r="BI177" i="2"/>
  <c r="BI130" i="2"/>
  <c r="BI108" i="2"/>
  <c r="BI37" i="2"/>
  <c r="BI104" i="2"/>
  <c r="BI27" i="2"/>
  <c r="BI173" i="2"/>
  <c r="BI124" i="2"/>
  <c r="BI118" i="2"/>
  <c r="BI94" i="2"/>
  <c r="BI201" i="2"/>
  <c r="BI85" i="2"/>
  <c r="BI133" i="2"/>
  <c r="BI28" i="2"/>
  <c r="BI160" i="2"/>
  <c r="BI149" i="2"/>
  <c r="BI125" i="2"/>
  <c r="BI55" i="2"/>
  <c r="BI42" i="2"/>
  <c r="BI73" i="2"/>
  <c r="BI19" i="2"/>
  <c r="BI127" i="2"/>
  <c r="BI161" i="2"/>
  <c r="BI68" i="2"/>
  <c r="BI25" i="2"/>
  <c r="BI26" i="2"/>
  <c r="BI111" i="2"/>
  <c r="BI166" i="2"/>
  <c r="BI99" i="2"/>
  <c r="BI169" i="2"/>
  <c r="BI13" i="2"/>
  <c r="BI18" i="2"/>
  <c r="BI35" i="2"/>
  <c r="BI119" i="2"/>
  <c r="BI142" i="2"/>
  <c r="BI190" i="2"/>
  <c r="BI120" i="2"/>
  <c r="BI82" i="2"/>
  <c r="BI167" i="2"/>
  <c r="BI30" i="2"/>
  <c r="BI164" i="2"/>
  <c r="BI182" i="2"/>
  <c r="BI8" i="2"/>
  <c r="BI187" i="2"/>
  <c r="BI200" i="2"/>
  <c r="BI88" i="2"/>
  <c r="BI106" i="2"/>
  <c r="BI36" i="2"/>
  <c r="BI192" i="2"/>
  <c r="BI33" i="2"/>
  <c r="BI34" i="2"/>
  <c r="BI60" i="2"/>
  <c r="BI199" i="2"/>
  <c r="BI154" i="2"/>
  <c r="BI143" i="2"/>
  <c r="BI66" i="2"/>
  <c r="BI12" i="2"/>
  <c r="BI80" i="2"/>
  <c r="BI179" i="2"/>
  <c r="BI123" i="2"/>
  <c r="BI38" i="2"/>
  <c r="BI151" i="2"/>
  <c r="BI139" i="2"/>
  <c r="BI163" i="2"/>
  <c r="BI89" i="2"/>
  <c r="BI140" i="2"/>
  <c r="BI67" i="2"/>
  <c r="BI195" i="2"/>
  <c r="BI98" i="2"/>
  <c r="BI175" i="2"/>
  <c r="BI117" i="2"/>
  <c r="BI148" i="2"/>
  <c r="BI116" i="2"/>
  <c r="BI31" i="2"/>
  <c r="BI129" i="2"/>
  <c r="BI32" i="2"/>
  <c r="BI114" i="2"/>
  <c r="BI40" i="2"/>
  <c r="BI131" i="2"/>
  <c r="BI76" i="2"/>
  <c r="BI171" i="2"/>
  <c r="BI126" i="2"/>
  <c r="BI51" i="2"/>
  <c r="BI90" i="2"/>
  <c r="BI147" i="2"/>
  <c r="BI152" i="2"/>
  <c r="BI50" i="2"/>
  <c r="BI181" i="2"/>
  <c r="BI155" i="2"/>
  <c r="BI86" i="2"/>
  <c r="BI112" i="2"/>
  <c r="BI196" i="2"/>
  <c r="BI153" i="2"/>
  <c r="BI69" i="2"/>
  <c r="BI197" i="2"/>
  <c r="BI56" i="2"/>
  <c r="BI137" i="2"/>
  <c r="BI9" i="2"/>
  <c r="BI107" i="2"/>
  <c r="BI17" i="2"/>
  <c r="BI159" i="2"/>
  <c r="BI183" i="2"/>
  <c r="BI189" i="2"/>
  <c r="BI15" i="2"/>
  <c r="BI6" i="2"/>
  <c r="BI135" i="2"/>
  <c r="BI5" i="2"/>
  <c r="BI39" i="2"/>
  <c r="BI103" i="2"/>
  <c r="BI186" i="2"/>
  <c r="BI113" i="2"/>
  <c r="BI29" i="2"/>
  <c r="BI202" i="2"/>
  <c r="BI122" i="2"/>
  <c r="BI203" i="2"/>
  <c r="BI188" i="2"/>
  <c r="BI178" i="2"/>
  <c r="BI49" i="2"/>
  <c r="BI65" i="2"/>
  <c r="BI93" i="2"/>
  <c r="BI23" i="2"/>
  <c r="BI184" i="2"/>
  <c r="BI95" i="2"/>
  <c r="BI83" i="2"/>
  <c r="BI110" i="2"/>
  <c r="BI74" i="2"/>
  <c r="BI44" i="2"/>
  <c r="BI52" i="2"/>
  <c r="BI3" i="2"/>
  <c r="C8" i="4" s="1"/>
  <c r="E8" i="4" s="1"/>
  <c r="F8" i="4" s="1"/>
  <c r="G8" i="4" s="1"/>
  <c r="L8" i="4" s="1"/>
  <c r="BI43" i="2"/>
  <c r="BI24" i="2"/>
  <c r="BI46" i="2"/>
  <c r="BI53" i="2"/>
  <c r="BI92" i="2"/>
  <c r="BI102" i="2"/>
  <c r="BI101" i="2"/>
  <c r="BI61" i="2"/>
  <c r="BI54" i="2"/>
  <c r="BI79" i="2"/>
  <c r="BI162" i="2"/>
  <c r="BI22" i="2"/>
  <c r="BI71" i="2"/>
  <c r="BI174" i="2"/>
  <c r="BI81" i="2"/>
  <c r="BI78" i="2"/>
  <c r="BI144" i="2"/>
  <c r="BI158" i="2"/>
  <c r="BI14" i="2"/>
  <c r="BI77" i="2"/>
  <c r="BI75" i="2"/>
  <c r="BI185" i="2"/>
  <c r="BI132" i="2"/>
  <c r="BI191" i="2"/>
  <c r="BI138" i="2"/>
  <c r="BI48" i="2"/>
  <c r="BI19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<sst xmlns="http://schemas.openxmlformats.org/spreadsheetml/2006/main" count="1182" uniqueCount="327">
  <si>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</si>
  <si>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</si>
  <si>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</si>
  <si>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</si>
  <si>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</si>
  <si>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</si>
  <si>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</si>
  <si>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</si>
  <si>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</si>
  <si>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</si>
  <si>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</si>
  <si>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</si>
  <si>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</si>
  <si>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</si>
  <si>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</si>
  <si>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</si>
  <si>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</si>
  <si>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</si>
  <si>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</si>
  <si>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</si>
  <si>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</si>
  <si>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</si>
  <si>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</si>
  <si>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</si>
  <si>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</si>
  <si>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</si>
  <si>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</si>
  <si>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</si>
  <si>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</si>
  <si>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</si>
  <si>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</si>
  <si>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</si>
  <si>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</si>
  <si>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</si>
  <si>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</si>
  <si>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</si>
  <si>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</si>
  <si>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</si>
  <si>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</si>
  <si>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</si>
  <si>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</si>
  <si>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</si>
  <si>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</si>
  <si>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</si>
  <si>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</si>
  <si>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</si>
  <si>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</si>
  <si>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</si>
  <si>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</si>
  <si>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</si>
  <si>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</si>
  <si>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</si>
  <si>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</si>
  <si>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</si>
  <si>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</si>
  <si>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</si>
  <si>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</si>
  <si>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</si>
  <si>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</si>
  <si>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</si>
  <si>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</si>
  <si>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</si>
  <si>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</si>
  <si>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</si>
  <si>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</si>
  <si>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</si>
  <si>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</si>
  <si>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</si>
  <si>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</si>
  <si>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</si>
  <si>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</si>
  <si>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</si>
  <si>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</si>
  <si>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</si>
  <si>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</si>
  <si>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</si>
  <si>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</si>
  <si>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</si>
  <si>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</si>
  <si>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</si>
  <si>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</si>
  <si>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</si>
  <si>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</si>
  <si>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</si>
  <si>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</si>
  <si>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</si>
  <si>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</si>
  <si>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</si>
  <si>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</si>
  <si>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</si>
  <si>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</si>
  <si>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</si>
  <si>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</si>
  <si>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</si>
  <si>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</si>
  <si>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</si>
  <si>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</si>
  <si>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</si>
  <si>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</si>
  <si>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</si>
  <si>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</si>
  <si>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</si>
  <si>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</si>
  <si>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</si>
  <si>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</si>
  <si>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</si>
  <si>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</si>
  <si>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</si>
  <si>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</si>
  <si>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</si>
  <si>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</si>
  <si>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</si>
  <si>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</si>
  <si>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</si>
  <si>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</si>
  <si>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</si>
  <si>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</si>
  <si>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</si>
  <si>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</si>
  <si>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</si>
  <si>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</si>
  <si>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</si>
  <si>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</si>
  <si>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</si>
  <si>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</si>
  <si>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</si>
  <si>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</si>
  <si>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</si>
  <si>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</si>
  <si>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</si>
  <si>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</si>
  <si>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</si>
  <si>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</si>
  <si>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</si>
  <si>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</si>
  <si>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</si>
  <si>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</si>
  <si>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</si>
  <si>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</si>
  <si>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</si>
  <si>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</si>
  <si>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</si>
  <si>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</si>
  <si>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</si>
  <si>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</si>
  <si>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</si>
  <si>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</si>
  <si>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</si>
  <si>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</si>
  <si>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</si>
  <si>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</si>
  <si>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</si>
  <si>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</si>
  <si>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</si>
  <si>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</si>
  <si>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</si>
  <si>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</si>
  <si>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</si>
  <si>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</si>
  <si>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</si>
  <si>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</si>
  <si>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</si>
  <si>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</si>
  <si>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</si>
  <si>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</si>
  <si>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</si>
  <si>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</si>
  <si>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</si>
  <si>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</si>
  <si>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</si>
  <si>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</si>
  <si>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</si>
  <si>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</si>
  <si>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</si>
  <si>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</si>
  <si>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</si>
  <si>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</si>
  <si>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</si>
  <si>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</si>
  <si>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</si>
  <si>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</si>
  <si>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</si>
  <si>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</si>
  <si>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</si>
  <si>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</si>
  <si>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</si>
  <si>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</si>
  <si>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</si>
  <si>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</si>
  <si>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</si>
  <si>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</si>
  <si>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</si>
  <si>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</si>
  <si>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</si>
  <si>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</si>
  <si>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</si>
  <si>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</si>
  <si>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</si>
  <si>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</si>
  <si>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</si>
  <si>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</si>
  <si>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</si>
  <si>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</si>
  <si>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</si>
  <si>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</si>
  <si>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</si>
  <si>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</si>
  <si>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</si>
  <si>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</si>
  <si>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</si>
  <si>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</si>
  <si>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</si>
  <si>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</si>
  <si>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</si>
  <si>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</si>
  <si>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</si>
  <si>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</si>
  <si>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</si>
  <si>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</si>
  <si>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</si>
  <si>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</si>
  <si>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</si>
  <si>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</si>
  <si>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</si>
  <si>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</si>
  <si>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</si>
  <si>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</si>
  <si>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</si>
  <si>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</si>
  <si>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</si>
  <si>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</si>
  <si>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</si>
  <si>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</si>
  <si>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</si>
  <si>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</si>
  <si>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</si>
  <si>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</si>
  <si>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</si>
  <si>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</si>
  <si>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</si>
  <si>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</si>
  <si>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</si>
  <si>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</si>
  <si>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</si>
  <si>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</si>
  <si>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</si>
  <si>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</si>
  <si>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</si>
  <si>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</si>
  <si>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</si>
  <si>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</si>
  <si>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</si>
  <si>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</si>
  <si>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</si>
  <si>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</si>
  <si>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</si>
  <si>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</si>
  <si>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</si>
  <si>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</si>
  <si>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</si>
  <si>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</si>
  <si>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</si>
  <si>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</si>
  <si>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</si>
  <si>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</si>
  <si>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</si>
  <si>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</si>
  <si>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</si>
  <si>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</si>
  <si>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</si>
  <si>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</si>
  <si>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</si>
  <si>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</si>
  <si>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</si>
  <si>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</si>
  <si>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</si>
  <si>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</si>
  <si>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</si>
  <si>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</si>
  <si>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</si>
  <si>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</si>
  <si>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</si>
  <si>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</si>
  <si>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</si>
  <si>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</si>
  <si>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</si>
  <si>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</si>
  <si>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</si>
  <si>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</si>
  <si>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</si>
  <si>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</si>
  <si>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</si>
  <si>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</si>
  <si>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</si>
  <si>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</si>
  <si>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</si>
  <si>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</si>
  <si>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</si>
  <si>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</si>
  <si>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</si>
  <si>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</si>
  <si>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</si>
  <si>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</si>
  <si>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</si>
  <si>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</si>
  <si>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</si>
  <si>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</si>
  <si>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</si>
  <si>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</si>
  <si>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</si>
  <si>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</si>
  <si>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</si>
  <si>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</si>
  <si>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</si>
  <si>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</si>
  <si>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</si>
  <si>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</si>
  <si>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</si>
  <si>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</si>
  <si>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</si>
  <si>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</si>
  <si>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</si>
  <si>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</si>
  <si>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</si>
  <si>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ONF_CHP_F2_1666</t>
  </si>
  <si>
    <t>ONF_F2</t>
  </si>
  <si>
    <t>ONF_CHS_F3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</si>
</sst>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168" fontId="0" fillId="0" borderId="0" xfId="0" applyNumberFormat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9.2814592541766938</c:v>
                </c:pt>
                <c:pt idx="2">
                  <c:v>18.156050862234036</c:v>
                </c:pt>
                <c:pt idx="3">
                  <c:v>26.89924464407305</c:v>
                </c:pt>
                <c:pt idx="4">
                  <c:v>35.561441748540922</c:v>
                </c:pt>
                <c:pt idx="5">
                  <c:v>44.16548562855413</c:v>
                </c:pt>
                <c:pt idx="6">
                  <c:v>52.724407143396995</c:v>
                </c:pt>
                <c:pt idx="7">
                  <c:v>61.246606784204609</c:v>
                </c:pt>
                <c:pt idx="8">
                  <c:v>69.737935824703797</c:v>
                </c:pt>
                <c:pt idx="9">
                  <c:v>78.202695025517883</c:v>
                </c:pt>
                <c:pt idx="10">
                  <c:v>86.644173354980055</c:v>
                </c:pt>
                <c:pt idx="11">
                  <c:v>95.064963922995389</c:v>
                </c:pt>
                <c:pt idx="12">
                  <c:v>103.4671613227128</c:v>
                </c:pt>
                <c:pt idx="13">
                  <c:v>111.85249114133325</c:v>
                </c:pt>
                <c:pt idx="14">
                  <c:v>120.22239841041811</c:v>
                </c:pt>
                <c:pt idx="15">
                  <c:v>128.57811003097649</c:v>
                </c:pt>
                <c:pt idx="16">
                  <c:v>136.92068006235593</c:v>
                </c:pt>
                <c:pt idx="17">
                  <c:v>145.25102335953207</c:v>
                </c:pt>
                <c:pt idx="18">
                  <c:v>153.56994106738651</c:v>
                </c:pt>
                <c:pt idx="19">
                  <c:v>161.87814028716744</c:v>
                </c:pt>
                <c:pt idx="20">
                  <c:v>170.17624948452939</c:v>
                </c:pt>
                <c:pt idx="21">
                  <c:v>178.46483072839058</c:v>
                </c:pt>
                <c:pt idx="22">
                  <c:v>186.74438953252874</c:v>
                </c:pt>
                <c:pt idx="23">
                  <c:v>195.01538285721335</c:v>
                </c:pt>
                <c:pt idx="24">
                  <c:v>203.27822567998433</c:v>
                </c:pt>
                <c:pt idx="25">
                  <c:v>211.53329644044149</c:v>
                </c:pt>
                <c:pt idx="26">
                  <c:v>219.78094158934547</c:v>
                </c:pt>
                <c:pt idx="27">
                  <c:v>228.02147941817165</c:v>
                </c:pt>
                <c:pt idx="28">
                  <c:v>236.25520330537464</c:v>
                </c:pt>
                <c:pt idx="29">
                  <c:v>244.48238448586758</c:v>
                </c:pt>
                <c:pt idx="30">
                  <c:v>252.70327442777295</c:v>
                </c:pt>
                <c:pt idx="31">
                  <c:v>260.91810688337119</c:v>
                </c:pt>
                <c:pt idx="32">
                  <c:v>269.12709966797632</c:v>
                </c:pt>
                <c:pt idx="33">
                  <c:v>277.33045621020614</c:v>
                </c:pt>
                <c:pt idx="34">
                  <c:v>285.52836690906082</c:v>
                </c:pt>
                <c:pt idx="35">
                  <c:v>293.72101032685873</c:v>
                </c:pt>
                <c:pt idx="36">
                  <c:v>301.90855424200555</c:v>
                </c:pt>
                <c:pt idx="37">
                  <c:v>310.09115658149926</c:v>
                </c:pt>
                <c:pt idx="38">
                  <c:v>318.26896624979003</c:v>
                </c:pt>
                <c:pt idx="39">
                  <c:v>191.9101217139978</c:v>
                </c:pt>
                <c:pt idx="40">
                  <c:v>212.09049210693217</c:v>
                </c:pt>
                <c:pt idx="41">
                  <c:v>232.22660564527078</c:v>
                </c:pt>
                <c:pt idx="42">
                  <c:v>252.32283948832352</c:v>
                </c:pt>
                <c:pt idx="43">
                  <c:v>272.38281610504754</c:v>
                </c:pt>
                <c:pt idx="44">
                  <c:v>292.4095806006253</c:v>
                </c:pt>
                <c:pt idx="45">
                  <c:v>312.40572682672854</c:v>
                </c:pt>
                <c:pt idx="46">
                  <c:v>247.71827804440349</c:v>
                </c:pt>
                <c:pt idx="47">
                  <c:v>268.17158173268894</c:v>
                </c:pt>
                <c:pt idx="48">
                  <c:v>288.5897611303098</c:v>
                </c:pt>
                <c:pt idx="49">
                  <c:v>308.97565001903934</c:v>
                </c:pt>
                <c:pt idx="50">
                  <c:v>329.33167768857032</c:v>
                </c:pt>
                <c:pt idx="51">
                  <c:v>349.65994863235909</c:v>
                </c:pt>
                <c:pt idx="52">
                  <c:v>369.96230272517363</c:v>
                </c:pt>
                <c:pt idx="53">
                  <c:v>299.78093796348435</c:v>
                </c:pt>
                <c:pt idx="54">
                  <c:v>319.90884698949952</c:v>
                </c:pt>
                <c:pt idx="55">
                  <c:v>340.00873782334116</c:v>
                </c:pt>
                <c:pt idx="56">
                  <c:v>360.08249899753582</c:v>
                </c:pt>
                <c:pt idx="57">
                  <c:v>380.13179135254126</c:v>
                </c:pt>
                <c:pt idx="58">
                  <c:v>400.15808629834527</c:v>
                </c:pt>
                <c:pt idx="59">
                  <c:v>420.16269601462477</c:v>
                </c:pt>
                <c:pt idx="60">
                  <c:v>355.19187124027127</c:v>
                </c:pt>
                <c:pt idx="61">
                  <c:v>374.98260902977336</c:v>
                </c:pt>
                <c:pt idx="62">
                  <c:v>394.7506001517263</c:v>
                </c:pt>
                <c:pt idx="63">
                  <c:v>414.49714332625496</c:v>
                </c:pt>
                <c:pt idx="64">
                  <c:v>434.22340349345751</c:v>
                </c:pt>
                <c:pt idx="65">
                  <c:v>453.93043117002759</c:v>
                </c:pt>
                <c:pt idx="66">
                  <c:v>473.61917826951543</c:v>
                </c:pt>
                <c:pt idx="67">
                  <c:v>493.29051115534702</c:v>
                </c:pt>
                <c:pt idx="68">
                  <c:v>426.87070846345961</c:v>
                </c:pt>
                <c:pt idx="69">
                  <c:v>446.3903198300689</c:v>
                </c:pt>
                <c:pt idx="70">
                  <c:v>465.8916632033463</c:v>
                </c:pt>
                <c:pt idx="71">
                  <c:v>485.37561035454365</c:v>
                </c:pt>
                <c:pt idx="72">
                  <c:v>504.84295740152987</c:v>
                </c:pt>
                <c:pt idx="73">
                  <c:v>524.29443409766043</c:v>
                </c:pt>
                <c:pt idx="74">
                  <c:v>543.73071167094952</c:v>
                </c:pt>
                <c:pt idx="75">
                  <c:v>563.15240948454345</c:v>
                </c:pt>
                <c:pt idx="76">
                  <c:v>494.62871898759676</c:v>
                </c:pt>
                <c:pt idx="77">
                  <c:v>513.74094549179301</c:v>
                </c:pt>
                <c:pt idx="78">
                  <c:v>532.83816646386731</c:v>
                </c:pt>
                <c:pt idx="79">
                  <c:v>551.92099501784321</c:v>
                </c:pt>
                <c:pt idx="80">
                  <c:v>570.98999844477783</c:v>
                </c:pt>
                <c:pt idx="81">
                  <c:v>590.04570308454447</c:v>
                </c:pt>
                <c:pt idx="82">
                  <c:v>609.08859853591491</c:v>
                </c:pt>
                <c:pt idx="83">
                  <c:v>628.11914131309391</c:v>
                </c:pt>
                <c:pt idx="84">
                  <c:v>546.34675191309282</c:v>
                </c:pt>
                <c:pt idx="85">
                  <c:v>564.9980529687241</c:v>
                </c:pt>
                <c:pt idx="86">
                  <c:v>583.63648288916681</c:v>
                </c:pt>
                <c:pt idx="87">
                  <c:v>602.2625102615774</c:v>
                </c:pt>
                <c:pt idx="88">
                  <c:v>620.87657234938786</c:v>
                </c:pt>
                <c:pt idx="89">
                  <c:v>639.47907808161142</c:v>
                </c:pt>
                <c:pt idx="90">
                  <c:v>658.07041067647913</c:v>
                </c:pt>
                <c:pt idx="91">
                  <c:v>676.65092995340171</c:v>
                </c:pt>
                <c:pt idx="92">
                  <c:v>695.22097437799528</c:v>
                </c:pt>
                <c:pt idx="93">
                  <c:v>713.78086287743406</c:v>
                </c:pt>
                <c:pt idx="94">
                  <c:v>596.60609402508533</c:v>
                </c:pt>
                <c:pt idx="95">
                  <c:v>614.67185072691063</c:v>
                </c:pt>
                <c:pt idx="96">
                  <c:v>632.72660082215282</c:v>
                </c:pt>
                <c:pt idx="97">
                  <c:v>650.77070235029328</c:v>
                </c:pt>
                <c:pt idx="98">
                  <c:v>668.80449189389219</c:v>
                </c:pt>
                <c:pt idx="99">
                  <c:v>686.82828642014101</c:v>
                </c:pt>
                <c:pt idx="100">
                  <c:v>704.84238491922042</c:v>
                </c:pt>
                <c:pt idx="101">
                  <c:v>722.84706986660137</c:v>
                </c:pt>
                <c:pt idx="102">
                  <c:v>740.84260853221531</c:v>
                </c:pt>
                <c:pt idx="103">
                  <c:v>758.82925415592547</c:v>
                </c:pt>
                <c:pt idx="104">
                  <c:v>640.72231942176609</c:v>
                </c:pt>
                <c:pt idx="105">
                  <c:v>658.27081837032063</c:v>
                </c:pt>
                <c:pt idx="106">
                  <c:v>675.80968614869391</c:v>
                </c:pt>
                <c:pt idx="107">
                  <c:v>693.33920769670385</c:v>
                </c:pt>
                <c:pt idx="108">
                  <c:v>710.85965238406754</c:v>
                </c:pt>
                <c:pt idx="109">
                  <c:v>728.37127523180015</c:v>
                </c:pt>
                <c:pt idx="110">
                  <c:v>745.87431801015293</c:v>
                </c:pt>
                <c:pt idx="111">
                  <c:v>763.36901022822894</c:v>
                </c:pt>
                <c:pt idx="112">
                  <c:v>780.85557002825271</c:v>
                </c:pt>
                <c:pt idx="113">
                  <c:v>798.33420499564829</c:v>
                </c:pt>
                <c:pt idx="114">
                  <c:v>678.43349468551708</c:v>
                </c:pt>
                <c:pt idx="115">
                  <c:v>695.85754841077744</c:v>
                </c:pt>
                <c:pt idx="116">
                  <c:v>713.27266986417487</c:v>
                </c:pt>
                <c:pt idx="117">
                  <c:v>730.67910765307681</c:v>
                </c:pt>
                <c:pt idx="118">
                  <c:v>748.07709758544399</c:v>
                </c:pt>
                <c:pt idx="119">
                  <c:v>765.46686361720276</c:v>
                </c:pt>
                <c:pt idx="120">
                  <c:v>782.84861870913744</c:v>
                </c:pt>
                <c:pt idx="121">
                  <c:v>800.22256560379947</c:v>
                </c:pt>
                <c:pt idx="122">
                  <c:v>817.58889753150731</c:v>
                </c:pt>
                <c:pt idx="123">
                  <c:v>834.94779885330809</c:v>
                </c:pt>
                <c:pt idx="124">
                  <c:v>435.81541740524904</c:v>
                </c:pt>
                <c:pt idx="125">
                  <c:v>445.61746930961482</c:v>
                </c:pt>
                <c:pt idx="126">
                  <c:v>309.15750305437888</c:v>
                </c:pt>
                <c:pt idx="127">
                  <c:v>315.92803182924689</c:v>
                </c:pt>
                <c:pt idx="128">
                  <c:v>226.85049213402147</c:v>
                </c:pt>
                <c:pt idx="129">
                  <c:v>231.84687636657415</c:v>
                </c:pt>
                <c:pt idx="130">
                  <c:v>236.84080061562653</c:v>
                </c:pt>
                <c:pt idx="131">
                  <c:v>6.1663475311105072E-12</c:v>
                </c:pt>
                <c:pt idx="132">
                  <c:v>6.1663475311105072E-12</c:v>
                </c:pt>
                <c:pt idx="133">
                  <c:v>6.1663475311105072E-12</c:v>
                </c:pt>
                <c:pt idx="134">
                  <c:v>6.1663475311105072E-12</c:v>
                </c:pt>
                <c:pt idx="135">
                  <c:v>6.1663475311105072E-12</c:v>
                </c:pt>
                <c:pt idx="136">
                  <c:v>6.1663475311105072E-12</c:v>
                </c:pt>
                <c:pt idx="137">
                  <c:v>6.1663475311105072E-12</c:v>
                </c:pt>
                <c:pt idx="138">
                  <c:v>6.1663475311105072E-12</c:v>
                </c:pt>
                <c:pt idx="139">
                  <c:v>6.1663475311105072E-12</c:v>
                </c:pt>
                <c:pt idx="140">
                  <c:v>6.1663475311105072E-12</c:v>
                </c:pt>
                <c:pt idx="141">
                  <c:v>6.1663475311105072E-12</c:v>
                </c:pt>
                <c:pt idx="142">
                  <c:v>6.1663475311105072E-12</c:v>
                </c:pt>
                <c:pt idx="143">
                  <c:v>6.1663475311105072E-12</c:v>
                </c:pt>
                <c:pt idx="144">
                  <c:v>6.1663475311105072E-12</c:v>
                </c:pt>
                <c:pt idx="145">
                  <c:v>6.1663475311105072E-12</c:v>
                </c:pt>
                <c:pt idx="146">
                  <c:v>6.1663475311105072E-12</c:v>
                </c:pt>
                <c:pt idx="147">
                  <c:v>6.1663475311105072E-12</c:v>
                </c:pt>
                <c:pt idx="148">
                  <c:v>6.1663475311105072E-12</c:v>
                </c:pt>
                <c:pt idx="149">
                  <c:v>6.1663475311105072E-12</c:v>
                </c:pt>
                <c:pt idx="150">
                  <c:v>6.1663475311105072E-12</c:v>
                </c:pt>
                <c:pt idx="151">
                  <c:v>6.1663475311105072E-12</c:v>
                </c:pt>
                <c:pt idx="152">
                  <c:v>6.1663475311105072E-12</c:v>
                </c:pt>
                <c:pt idx="153">
                  <c:v>6.1663475311105072E-12</c:v>
                </c:pt>
                <c:pt idx="154">
                  <c:v>6.1663475311105072E-12</c:v>
                </c:pt>
                <c:pt idx="155">
                  <c:v>6.1663475311105072E-12</c:v>
                </c:pt>
                <c:pt idx="156">
                  <c:v>6.1663475311105072E-12</c:v>
                </c:pt>
                <c:pt idx="157">
                  <c:v>6.1663475311105072E-12</c:v>
                </c:pt>
                <c:pt idx="158">
                  <c:v>6.1663475311105072E-12</c:v>
                </c:pt>
                <c:pt idx="159">
                  <c:v>6.1663475311105072E-12</c:v>
                </c:pt>
                <c:pt idx="160">
                  <c:v>6.1663475311105072E-12</c:v>
                </c:pt>
                <c:pt idx="161">
                  <c:v>6.1663475311105072E-12</c:v>
                </c:pt>
                <c:pt idx="162">
                  <c:v>6.1663475311105072E-12</c:v>
                </c:pt>
                <c:pt idx="163">
                  <c:v>6.1663475311105072E-12</c:v>
                </c:pt>
                <c:pt idx="164">
                  <c:v>6.1663475311105072E-12</c:v>
                </c:pt>
                <c:pt idx="165">
                  <c:v>6.1663475311105072E-12</c:v>
                </c:pt>
                <c:pt idx="166">
                  <c:v>6.1663475311105072E-12</c:v>
                </c:pt>
                <c:pt idx="167">
                  <c:v>6.1663475311105072E-12</c:v>
                </c:pt>
                <c:pt idx="168">
                  <c:v>6.1663475311105072E-12</c:v>
                </c:pt>
                <c:pt idx="169">
                  <c:v>6.1663475311105072E-12</c:v>
                </c:pt>
                <c:pt idx="170">
                  <c:v>6.1663475311105072E-12</c:v>
                </c:pt>
                <c:pt idx="171">
                  <c:v>6.1663475311105072E-12</c:v>
                </c:pt>
                <c:pt idx="172">
                  <c:v>6.1663475311105072E-12</c:v>
                </c:pt>
                <c:pt idx="173">
                  <c:v>6.1663475311105072E-12</c:v>
                </c:pt>
                <c:pt idx="174">
                  <c:v>6.1663475311105072E-12</c:v>
                </c:pt>
                <c:pt idx="175">
                  <c:v>6.1663475311105072E-12</c:v>
                </c:pt>
                <c:pt idx="176">
                  <c:v>6.1663475311105072E-12</c:v>
                </c:pt>
                <c:pt idx="177">
                  <c:v>6.1663475311105072E-12</c:v>
                </c:pt>
                <c:pt idx="178">
                  <c:v>6.1663475311105072E-12</c:v>
                </c:pt>
                <c:pt idx="179">
                  <c:v>6.1663475311105072E-12</c:v>
                </c:pt>
                <c:pt idx="180">
                  <c:v>6.1663475311105072E-12</c:v>
                </c:pt>
                <c:pt idx="181">
                  <c:v>6.1663475311105072E-12</c:v>
                </c:pt>
                <c:pt idx="182">
                  <c:v>6.1663475311105072E-12</c:v>
                </c:pt>
                <c:pt idx="183">
                  <c:v>6.1663475311105072E-12</c:v>
                </c:pt>
                <c:pt idx="184">
                  <c:v>6.1663475311105072E-12</c:v>
                </c:pt>
                <c:pt idx="185">
                  <c:v>6.1663475311105072E-12</c:v>
                </c:pt>
                <c:pt idx="186">
                  <c:v>6.1663475311105072E-12</c:v>
                </c:pt>
                <c:pt idx="187">
                  <c:v>6.1663475311105072E-12</c:v>
                </c:pt>
                <c:pt idx="188">
                  <c:v>6.1663475311105072E-12</c:v>
                </c:pt>
                <c:pt idx="189">
                  <c:v>6.1663475311105072E-12</c:v>
                </c:pt>
                <c:pt idx="190">
                  <c:v>6.1663475311105072E-12</c:v>
                </c:pt>
                <c:pt idx="191">
                  <c:v>6.1663475311105072E-12</c:v>
                </c:pt>
                <c:pt idx="192">
                  <c:v>6.1663475311105072E-12</c:v>
                </c:pt>
                <c:pt idx="193">
                  <c:v>6.1663475311105072E-12</c:v>
                </c:pt>
                <c:pt idx="194">
                  <c:v>6.1663475311105072E-12</c:v>
                </c:pt>
                <c:pt idx="195">
                  <c:v>6.1663475311105072E-12</c:v>
                </c:pt>
                <c:pt idx="196">
                  <c:v>6.1663475311105072E-12</c:v>
                </c:pt>
                <c:pt idx="197">
                  <c:v>6.1663475311105072E-12</c:v>
                </c:pt>
                <c:pt idx="198">
                  <c:v>6.1663475311105072E-12</c:v>
                </c:pt>
                <c:pt idx="199">
                  <c:v>6.1663475311105072E-12</c:v>
                </c:pt>
                <c:pt idx="200">
                  <c:v>6.1663475311105072E-12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1.9187539791618089</c:v>
                </c:pt>
                <c:pt idx="2">
                  <c:v>2.3739048046992908</c:v>
                </c:pt>
                <c:pt idx="3">
                  <c:v>2.9374441074345867</c:v>
                </c:pt>
                <c:pt idx="4">
                  <c:v>3.6352780855090621</c:v>
                </c:pt>
                <c:pt idx="5">
                  <c:v>4.4995261026160422</c:v>
                </c:pt>
                <c:pt idx="6">
                  <c:v>5.5700155600904404</c:v>
                </c:pt>
                <c:pt idx="7">
                  <c:v>6.8961374885838422</c:v>
                </c:pt>
                <c:pt idx="8">
                  <c:v>8.5391501371991527</c:v>
                </c:pt>
                <c:pt idx="9">
                  <c:v>10.575039007163371</c:v>
                </c:pt>
                <c:pt idx="10">
                  <c:v>13.098068092351689</c:v>
                </c:pt>
                <c:pt idx="11">
                  <c:v>16.225189803711778</c:v>
                </c:pt>
                <c:pt idx="12">
                  <c:v>20.10152172821854</c:v>
                </c:pt>
                <c:pt idx="13">
                  <c:v>24.907148945397026</c:v>
                </c:pt>
                <c:pt idx="14">
                  <c:v>30.86557350936096</c:v>
                </c:pt>
                <c:pt idx="15">
                  <c:v>38.254210904943911</c:v>
                </c:pt>
                <c:pt idx="16">
                  <c:v>47.417430539824153</c:v>
                </c:pt>
                <c:pt idx="17">
                  <c:v>58.782758290837201</c:v>
                </c:pt>
                <c:pt idx="18">
                  <c:v>72.881009569035243</c:v>
                </c:pt>
                <c:pt idx="19">
                  <c:v>90.371308506742437</c:v>
                </c:pt>
                <c:pt idx="20">
                  <c:v>112.07218166479875</c:v>
                </c:pt>
                <c:pt idx="21">
                  <c:v>139.00020426650113</c:v>
                </c:pt>
                <c:pt idx="22">
                  <c:v>172.4180372740486</c:v>
                </c:pt>
                <c:pt idx="23">
                  <c:v>124.45922680191636</c:v>
                </c:pt>
                <c:pt idx="24">
                  <c:v>145.05150046666205</c:v>
                </c:pt>
                <c:pt idx="25">
                  <c:v>165.57375879185801</c:v>
                </c:pt>
                <c:pt idx="26">
                  <c:v>186.0359113344837</c:v>
                </c:pt>
                <c:pt idx="27">
                  <c:v>206.44550326470099</c:v>
                </c:pt>
                <c:pt idx="28">
                  <c:v>178.8770701672199</c:v>
                </c:pt>
                <c:pt idx="29">
                  <c:v>200.38972394653459</c:v>
                </c:pt>
                <c:pt idx="30">
                  <c:v>221.84883849790182</c:v>
                </c:pt>
                <c:pt idx="31">
                  <c:v>243.26032139995104</c:v>
                </c:pt>
                <c:pt idx="32">
                  <c:v>264.62895421811407</c:v>
                </c:pt>
                <c:pt idx="33">
                  <c:v>285.95868273742298</c:v>
                </c:pt>
                <c:pt idx="34">
                  <c:v>242.58739286352048</c:v>
                </c:pt>
                <c:pt idx="35">
                  <c:v>264.04989736803674</c:v>
                </c:pt>
                <c:pt idx="36">
                  <c:v>285.47306022064532</c:v>
                </c:pt>
                <c:pt idx="37">
                  <c:v>306.860247871995</c:v>
                </c:pt>
                <c:pt idx="38">
                  <c:v>328.21431914917827</c:v>
                </c:pt>
                <c:pt idx="39">
                  <c:v>349.5377305435054</c:v>
                </c:pt>
                <c:pt idx="40">
                  <c:v>370.83261443628663</c:v>
                </c:pt>
                <c:pt idx="41">
                  <c:v>392.10083840438301</c:v>
                </c:pt>
                <c:pt idx="42">
                  <c:v>320.07706003496543</c:v>
                </c:pt>
                <c:pt idx="43">
                  <c:v>340.16115673745094</c:v>
                </c:pt>
                <c:pt idx="44">
                  <c:v>360.2191776827687</c:v>
                </c:pt>
                <c:pt idx="45">
                  <c:v>380.25277835910487</c:v>
                </c:pt>
                <c:pt idx="46">
                  <c:v>400.2634256424567</c:v>
                </c:pt>
                <c:pt idx="47">
                  <c:v>420.25242783490597</c:v>
                </c:pt>
                <c:pt idx="48">
                  <c:v>440.22095868894326</c:v>
                </c:pt>
                <c:pt idx="49">
                  <c:v>460.17007684546002</c:v>
                </c:pt>
                <c:pt idx="50">
                  <c:v>480.10074172574264</c:v>
                </c:pt>
                <c:pt idx="51">
                  <c:v>408.86708705663085</c:v>
                </c:pt>
                <c:pt idx="52">
                  <c:v>426.81319907682013</c:v>
                </c:pt>
                <c:pt idx="53">
                  <c:v>444.74308871435665</c:v>
                </c:pt>
                <c:pt idx="54">
                  <c:v>462.65750170877988</c:v>
                </c:pt>
                <c:pt idx="55">
                  <c:v>480.55712136582889</c:v>
                </c:pt>
                <c:pt idx="56">
                  <c:v>498.44257596300025</c:v>
                </c:pt>
                <c:pt idx="57">
                  <c:v>516.31444503713794</c:v>
                </c:pt>
                <c:pt idx="58">
                  <c:v>534.17326475645041</c:v>
                </c:pt>
                <c:pt idx="59">
                  <c:v>552.01953253702732</c:v>
                </c:pt>
                <c:pt idx="60">
                  <c:v>569.85371103158184</c:v>
                </c:pt>
                <c:pt idx="61">
                  <c:v>496.55887909600943</c:v>
                </c:pt>
                <c:pt idx="62">
                  <c:v>511.6255347374472</c:v>
                </c:pt>
                <c:pt idx="63">
                  <c:v>526.68282208192829</c:v>
                </c:pt>
                <c:pt idx="64">
                  <c:v>541.73104657451711</c:v>
                </c:pt>
                <c:pt idx="65">
                  <c:v>556.77049531447858</c:v>
                </c:pt>
                <c:pt idx="66">
                  <c:v>571.80143863323156</c:v>
                </c:pt>
                <c:pt idx="67">
                  <c:v>586.82413149782394</c:v>
                </c:pt>
                <c:pt idx="68">
                  <c:v>601.83881476328258</c:v>
                </c:pt>
                <c:pt idx="69">
                  <c:v>616.84571629355526</c:v>
                </c:pt>
                <c:pt idx="70">
                  <c:v>631.84505196775149</c:v>
                </c:pt>
                <c:pt idx="71">
                  <c:v>558.52582336493231</c:v>
                </c:pt>
                <c:pt idx="72">
                  <c:v>570.88695865906334</c:v>
                </c:pt>
                <c:pt idx="73">
                  <c:v>583.24250397763637</c:v>
                </c:pt>
                <c:pt idx="74">
                  <c:v>595.59259439382743</c:v>
                </c:pt>
                <c:pt idx="75">
                  <c:v>607.93735892409688</c:v>
                </c:pt>
                <c:pt idx="76">
                  <c:v>620.27692091982669</c:v>
                </c:pt>
                <c:pt idx="77">
                  <c:v>632.61139842618638</c:v>
                </c:pt>
                <c:pt idx="78">
                  <c:v>644.94090451156796</c:v>
                </c:pt>
                <c:pt idx="79">
                  <c:v>657.26554757053043</c:v>
                </c:pt>
                <c:pt idx="80">
                  <c:v>669.58543160285092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2.0372769670101483</c:v>
                </c:pt>
                <c:pt idx="2">
                  <c:v>2.676486199143135</c:v>
                </c:pt>
                <c:pt idx="3">
                  <c:v>3.5170759077395513</c:v>
                </c:pt>
                <c:pt idx="4">
                  <c:v>4.6227351394646172</c:v>
                </c:pt>
                <c:pt idx="5">
                  <c:v>6.0773678328619782</c:v>
                </c:pt>
                <c:pt idx="6">
                  <c:v>7.9915303734957925</c:v>
                </c:pt>
                <c:pt idx="7">
                  <c:v>10.510925497936862</c:v>
                </c:pt>
                <c:pt idx="8">
                  <c:v>13.827611241534122</c:v>
                </c:pt>
                <c:pt idx="9">
                  <c:v>18.194795155280449</c:v>
                </c:pt>
                <c:pt idx="10">
                  <c:v>23.946363633196558</c:v>
                </c:pt>
                <c:pt idx="11">
                  <c:v>31.522665853656651</c:v>
                </c:pt>
                <c:pt idx="12">
                  <c:v>41.504560602143492</c:v>
                </c:pt>
                <c:pt idx="13">
                  <c:v>54.658380558021626</c:v>
                </c:pt>
                <c:pt idx="14">
                  <c:v>71.995323377039924</c:v>
                </c:pt>
                <c:pt idx="15">
                  <c:v>94.849909428740133</c:v>
                </c:pt>
                <c:pt idx="16">
                  <c:v>124.98364149297942</c:v>
                </c:pt>
                <c:pt idx="17">
                  <c:v>164.72198008050322</c:v>
                </c:pt>
                <c:pt idx="18">
                  <c:v>134.28250989030781</c:v>
                </c:pt>
                <c:pt idx="19">
                  <c:v>157.45506117882073</c:v>
                </c:pt>
                <c:pt idx="20">
                  <c:v>180.54657390777126</c:v>
                </c:pt>
                <c:pt idx="21">
                  <c:v>203.56888236001612</c:v>
                </c:pt>
                <c:pt idx="22">
                  <c:v>226.53091750255075</c:v>
                </c:pt>
                <c:pt idx="23">
                  <c:v>249.43964844709606</c:v>
                </c:pt>
                <c:pt idx="24">
                  <c:v>198.2631718527642</c:v>
                </c:pt>
                <c:pt idx="25">
                  <c:v>222.37968742634794</c:v>
                </c:pt>
                <c:pt idx="26">
                  <c:v>246.4361891457107</c:v>
                </c:pt>
                <c:pt idx="27">
                  <c:v>270.43935829312153</c:v>
                </c:pt>
                <c:pt idx="28">
                  <c:v>294.39459227178389</c:v>
                </c:pt>
                <c:pt idx="29">
                  <c:v>318.30633801047736</c:v>
                </c:pt>
                <c:pt idx="30">
                  <c:v>270.68449172782698</c:v>
                </c:pt>
                <c:pt idx="31">
                  <c:v>293.51930351408345</c:v>
                </c:pt>
                <c:pt idx="32">
                  <c:v>316.31447172414227</c:v>
                </c:pt>
                <c:pt idx="33">
                  <c:v>339.07325336996888</c:v>
                </c:pt>
                <c:pt idx="34">
                  <c:v>361.7984326115573</c:v>
                </c:pt>
                <c:pt idx="35">
                  <c:v>384.49241541397896</c:v>
                </c:pt>
                <c:pt idx="36">
                  <c:v>407.15730067263689</c:v>
                </c:pt>
                <c:pt idx="37">
                  <c:v>330.75137896983284</c:v>
                </c:pt>
                <c:pt idx="38">
                  <c:v>351.93090381479277</c:v>
                </c:pt>
                <c:pt idx="39">
                  <c:v>373.08249524821412</c:v>
                </c:pt>
                <c:pt idx="40">
                  <c:v>394.20795870969431</c:v>
                </c:pt>
                <c:pt idx="41">
                  <c:v>415.30889042922746</c:v>
                </c:pt>
                <c:pt idx="42">
                  <c:v>436.38671128579443</c:v>
                </c:pt>
                <c:pt idx="43">
                  <c:v>457.44269378262044</c:v>
                </c:pt>
                <c:pt idx="44">
                  <c:v>478.47798379712521</c:v>
                </c:pt>
                <c:pt idx="45">
                  <c:v>397.753227063145</c:v>
                </c:pt>
                <c:pt idx="46">
                  <c:v>416.44223811477758</c:v>
                </c:pt>
                <c:pt idx="47">
                  <c:v>435.11317365477458</c:v>
                </c:pt>
                <c:pt idx="48">
                  <c:v>453.76691805289994</c:v>
                </c:pt>
                <c:pt idx="49">
                  <c:v>472.40427707439738</c:v>
                </c:pt>
                <c:pt idx="50">
                  <c:v>491.0259877555323</c:v>
                </c:pt>
                <c:pt idx="51">
                  <c:v>509.63272670342303</c:v>
                </c:pt>
                <c:pt idx="52">
                  <c:v>528.22511712105825</c:v>
                </c:pt>
                <c:pt idx="53">
                  <c:v>448.98126779829232</c:v>
                </c:pt>
                <c:pt idx="54">
                  <c:v>465.70732350694396</c:v>
                </c:pt>
                <c:pt idx="55">
                  <c:v>482.42057605284941</c:v>
                </c:pt>
                <c:pt idx="56">
                  <c:v>499.12153124405523</c:v>
                </c:pt>
                <c:pt idx="57">
                  <c:v>515.81065829469196</c:v>
                </c:pt>
                <c:pt idx="58">
                  <c:v>532.48839359517024</c:v>
                </c:pt>
                <c:pt idx="59">
                  <c:v>549.15514398564108</c:v>
                </c:pt>
                <c:pt idx="60">
                  <c:v>565.81128961154946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8.8464909557520901</c:v>
                </c:pt>
                <c:pt idx="2">
                  <c:v>17.303572811012511</c:v>
                </c:pt>
                <c:pt idx="3">
                  <c:v>25.634895073928181</c:v>
                </c:pt>
                <c:pt idx="4">
                  <c:v>33.888696198019623</c:v>
                </c:pt>
                <c:pt idx="5">
                  <c:v>42.086839431783375</c:v>
                </c:pt>
                <c:pt idx="6">
                  <c:v>50.241796484978039</c:v>
                </c:pt>
                <c:pt idx="7">
                  <c:v>58.361607386659266</c:v>
                </c:pt>
                <c:pt idx="8">
                  <c:v>66.451872334484463</c:v>
                </c:pt>
                <c:pt idx="9">
                  <c:v>74.51670754497205</c:v>
                </c:pt>
                <c:pt idx="10">
                  <c:v>82.559260857996719</c:v>
                </c:pt>
                <c:pt idx="11">
                  <c:v>90.582014114042082</c:v>
                </c:pt>
                <c:pt idx="12">
                  <c:v>98.586972028011871</c:v>
                </c:pt>
                <c:pt idx="13">
                  <c:v>106.5757861427755</c:v>
                </c:pt>
                <c:pt idx="14">
                  <c:v>114.54983948410518</c:v>
                </c:pt>
                <c:pt idx="15">
                  <c:v>122.51030630712535</c:v>
                </c:pt>
                <c:pt idx="16">
                  <c:v>130.45819544187259</c:v>
                </c:pt>
                <c:pt idx="17">
                  <c:v>138.39438248722183</c:v>
                </c:pt>
                <c:pt idx="18">
                  <c:v>146.31963421121341</c:v>
                </c:pt>
                <c:pt idx="19">
                  <c:v>154.23462737363312</c:v>
                </c:pt>
                <c:pt idx="20">
                  <c:v>162.13996347289819</c:v>
                </c:pt>
                <c:pt idx="21">
                  <c:v>170.03618045975017</c:v>
                </c:pt>
                <c:pt idx="22">
                  <c:v>177.92376215655057</c:v>
                </c:pt>
                <c:pt idx="23">
                  <c:v>185.80314591556689</c:v>
                </c:pt>
                <c:pt idx="24">
                  <c:v>193.67472890780064</c:v>
                </c:pt>
                <c:pt idx="25">
                  <c:v>201.53887333414332</c:v>
                </c:pt>
                <c:pt idx="26">
                  <c:v>209.39591077927696</c:v>
                </c:pt>
                <c:pt idx="27">
                  <c:v>217.2461458769034</c:v>
                </c:pt>
                <c:pt idx="28">
                  <c:v>225.08985941671213</c:v>
                </c:pt>
                <c:pt idx="29">
                  <c:v>232.92731099502291</c:v>
                </c:pt>
                <c:pt idx="30">
                  <c:v>240.7587412895509</c:v>
                </c:pt>
                <c:pt idx="31">
                  <c:v>248.58437402234924</c:v>
                </c:pt>
                <c:pt idx="32">
                  <c:v>256.40441766235483</c:v>
                </c:pt>
                <c:pt idx="33">
                  <c:v>264.21906690913573</c:v>
                </c:pt>
                <c:pt idx="34">
                  <c:v>272.02850399173889</c:v>
                </c:pt>
                <c:pt idx="35">
                  <c:v>279.83289981043765</c:v>
                </c:pt>
                <c:pt idx="36">
                  <c:v>287.63241494432572</c:v>
                </c:pt>
                <c:pt idx="37">
                  <c:v>295.42720054381022</c:v>
                </c:pt>
                <c:pt idx="38">
                  <c:v>303.21739912390404</c:v>
                </c:pt>
                <c:pt idx="39">
                  <c:v>311.00314527166626</c:v>
                </c:pt>
                <c:pt idx="40">
                  <c:v>318.78456627904137</c:v>
                </c:pt>
                <c:pt idx="41">
                  <c:v>326.56178271063499</c:v>
                </c:pt>
                <c:pt idx="42">
                  <c:v>334.33490891453494</c:v>
                </c:pt>
                <c:pt idx="43">
                  <c:v>342.10405348311491</c:v>
                </c:pt>
                <c:pt idx="44">
                  <c:v>349.86931966976226</c:v>
                </c:pt>
                <c:pt idx="45">
                  <c:v>357.63080576665556</c:v>
                </c:pt>
                <c:pt idx="46">
                  <c:v>365.388605448014</c:v>
                </c:pt>
                <c:pt idx="47">
                  <c:v>373.14280808265738</c:v>
                </c:pt>
                <c:pt idx="48">
                  <c:v>380.89349901921491</c:v>
                </c:pt>
                <c:pt idx="49">
                  <c:v>388.64075984689515</c:v>
                </c:pt>
                <c:pt idx="50">
                  <c:v>396.38466863436787</c:v>
                </c:pt>
                <c:pt idx="51">
                  <c:v>404.12530014899545</c:v>
                </c:pt>
                <c:pt idx="52">
                  <c:v>243.00679329612822</c:v>
                </c:pt>
                <c:pt idx="53">
                  <c:v>256.09037952376985</c:v>
                </c:pt>
                <c:pt idx="54">
                  <c:v>269.15884737867697</c:v>
                </c:pt>
                <c:pt idx="55">
                  <c:v>282.21303454018255</c:v>
                </c:pt>
                <c:pt idx="56">
                  <c:v>295.25369482966408</c:v>
                </c:pt>
                <c:pt idx="57">
                  <c:v>308.28151001738462</c:v>
                </c:pt>
                <c:pt idx="58">
                  <c:v>321.29709952785942</c:v>
                </c:pt>
                <c:pt idx="59">
                  <c:v>334.30102848950258</c:v>
                </c:pt>
                <c:pt idx="60">
                  <c:v>347.2938144657457</c:v>
                </c:pt>
                <c:pt idx="61">
                  <c:v>360.27593312585913</c:v>
                </c:pt>
                <c:pt idx="62">
                  <c:v>270.79703667962025</c:v>
                </c:pt>
                <c:pt idx="63">
                  <c:v>282.84435609647596</c:v>
                </c:pt>
                <c:pt idx="64">
                  <c:v>294.88018287968566</c:v>
                </c:pt>
                <c:pt idx="65">
                  <c:v>306.90505238979614</c:v>
                </c:pt>
                <c:pt idx="66">
                  <c:v>318.91945459246426</c:v>
                </c:pt>
                <c:pt idx="67">
                  <c:v>330.92383950930258</c:v>
                </c:pt>
                <c:pt idx="68">
                  <c:v>342.91862183607765</c:v>
                </c:pt>
                <c:pt idx="69">
                  <c:v>354.90418488072902</c:v>
                </c:pt>
                <c:pt idx="70">
                  <c:v>366.88088394144347</c:v>
                </c:pt>
                <c:pt idx="71">
                  <c:v>378.84904922045786</c:v>
                </c:pt>
                <c:pt idx="72">
                  <c:v>390.80898835034759</c:v>
                </c:pt>
                <c:pt idx="73">
                  <c:v>402.76098859486609</c:v>
                </c:pt>
                <c:pt idx="74">
                  <c:v>310.77912179652327</c:v>
                </c:pt>
                <c:pt idx="75">
                  <c:v>321.90958893090192</c:v>
                </c:pt>
                <c:pt idx="76">
                  <c:v>333.03154610648761</c:v>
                </c:pt>
                <c:pt idx="77">
                  <c:v>344.14531769432386</c:v>
                </c:pt>
                <c:pt idx="78">
                  <c:v>355.25120539665227</c:v>
                </c:pt>
                <c:pt idx="79">
                  <c:v>366.34949050546987</c:v>
                </c:pt>
                <c:pt idx="80">
                  <c:v>377.44043587301621</c:v>
                </c:pt>
                <c:pt idx="81">
                  <c:v>388.52428763849611</c:v>
                </c:pt>
                <c:pt idx="82">
                  <c:v>399.60127674742472</c:v>
                </c:pt>
                <c:pt idx="83">
                  <c:v>410.67162029368404</c:v>
                </c:pt>
                <c:pt idx="84">
                  <c:v>421.73552270929196</c:v>
                </c:pt>
                <c:pt idx="85">
                  <c:v>432.79317682279242</c:v>
                </c:pt>
                <c:pt idx="86">
                  <c:v>347.55507847487706</c:v>
                </c:pt>
                <c:pt idx="87">
                  <c:v>357.73505677049843</c:v>
                </c:pt>
                <c:pt idx="88">
                  <c:v>367.90869587276711</c:v>
                </c:pt>
                <c:pt idx="89">
                  <c:v>378.07619586602806</c:v>
                </c:pt>
                <c:pt idx="90">
                  <c:v>388.23774519032082</c:v>
                </c:pt>
                <c:pt idx="91">
                  <c:v>398.39352161264304</c:v>
                </c:pt>
                <c:pt idx="92">
                  <c:v>408.54369309398299</c:v>
                </c:pt>
                <c:pt idx="93">
                  <c:v>418.68841856567104</c:v>
                </c:pt>
                <c:pt idx="94">
                  <c:v>428.82784862654739</c:v>
                </c:pt>
                <c:pt idx="95">
                  <c:v>438.96212617074298</c:v>
                </c:pt>
                <c:pt idx="96">
                  <c:v>449.09138695445449</c:v>
                </c:pt>
                <c:pt idx="97">
                  <c:v>459.21576010891323</c:v>
                </c:pt>
                <c:pt idx="98">
                  <c:v>378.209162331713</c:v>
                </c:pt>
                <c:pt idx="99">
                  <c:v>387.36480059909928</c:v>
                </c:pt>
                <c:pt idx="100">
                  <c:v>396.51574057777526</c:v>
                </c:pt>
                <c:pt idx="101">
                  <c:v>405.6621060387227</c:v>
                </c:pt>
                <c:pt idx="102">
                  <c:v>414.80401471367298</c:v>
                </c:pt>
                <c:pt idx="103">
                  <c:v>423.94157871927513</c:v>
                </c:pt>
                <c:pt idx="104">
                  <c:v>433.0749049427771</c:v>
                </c:pt>
                <c:pt idx="105">
                  <c:v>442.20409539346821</c:v>
                </c:pt>
                <c:pt idx="106">
                  <c:v>451.32924752357991</c:v>
                </c:pt>
                <c:pt idx="107">
                  <c:v>460.45045452187622</c:v>
                </c:pt>
                <c:pt idx="108">
                  <c:v>469.567805582765</c:v>
                </c:pt>
                <c:pt idx="109">
                  <c:v>478.6813861534161</c:v>
                </c:pt>
                <c:pt idx="110">
                  <c:v>395.20068110200162</c:v>
                </c:pt>
                <c:pt idx="111">
                  <c:v>403.39834364064762</c:v>
                </c:pt>
                <c:pt idx="112">
                  <c:v>411.59240379298285</c:v>
                </c:pt>
                <c:pt idx="113">
                  <c:v>419.78294343103568</c:v>
                </c:pt>
                <c:pt idx="114">
                  <c:v>427.97004096956312</c:v>
                </c:pt>
                <c:pt idx="115">
                  <c:v>436.15377157683184</c:v>
                </c:pt>
                <c:pt idx="116">
                  <c:v>444.33420736875161</c:v>
                </c:pt>
                <c:pt idx="117">
                  <c:v>452.51141758795944</c:v>
                </c:pt>
                <c:pt idx="118">
                  <c:v>460.68546876928417</c:v>
                </c:pt>
                <c:pt idx="119">
                  <c:v>468.85642489285124</c:v>
                </c:pt>
                <c:pt idx="120">
                  <c:v>477.02434752595531</c:v>
                </c:pt>
                <c:pt idx="121">
                  <c:v>485.18929595470814</c:v>
                </c:pt>
                <c:pt idx="122">
                  <c:v>254.46571105530847</c:v>
                </c:pt>
                <c:pt idx="123">
                  <c:v>260.23198096229737</c:v>
                </c:pt>
                <c:pt idx="124">
                  <c:v>265.99536493740356</c:v>
                </c:pt>
                <c:pt idx="125">
                  <c:v>271.75593442925316</c:v>
                </c:pt>
                <c:pt idx="126">
                  <c:v>277.5137576056257</c:v>
                </c:pt>
                <c:pt idx="127">
                  <c:v>283.26889957059507</c:v>
                </c:pt>
                <c:pt idx="128">
                  <c:v>289.02142256308201</c:v>
                </c:pt>
                <c:pt idx="129">
                  <c:v>294.77138613875337</c:v>
                </c:pt>
                <c:pt idx="130">
                  <c:v>300.51884733697273</c:v>
                </c:pt>
                <c:pt idx="131">
                  <c:v>306.26386083429691</c:v>
                </c:pt>
                <c:pt idx="132">
                  <c:v>2.282709528541206E-12</c:v>
                </c:pt>
                <c:pt idx="133">
                  <c:v>2.282709528541206E-12</c:v>
                </c:pt>
                <c:pt idx="134">
                  <c:v>2.282709528541206E-12</c:v>
                </c:pt>
                <c:pt idx="135">
                  <c:v>2.282709528541206E-12</c:v>
                </c:pt>
                <c:pt idx="136">
                  <c:v>2.282709528541206E-12</c:v>
                </c:pt>
                <c:pt idx="137">
                  <c:v>2.282709528541206E-12</c:v>
                </c:pt>
                <c:pt idx="138">
                  <c:v>2.282709528541206E-12</c:v>
                </c:pt>
                <c:pt idx="139">
                  <c:v>2.282709528541206E-12</c:v>
                </c:pt>
                <c:pt idx="140">
                  <c:v>2.282709528541206E-12</c:v>
                </c:pt>
                <c:pt idx="141">
                  <c:v>2.282709528541206E-12</c:v>
                </c:pt>
                <c:pt idx="142">
                  <c:v>2.282709528541206E-12</c:v>
                </c:pt>
                <c:pt idx="143">
                  <c:v>2.282709528541206E-12</c:v>
                </c:pt>
                <c:pt idx="144">
                  <c:v>2.282709528541206E-12</c:v>
                </c:pt>
                <c:pt idx="145">
                  <c:v>2.282709528541206E-12</c:v>
                </c:pt>
                <c:pt idx="146">
                  <c:v>2.282709528541206E-12</c:v>
                </c:pt>
                <c:pt idx="147">
                  <c:v>2.282709528541206E-12</c:v>
                </c:pt>
                <c:pt idx="148">
                  <c:v>2.282709528541206E-12</c:v>
                </c:pt>
                <c:pt idx="149">
                  <c:v>2.282709528541206E-12</c:v>
                </c:pt>
                <c:pt idx="150">
                  <c:v>2.282709528541206E-12</c:v>
                </c:pt>
                <c:pt idx="151">
                  <c:v>2.282709528541206E-12</c:v>
                </c:pt>
                <c:pt idx="152">
                  <c:v>2.282709528541206E-12</c:v>
                </c:pt>
                <c:pt idx="153">
                  <c:v>2.282709528541206E-12</c:v>
                </c:pt>
                <c:pt idx="154">
                  <c:v>2.282709528541206E-12</c:v>
                </c:pt>
                <c:pt idx="155">
                  <c:v>2.282709528541206E-12</c:v>
                </c:pt>
                <c:pt idx="156">
                  <c:v>2.282709528541206E-12</c:v>
                </c:pt>
                <c:pt idx="157">
                  <c:v>2.282709528541206E-12</c:v>
                </c:pt>
                <c:pt idx="158">
                  <c:v>2.282709528541206E-12</c:v>
                </c:pt>
                <c:pt idx="159">
                  <c:v>2.282709528541206E-12</c:v>
                </c:pt>
                <c:pt idx="160">
                  <c:v>2.282709528541206E-12</c:v>
                </c:pt>
                <c:pt idx="161">
                  <c:v>2.282709528541206E-12</c:v>
                </c:pt>
                <c:pt idx="162">
                  <c:v>2.282709528541206E-12</c:v>
                </c:pt>
                <c:pt idx="163">
                  <c:v>2.282709528541206E-12</c:v>
                </c:pt>
                <c:pt idx="164">
                  <c:v>2.282709528541206E-12</c:v>
                </c:pt>
                <c:pt idx="165">
                  <c:v>2.282709528541206E-12</c:v>
                </c:pt>
                <c:pt idx="166">
                  <c:v>2.282709528541206E-12</c:v>
                </c:pt>
                <c:pt idx="167">
                  <c:v>2.282709528541206E-12</c:v>
                </c:pt>
                <c:pt idx="168">
                  <c:v>2.282709528541206E-12</c:v>
                </c:pt>
                <c:pt idx="169">
                  <c:v>2.282709528541206E-12</c:v>
                </c:pt>
                <c:pt idx="170">
                  <c:v>2.282709528541206E-12</c:v>
                </c:pt>
                <c:pt idx="171">
                  <c:v>2.282709528541206E-12</c:v>
                </c:pt>
                <c:pt idx="172">
                  <c:v>2.282709528541206E-12</c:v>
                </c:pt>
                <c:pt idx="173">
                  <c:v>2.282709528541206E-12</c:v>
                </c:pt>
                <c:pt idx="174">
                  <c:v>2.282709528541206E-12</c:v>
                </c:pt>
                <c:pt idx="175">
                  <c:v>2.282709528541206E-12</c:v>
                </c:pt>
                <c:pt idx="176">
                  <c:v>2.282709528541206E-12</c:v>
                </c:pt>
                <c:pt idx="177">
                  <c:v>2.282709528541206E-12</c:v>
                </c:pt>
                <c:pt idx="178">
                  <c:v>2.282709528541206E-12</c:v>
                </c:pt>
                <c:pt idx="179">
                  <c:v>2.282709528541206E-12</c:v>
                </c:pt>
                <c:pt idx="180">
                  <c:v>2.282709528541206E-12</c:v>
                </c:pt>
                <c:pt idx="181">
                  <c:v>2.282709528541206E-12</c:v>
                </c:pt>
                <c:pt idx="182">
                  <c:v>2.282709528541206E-12</c:v>
                </c:pt>
                <c:pt idx="183">
                  <c:v>2.282709528541206E-12</c:v>
                </c:pt>
                <c:pt idx="184">
                  <c:v>2.282709528541206E-12</c:v>
                </c:pt>
                <c:pt idx="185">
                  <c:v>2.282709528541206E-12</c:v>
                </c:pt>
                <c:pt idx="186">
                  <c:v>2.282709528541206E-12</c:v>
                </c:pt>
                <c:pt idx="187">
                  <c:v>2.282709528541206E-12</c:v>
                </c:pt>
                <c:pt idx="188">
                  <c:v>2.282709528541206E-12</c:v>
                </c:pt>
                <c:pt idx="189">
                  <c:v>2.282709528541206E-12</c:v>
                </c:pt>
                <c:pt idx="190">
                  <c:v>2.282709528541206E-12</c:v>
                </c:pt>
                <c:pt idx="191">
                  <c:v>2.282709528541206E-12</c:v>
                </c:pt>
                <c:pt idx="192">
                  <c:v>2.282709528541206E-12</c:v>
                </c:pt>
                <c:pt idx="193">
                  <c:v>2.282709528541206E-12</c:v>
                </c:pt>
                <c:pt idx="194">
                  <c:v>2.282709528541206E-12</c:v>
                </c:pt>
                <c:pt idx="195">
                  <c:v>2.282709528541206E-12</c:v>
                </c:pt>
                <c:pt idx="196">
                  <c:v>2.282709528541206E-12</c:v>
                </c:pt>
                <c:pt idx="197">
                  <c:v>2.282709528541206E-12</c:v>
                </c:pt>
                <c:pt idx="198">
                  <c:v>2.282709528541206E-12</c:v>
                </c:pt>
                <c:pt idx="199">
                  <c:v>2.282709528541206E-12</c:v>
                </c:pt>
                <c:pt idx="200">
                  <c:v>2.282709528541206E-12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8.1821294837969027</c:v>
                </c:pt>
                <c:pt idx="2">
                  <c:v>16.001665179882195</c:v>
                </c:pt>
                <c:pt idx="3">
                  <c:v>23.704101283606182</c:v>
                </c:pt>
                <c:pt idx="4">
                  <c:v>31.33435447399172</c:v>
                </c:pt>
                <c:pt idx="5">
                  <c:v>38.912782462438038</c:v>
                </c:pt>
                <c:pt idx="6">
                  <c:v>46.450998137485477</c:v>
                </c:pt>
                <c:pt idx="7">
                  <c:v>53.956487879357091</c:v>
                </c:pt>
                <c:pt idx="8">
                  <c:v>61.434466247440376</c:v>
                </c:pt>
                <c:pt idx="9">
                  <c:v>68.888766009219609</c:v>
                </c:pt>
                <c:pt idx="10">
                  <c:v>76.322318239448407</c:v>
                </c:pt>
                <c:pt idx="11">
                  <c:v>83.73743387523713</c:v>
                </c:pt>
                <c:pt idx="12">
                  <c:v>91.135979583721522</c:v>
                </c:pt>
                <c:pt idx="13">
                  <c:v>98.519493179975257</c:v>
                </c:pt>
                <c:pt idx="14">
                  <c:v>105.88926245247744</c:v>
                </c:pt>
                <c:pt idx="15">
                  <c:v>113.24638079532888</c:v>
                </c:pt>
                <c:pt idx="16">
                  <c:v>120.59178756897008</c:v>
                </c:pt>
                <c:pt idx="17">
                  <c:v>127.92629807718343</c:v>
                </c:pt>
                <c:pt idx="18">
                  <c:v>135.2506262871764</c:v>
                </c:pt>
                <c:pt idx="19">
                  <c:v>142.56540235600957</c:v>
                </c:pt>
                <c:pt idx="20">
                  <c:v>149.87118636198909</c:v>
                </c:pt>
                <c:pt idx="21">
                  <c:v>157.16847921173658</c:v>
                </c:pt>
                <c:pt idx="22">
                  <c:v>164.45773141085769</c:v>
                </c:pt>
                <c:pt idx="23">
                  <c:v>171.73935019486649</c:v>
                </c:pt>
                <c:pt idx="24">
                  <c:v>179.01370538495533</c:v>
                </c:pt>
                <c:pt idx="25">
                  <c:v>186.28113424030212</c:v>
                </c:pt>
                <c:pt idx="26">
                  <c:v>193.54194551215505</c:v>
                </c:pt>
                <c:pt idx="27">
                  <c:v>200.7964228566681</c:v>
                </c:pt>
                <c:pt idx="28">
                  <c:v>208.0448277279188</c:v>
                </c:pt>
                <c:pt idx="29">
                  <c:v>215.28740184602262</c:v>
                </c:pt>
                <c:pt idx="30">
                  <c:v>222.52436931525537</c:v>
                </c:pt>
                <c:pt idx="31">
                  <c:v>229.75593845182368</c:v>
                </c:pt>
                <c:pt idx="32">
                  <c:v>236.98230336917092</c:v>
                </c:pt>
                <c:pt idx="33">
                  <c:v>244.20364535955198</c:v>
                </c:pt>
                <c:pt idx="34">
                  <c:v>251.42013410344009</c:v>
                </c:pt>
                <c:pt idx="35">
                  <c:v>258.63192873265098</c:v>
                </c:pt>
                <c:pt idx="36">
                  <c:v>265.83917876855406</c:v>
                </c:pt>
                <c:pt idx="37">
                  <c:v>273.04202495310557</c:v>
                </c:pt>
                <c:pt idx="38">
                  <c:v>280.24059998751426</c:v>
                </c:pt>
                <c:pt idx="39">
                  <c:v>287.43502919096625</c:v>
                </c:pt>
                <c:pt idx="40">
                  <c:v>294.62543108988598</c:v>
                </c:pt>
                <c:pt idx="41">
                  <c:v>301.81191794661373</c:v>
                </c:pt>
                <c:pt idx="42">
                  <c:v>308.99459623505135</c:v>
                </c:pt>
                <c:pt idx="43">
                  <c:v>316.17356706973356</c:v>
                </c:pt>
                <c:pt idx="44">
                  <c:v>323.34892659386003</c:v>
                </c:pt>
                <c:pt idx="45">
                  <c:v>330.52076633105781</c:v>
                </c:pt>
                <c:pt idx="46">
                  <c:v>337.68917350499459</c:v>
                </c:pt>
                <c:pt idx="47">
                  <c:v>344.85423133041496</c:v>
                </c:pt>
                <c:pt idx="48">
                  <c:v>352.01601927870962</c:v>
                </c:pt>
                <c:pt idx="49">
                  <c:v>359.17461332072804</c:v>
                </c:pt>
                <c:pt idx="50">
                  <c:v>366.33008614921073</c:v>
                </c:pt>
                <c:pt idx="51">
                  <c:v>373.48250738292387</c:v>
                </c:pt>
                <c:pt idx="52">
                  <c:v>380.63194375433119</c:v>
                </c:pt>
                <c:pt idx="53">
                  <c:v>387.77845928242181</c:v>
                </c:pt>
                <c:pt idx="54">
                  <c:v>394.92211543212437</c:v>
                </c:pt>
                <c:pt idx="55">
                  <c:v>402.06297126158034</c:v>
                </c:pt>
                <c:pt idx="56">
                  <c:v>409.20108355840267</c:v>
                </c:pt>
                <c:pt idx="57">
                  <c:v>416.33650696592531</c:v>
                </c:pt>
                <c:pt idx="58">
                  <c:v>423.46929410034483</c:v>
                </c:pt>
                <c:pt idx="59">
                  <c:v>430.599495659551</c:v>
                </c:pt>
                <c:pt idx="60">
                  <c:v>437.7271605243734</c:v>
                </c:pt>
                <c:pt idx="61">
                  <c:v>297.25638614083783</c:v>
                </c:pt>
                <c:pt idx="62">
                  <c:v>311.99167955097113</c:v>
                </c:pt>
                <c:pt idx="63">
                  <c:v>326.71153725965706</c:v>
                </c:pt>
                <c:pt idx="64">
                  <c:v>341.41675265773847</c:v>
                </c:pt>
                <c:pt idx="65">
                  <c:v>356.10804520797319</c:v>
                </c:pt>
                <c:pt idx="66">
                  <c:v>370.78607016346979</c:v>
                </c:pt>
                <c:pt idx="67">
                  <c:v>385.45142666649571</c:v>
                </c:pt>
                <c:pt idx="68">
                  <c:v>400.10466455016996</c:v>
                </c:pt>
                <c:pt idx="69">
                  <c:v>414.74629009164209</c:v>
                </c:pt>
                <c:pt idx="70">
                  <c:v>339.2639439109351</c:v>
                </c:pt>
                <c:pt idx="71">
                  <c:v>353.63853716568065</c:v>
                </c:pt>
                <c:pt idx="72">
                  <c:v>368.00033107455192</c:v>
                </c:pt>
                <c:pt idx="73">
                  <c:v>382.34989548615289</c:v>
                </c:pt>
                <c:pt idx="74">
                  <c:v>396.68775398688541</c:v>
                </c:pt>
                <c:pt idx="75">
                  <c:v>411.01438922808819</c:v>
                </c:pt>
                <c:pt idx="76">
                  <c:v>425.33024747162807</c:v>
                </c:pt>
                <c:pt idx="77">
                  <c:v>439.6357424915825</c:v>
                </c:pt>
                <c:pt idx="78">
                  <c:v>381.85950820727481</c:v>
                </c:pt>
                <c:pt idx="79">
                  <c:v>396.19923463130857</c:v>
                </c:pt>
                <c:pt idx="80">
                  <c:v>410.52771965204397</c:v>
                </c:pt>
                <c:pt idx="81">
                  <c:v>424.84541084070173</c:v>
                </c:pt>
                <c:pt idx="82">
                  <c:v>439.15272314399567</c:v>
                </c:pt>
                <c:pt idx="83">
                  <c:v>453.45004226985139</c:v>
                </c:pt>
                <c:pt idx="84">
                  <c:v>467.73772762389626</c:v>
                </c:pt>
                <c:pt idx="85">
                  <c:v>482.01611486850567</c:v>
                </c:pt>
                <c:pt idx="86">
                  <c:v>496.28551816288632</c:v>
                </c:pt>
                <c:pt idx="87">
                  <c:v>431.08814036505129</c:v>
                </c:pt>
                <c:pt idx="88">
                  <c:v>445.42402446650129</c:v>
                </c:pt>
                <c:pt idx="89">
                  <c:v>459.75003066924114</c:v>
                </c:pt>
                <c:pt idx="90">
                  <c:v>474.06651006326803</c:v>
                </c:pt>
                <c:pt idx="91">
                  <c:v>488.37379080858153</c:v>
                </c:pt>
                <c:pt idx="92">
                  <c:v>502.67218027465498</c:v>
                </c:pt>
                <c:pt idx="93">
                  <c:v>516.96196692386172</c:v>
                </c:pt>
                <c:pt idx="94">
                  <c:v>531.24342197586907</c:v>
                </c:pt>
                <c:pt idx="95">
                  <c:v>545.5168008837951</c:v>
                </c:pt>
                <c:pt idx="96">
                  <c:v>470.63178237368783</c:v>
                </c:pt>
                <c:pt idx="97">
                  <c:v>484.97886153712358</c:v>
                </c:pt>
                <c:pt idx="98">
                  <c:v>499.31693103642039</c:v>
                </c:pt>
                <c:pt idx="99">
                  <c:v>513.6462859559382</c:v>
                </c:pt>
                <c:pt idx="100">
                  <c:v>527.96720357842025</c:v>
                </c:pt>
                <c:pt idx="101">
                  <c:v>542.2799449227025</c:v>
                </c:pt>
                <c:pt idx="102">
                  <c:v>556.5847561106857</c:v>
                </c:pt>
                <c:pt idx="103">
                  <c:v>570.88186958651568</c:v>
                </c:pt>
                <c:pt idx="104">
                  <c:v>585.17150520732696</c:v>
                </c:pt>
                <c:pt idx="105">
                  <c:v>516.54166116669489</c:v>
                </c:pt>
                <c:pt idx="106">
                  <c:v>531.07915183325929</c:v>
                </c:pt>
                <c:pt idx="107">
                  <c:v>545.60827137870149</c:v>
                </c:pt>
                <c:pt idx="108">
                  <c:v>560.12927403267713</c:v>
                </c:pt>
                <c:pt idx="109">
                  <c:v>574.64239977407976</c:v>
                </c:pt>
                <c:pt idx="110">
                  <c:v>589.14787547707567</c:v>
                </c:pt>
                <c:pt idx="111">
                  <c:v>603.64591593845182</c:v>
                </c:pt>
                <c:pt idx="112">
                  <c:v>618.13672480118373</c:v>
                </c:pt>
                <c:pt idx="113">
                  <c:v>632.62049538693771</c:v>
                </c:pt>
                <c:pt idx="114">
                  <c:v>559.63700802747883</c:v>
                </c:pt>
                <c:pt idx="115">
                  <c:v>574.40342813693735</c:v>
                </c:pt>
                <c:pt idx="116">
                  <c:v>589.16192526196869</c:v>
                </c:pt>
                <c:pt idx="117">
                  <c:v>603.91272573301706</c:v>
                </c:pt>
                <c:pt idx="118">
                  <c:v>618.65604392841703</c:v>
                </c:pt>
                <c:pt idx="119">
                  <c:v>633.39208318124645</c:v>
                </c:pt>
                <c:pt idx="120">
                  <c:v>648.12103659745299</c:v>
                </c:pt>
                <c:pt idx="121">
                  <c:v>662.84308779578248</c:v>
                </c:pt>
                <c:pt idx="122">
                  <c:v>677.55841157859902</c:v>
                </c:pt>
                <c:pt idx="123">
                  <c:v>596.09394413384234</c:v>
                </c:pt>
                <c:pt idx="124">
                  <c:v>611.0768269888905</c:v>
                </c:pt>
                <c:pt idx="125">
                  <c:v>626.05208981439876</c:v>
                </c:pt>
                <c:pt idx="126">
                  <c:v>641.01994045351421</c:v>
                </c:pt>
                <c:pt idx="127">
                  <c:v>655.98057625762533</c:v>
                </c:pt>
                <c:pt idx="128">
                  <c:v>670.93418484811787</c:v>
                </c:pt>
                <c:pt idx="129">
                  <c:v>685.88094480673408</c:v>
                </c:pt>
                <c:pt idx="130">
                  <c:v>700.82102630266911</c:v>
                </c:pt>
                <c:pt idx="131">
                  <c:v>715.75459166345024</c:v>
                </c:pt>
                <c:pt idx="132">
                  <c:v>730.68179589573367</c:v>
                </c:pt>
                <c:pt idx="133">
                  <c:v>643.78734431496343</c:v>
                </c:pt>
                <c:pt idx="134">
                  <c:v>659.21869688793583</c:v>
                </c:pt>
                <c:pt idx="135">
                  <c:v>674.642613546593</c:v>
                </c:pt>
                <c:pt idx="136">
                  <c:v>690.05928812247714</c:v>
                </c:pt>
                <c:pt idx="137">
                  <c:v>705.46890508651961</c:v>
                </c:pt>
                <c:pt idx="138">
                  <c:v>720.87164019988461</c:v>
                </c:pt>
                <c:pt idx="139">
                  <c:v>736.26766110633343</c:v>
                </c:pt>
                <c:pt idx="140">
                  <c:v>751.65712787251152</c:v>
                </c:pt>
                <c:pt idx="141">
                  <c:v>767.04019348172062</c:v>
                </c:pt>
                <c:pt idx="142">
                  <c:v>782.41700428606043</c:v>
                </c:pt>
                <c:pt idx="143">
                  <c:v>797.78770042120721</c:v>
                </c:pt>
                <c:pt idx="144">
                  <c:v>813.15241618759967</c:v>
                </c:pt>
                <c:pt idx="145">
                  <c:v>701.12586468045549</c:v>
                </c:pt>
                <c:pt idx="146">
                  <c:v>716.91183460933723</c:v>
                </c:pt>
                <c:pt idx="147">
                  <c:v>732.6907092273882</c:v>
                </c:pt>
                <c:pt idx="148">
                  <c:v>748.46266273527215</c:v>
                </c:pt>
                <c:pt idx="149">
                  <c:v>764.22786139968741</c:v>
                </c:pt>
                <c:pt idx="150">
                  <c:v>779.98646407428487</c:v>
                </c:pt>
                <c:pt idx="151">
                  <c:v>795.73862267633888</c:v>
                </c:pt>
                <c:pt idx="152">
                  <c:v>811.48448262374859</c:v>
                </c:pt>
                <c:pt idx="153">
                  <c:v>827.22418323639067</c:v>
                </c:pt>
                <c:pt idx="154">
                  <c:v>842.95785810536938</c:v>
                </c:pt>
                <c:pt idx="155">
                  <c:v>858.68563543329401</c:v>
                </c:pt>
                <c:pt idx="156">
                  <c:v>874.40763834835695</c:v>
                </c:pt>
                <c:pt idx="157">
                  <c:v>752.95370834201412</c:v>
                </c:pt>
                <c:pt idx="158">
                  <c:v>769.05062066747621</c:v>
                </c:pt>
                <c:pt idx="159">
                  <c:v>785.14070399388891</c:v>
                </c:pt>
                <c:pt idx="160">
                  <c:v>801.22411785453767</c:v>
                </c:pt>
                <c:pt idx="161">
                  <c:v>817.30101486188005</c:v>
                </c:pt>
                <c:pt idx="162">
                  <c:v>833.37154114079146</c:v>
                </c:pt>
                <c:pt idx="163">
                  <c:v>849.43583672669149</c:v>
                </c:pt>
                <c:pt idx="164">
                  <c:v>865.49403593202032</c:v>
                </c:pt>
                <c:pt idx="165">
                  <c:v>881.54626768413198</c:v>
                </c:pt>
                <c:pt idx="166">
                  <c:v>897.59265583732576</c:v>
                </c:pt>
                <c:pt idx="167">
                  <c:v>913.63331946142853</c:v>
                </c:pt>
                <c:pt idx="168">
                  <c:v>929.66837310908465</c:v>
                </c:pt>
                <c:pt idx="169">
                  <c:v>796.50136678191245</c:v>
                </c:pt>
                <c:pt idx="170">
                  <c:v>812.60109850689844</c:v>
                </c:pt>
                <c:pt idx="171">
                  <c:v>828.69440071047518</c:v>
                </c:pt>
                <c:pt idx="172">
                  <c:v>844.78141572009554</c:v>
                </c:pt>
                <c:pt idx="173">
                  <c:v>860.86228000621247</c:v>
                </c:pt>
                <c:pt idx="174">
                  <c:v>876.93712453043827</c:v>
                </c:pt>
                <c:pt idx="175">
                  <c:v>893.00607506687686</c:v>
                </c:pt>
                <c:pt idx="176">
                  <c:v>909.0692524991556</c:v>
                </c:pt>
                <c:pt idx="177">
                  <c:v>925.12677309539038</c:v>
                </c:pt>
                <c:pt idx="178">
                  <c:v>941.17874876309509</c:v>
                </c:pt>
                <c:pt idx="179">
                  <c:v>957.22528728581744</c:v>
                </c:pt>
                <c:pt idx="180">
                  <c:v>973.26649254310041</c:v>
                </c:pt>
                <c:pt idx="181">
                  <c:v>615.45986536459986</c:v>
                </c:pt>
                <c:pt idx="182">
                  <c:v>625.55955995146212</c:v>
                </c:pt>
                <c:pt idx="183">
                  <c:v>635.65587985403749</c:v>
                </c:pt>
                <c:pt idx="184">
                  <c:v>645.7488862185977</c:v>
                </c:pt>
                <c:pt idx="185">
                  <c:v>438.58074281299741</c:v>
                </c:pt>
                <c:pt idx="186">
                  <c:v>445.11662895905619</c:v>
                </c:pt>
                <c:pt idx="187">
                  <c:v>451.65045994096386</c:v>
                </c:pt>
                <c:pt idx="188">
                  <c:v>458.18226970346444</c:v>
                </c:pt>
                <c:pt idx="189">
                  <c:v>308.84358546331816</c:v>
                </c:pt>
                <c:pt idx="190">
                  <c:v>313.05987668341305</c:v>
                </c:pt>
                <c:pt idx="191">
                  <c:v>317.27490843579983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10.048304616950057</c:v>
                </c:pt>
                <c:pt idx="2">
                  <c:v>19.659137741821663</c:v>
                </c:pt>
                <c:pt idx="3">
                  <c:v>29.128689534447123</c:v>
                </c:pt>
                <c:pt idx="4">
                  <c:v>38.511152226622073</c:v>
                </c:pt>
                <c:pt idx="5">
                  <c:v>47.831087514335131</c:v>
                </c:pt>
                <c:pt idx="6">
                  <c:v>57.102506414457658</c:v>
                </c:pt>
                <c:pt idx="7">
                  <c:v>66.334441287822742</c:v>
                </c:pt>
                <c:pt idx="8">
                  <c:v>75.53318353034804</c:v>
                </c:pt>
                <c:pt idx="9">
                  <c:v>84.70335739806599</c:v>
                </c:pt>
                <c:pt idx="10">
                  <c:v>93.848499249538975</c:v>
                </c:pt>
                <c:pt idx="11">
                  <c:v>102.97139724369315</c:v>
                </c:pt>
                <c:pt idx="12">
                  <c:v>112.07430352517288</c:v>
                </c:pt>
                <c:pt idx="13">
                  <c:v>121.15907347671678</c:v>
                </c:pt>
                <c:pt idx="14">
                  <c:v>130.22726082253777</c:v>
                </c:pt>
                <c:pt idx="15">
                  <c:v>139.28018474891235</c:v>
                </c:pt>
                <c:pt idx="16">
                  <c:v>148.31897859961927</c:v>
                </c:pt>
                <c:pt idx="17">
                  <c:v>157.3446260433652</c:v>
                </c:pt>
                <c:pt idx="18">
                  <c:v>166.35798848569573</c:v>
                </c:pt>
                <c:pt idx="19">
                  <c:v>175.35982621473178</c:v>
                </c:pt>
                <c:pt idx="20">
                  <c:v>184.35081496817375</c:v>
                </c:pt>
                <c:pt idx="21">
                  <c:v>193.33155909274402</c:v>
                </c:pt>
                <c:pt idx="22">
                  <c:v>202.30260212604904</c:v>
                </c:pt>
                <c:pt idx="23">
                  <c:v>211.26443540008074</c:v>
                </c:pt>
                <c:pt idx="24">
                  <c:v>220.21750510623642</c:v>
                </c:pt>
                <c:pt idx="25">
                  <c:v>229.16221814965567</c:v>
                </c:pt>
                <c:pt idx="26">
                  <c:v>238.09894704049665</c:v>
                </c:pt>
                <c:pt idx="27">
                  <c:v>247.02803401154202</c:v>
                </c:pt>
                <c:pt idx="28">
                  <c:v>255.94979450864125</c:v>
                </c:pt>
                <c:pt idx="29">
                  <c:v>264.86452016850518</c:v>
                </c:pt>
                <c:pt idx="30">
                  <c:v>273.77248137423243</c:v>
                </c:pt>
                <c:pt idx="31">
                  <c:v>282.67392946052559</c:v>
                </c:pt>
                <c:pt idx="32">
                  <c:v>291.56909862637139</c:v>
                </c:pt>
                <c:pt idx="33">
                  <c:v>300.45820760191901</c:v>
                </c:pt>
                <c:pt idx="34">
                  <c:v>309.34146110763578</c:v>
                </c:pt>
                <c:pt idx="35">
                  <c:v>318.21905113697397</c:v>
                </c:pt>
                <c:pt idx="36">
                  <c:v>327.09115808832604</c:v>
                </c:pt>
                <c:pt idx="37">
                  <c:v>335.95795176767251</c:v>
                </c:pt>
                <c:pt idx="38">
                  <c:v>344.81959227978564</c:v>
                </c:pt>
                <c:pt idx="39">
                  <c:v>353.67623082298468</c:v>
                </c:pt>
                <c:pt idx="40">
                  <c:v>362.52801040008325</c:v>
                </c:pt>
                <c:pt idx="41">
                  <c:v>371.3750664562408</c:v>
                </c:pt>
                <c:pt idx="42">
                  <c:v>380.21752745283328</c:v>
                </c:pt>
                <c:pt idx="43">
                  <c:v>389.05551538512827</c:v>
                </c:pt>
                <c:pt idx="44">
                  <c:v>397.8891462504501</c:v>
                </c:pt>
                <c:pt idx="45">
                  <c:v>268.3332207978392</c:v>
                </c:pt>
                <c:pt idx="46">
                  <c:v>287.12426874710326</c:v>
                </c:pt>
                <c:pt idx="47">
                  <c:v>305.88781482274101</c:v>
                </c:pt>
                <c:pt idx="48">
                  <c:v>324.62578288235642</c:v>
                </c:pt>
                <c:pt idx="49">
                  <c:v>343.33985656629596</c:v>
                </c:pt>
                <c:pt idx="50">
                  <c:v>362.0315210237124</c:v>
                </c:pt>
                <c:pt idx="51">
                  <c:v>380.70209556651133</c:v>
                </c:pt>
                <c:pt idx="52">
                  <c:v>304.14921959879979</c:v>
                </c:pt>
                <c:pt idx="53">
                  <c:v>321.868890544267</c:v>
                </c:pt>
                <c:pt idx="54">
                  <c:v>339.56699231057195</c:v>
                </c:pt>
                <c:pt idx="55">
                  <c:v>357.24480696016116</c:v>
                </c:pt>
                <c:pt idx="56">
                  <c:v>374.90347933824819</c:v>
                </c:pt>
                <c:pt idx="57">
                  <c:v>392.54403766469613</c:v>
                </c:pt>
                <c:pt idx="58">
                  <c:v>410.16741023037071</c:v>
                </c:pt>
                <c:pt idx="59">
                  <c:v>427.77443907396082</c:v>
                </c:pt>
                <c:pt idx="60">
                  <c:v>342.61772102411163</c:v>
                </c:pt>
                <c:pt idx="61">
                  <c:v>359.16062505062047</c:v>
                </c:pt>
                <c:pt idx="62">
                  <c:v>375.68686388798625</c:v>
                </c:pt>
                <c:pt idx="63">
                  <c:v>392.19727364217937</c:v>
                </c:pt>
                <c:pt idx="64">
                  <c:v>408.6926142945477</c:v>
                </c:pt>
                <c:pt idx="65">
                  <c:v>425.17357948922836</c:v>
                </c:pt>
                <c:pt idx="66">
                  <c:v>441.64080472385695</c:v>
                </c:pt>
                <c:pt idx="67">
                  <c:v>458.09487425506512</c:v>
                </c:pt>
                <c:pt idx="68">
                  <c:v>389.00384145999186</c:v>
                </c:pt>
                <c:pt idx="69">
                  <c:v>404.88840808380127</c:v>
                </c:pt>
                <c:pt idx="70">
                  <c:v>420.75950620505029</c:v>
                </c:pt>
                <c:pt idx="71">
                  <c:v>436.61771524956117</c:v>
                </c:pt>
                <c:pt idx="72">
                  <c:v>452.46356913105257</c:v>
                </c:pt>
                <c:pt idx="73">
                  <c:v>468.29756132773349</c:v>
                </c:pt>
                <c:pt idx="74">
                  <c:v>484.12014923664145</c:v>
                </c:pt>
                <c:pt idx="75">
                  <c:v>499.93175792920005</c:v>
                </c:pt>
                <c:pt idx="76">
                  <c:v>432.23287601174712</c:v>
                </c:pt>
                <c:pt idx="77">
                  <c:v>447.64293801816285</c:v>
                </c:pt>
                <c:pt idx="78">
                  <c:v>463.04164880223556</c:v>
                </c:pt>
                <c:pt idx="79">
                  <c:v>478.42943889795788</c:v>
                </c:pt>
                <c:pt idx="80">
                  <c:v>493.80670889501863</c:v>
                </c:pt>
                <c:pt idx="81">
                  <c:v>509.17383240843407</c:v>
                </c:pt>
                <c:pt idx="82">
                  <c:v>524.53115867111683</c:v>
                </c:pt>
                <c:pt idx="83">
                  <c:v>539.879014807114</c:v>
                </c:pt>
                <c:pt idx="84">
                  <c:v>555.21770783299235</c:v>
                </c:pt>
                <c:pt idx="85">
                  <c:v>474.82491637704396</c:v>
                </c:pt>
                <c:pt idx="86">
                  <c:v>489.58681562555012</c:v>
                </c:pt>
                <c:pt idx="87">
                  <c:v>504.33927544305925</c:v>
                </c:pt>
                <c:pt idx="88">
                  <c:v>519.08261074179791</c:v>
                </c:pt>
                <c:pt idx="89">
                  <c:v>533.81711709291642</c:v>
                </c:pt>
                <c:pt idx="90">
                  <c:v>548.54307242652112</c:v>
                </c:pt>
                <c:pt idx="91">
                  <c:v>563.26073853972309</c:v>
                </c:pt>
                <c:pt idx="92">
                  <c:v>577.97036243893194</c:v>
                </c:pt>
                <c:pt idx="93">
                  <c:v>592.67217753845057</c:v>
                </c:pt>
                <c:pt idx="94">
                  <c:v>525.39800785268062</c:v>
                </c:pt>
                <c:pt idx="95">
                  <c:v>540.1830286906735</c:v>
                </c:pt>
                <c:pt idx="96">
                  <c:v>554.95955132926986</c:v>
                </c:pt>
                <c:pt idx="97">
                  <c:v>569.727833819701</c:v>
                </c:pt>
                <c:pt idx="98">
                  <c:v>584.48811975027968</c:v>
                </c:pt>
                <c:pt idx="99">
                  <c:v>599.24063940933604</c:v>
                </c:pt>
                <c:pt idx="100">
                  <c:v>613.98561082773153</c:v>
                </c:pt>
                <c:pt idx="101">
                  <c:v>628.72324071607227</c:v>
                </c:pt>
                <c:pt idx="102">
                  <c:v>643.45372530952898</c:v>
                </c:pt>
                <c:pt idx="103">
                  <c:v>658.17725113131621</c:v>
                </c:pt>
                <c:pt idx="104">
                  <c:v>564.13309016863479</c:v>
                </c:pt>
                <c:pt idx="105">
                  <c:v>578.49132971991378</c:v>
                </c:pt>
                <c:pt idx="106">
                  <c:v>592.84213641116253</c:v>
                </c:pt>
                <c:pt idx="107">
                  <c:v>607.18571543100336</c:v>
                </c:pt>
                <c:pt idx="108">
                  <c:v>621.52226148809166</c:v>
                </c:pt>
                <c:pt idx="109">
                  <c:v>635.85195958078464</c:v>
                </c:pt>
                <c:pt idx="110">
                  <c:v>650.17498569385816</c:v>
                </c:pt>
                <c:pt idx="111">
                  <c:v>664.4915074306748</c:v>
                </c:pt>
                <c:pt idx="112">
                  <c:v>678.80168458807077</c:v>
                </c:pt>
                <c:pt idx="113">
                  <c:v>693.1056696802774</c:v>
                </c:pt>
                <c:pt idx="114">
                  <c:v>621.05803334398831</c:v>
                </c:pt>
                <c:pt idx="115">
                  <c:v>636.03374756047731</c:v>
                </c:pt>
                <c:pt idx="116">
                  <c:v>651.00217703731926</c:v>
                </c:pt>
                <c:pt idx="117">
                  <c:v>665.96351276314715</c:v>
                </c:pt>
                <c:pt idx="118">
                  <c:v>680.91793645117184</c:v>
                </c:pt>
                <c:pt idx="119">
                  <c:v>695.86562118765994</c:v>
                </c:pt>
                <c:pt idx="120">
                  <c:v>710.80673202183868</c:v>
                </c:pt>
                <c:pt idx="121">
                  <c:v>725.74142650365923</c:v>
                </c:pt>
                <c:pt idx="122">
                  <c:v>740.66985517502701</c:v>
                </c:pt>
                <c:pt idx="123">
                  <c:v>755.59216201940251</c:v>
                </c:pt>
                <c:pt idx="124">
                  <c:v>770.50848487406813</c:v>
                </c:pt>
                <c:pt idx="125">
                  <c:v>785.41895580883818</c:v>
                </c:pt>
                <c:pt idx="126">
                  <c:v>667.10335010791766</c:v>
                </c:pt>
                <c:pt idx="127">
                  <c:v>681.93031271442624</c:v>
                </c:pt>
                <c:pt idx="128">
                  <c:v>696.75066156269395</c:v>
                </c:pt>
                <c:pt idx="129">
                  <c:v>711.56455705323924</c:v>
                </c:pt>
                <c:pt idx="130">
                  <c:v>726.37215236822306</c:v>
                </c:pt>
                <c:pt idx="131">
                  <c:v>741.17359393984896</c:v>
                </c:pt>
                <c:pt idx="132">
                  <c:v>755.96902187943522</c:v>
                </c:pt>
                <c:pt idx="133">
                  <c:v>770.75857037117385</c:v>
                </c:pt>
                <c:pt idx="134">
                  <c:v>785.54236803412675</c:v>
                </c:pt>
                <c:pt idx="135">
                  <c:v>800.32053825557568</c:v>
                </c:pt>
                <c:pt idx="136">
                  <c:v>815.0931994984943</c:v>
                </c:pt>
                <c:pt idx="137">
                  <c:v>829.86046558559235</c:v>
                </c:pt>
                <c:pt idx="138">
                  <c:v>702.45053268798029</c:v>
                </c:pt>
                <c:pt idx="139">
                  <c:v>716.91008548011894</c:v>
                </c:pt>
                <c:pt idx="140">
                  <c:v>731.36368508615408</c:v>
                </c:pt>
                <c:pt idx="141">
                  <c:v>745.81146564640403</c:v>
                </c:pt>
                <c:pt idx="142">
                  <c:v>760.25355568429995</c:v>
                </c:pt>
                <c:pt idx="143">
                  <c:v>774.69007844601583</c:v>
                </c:pt>
                <c:pt idx="144">
                  <c:v>789.12115221348574</c:v>
                </c:pt>
                <c:pt idx="145">
                  <c:v>803.54689059335408</c:v>
                </c:pt>
                <c:pt idx="146">
                  <c:v>817.96740278411835</c:v>
                </c:pt>
                <c:pt idx="147">
                  <c:v>832.38279382346775</c:v>
                </c:pt>
                <c:pt idx="148">
                  <c:v>846.79316481761714</c:v>
                </c:pt>
                <c:pt idx="149">
                  <c:v>861.1986131542327</c:v>
                </c:pt>
                <c:pt idx="150">
                  <c:v>533.64327606171275</c:v>
                </c:pt>
                <c:pt idx="151">
                  <c:v>542.45026377233353</c:v>
                </c:pt>
                <c:pt idx="152">
                  <c:v>551.25424958322492</c:v>
                </c:pt>
                <c:pt idx="153">
                  <c:v>560.0552882026393</c:v>
                </c:pt>
                <c:pt idx="154">
                  <c:v>367.85381429737589</c:v>
                </c:pt>
                <c:pt idx="155">
                  <c:v>373.21124685754739</c:v>
                </c:pt>
                <c:pt idx="156">
                  <c:v>378.56700327841526</c:v>
                </c:pt>
                <c:pt idx="157">
                  <c:v>383.92111064505872</c:v>
                </c:pt>
                <c:pt idx="158">
                  <c:v>257.32741893799079</c:v>
                </c:pt>
                <c:pt idx="159">
                  <c:v>260.6667052891749</c:v>
                </c:pt>
                <c:pt idx="160">
                  <c:v>264.00502543298677</c:v>
                </c:pt>
                <c:pt idx="161">
                  <c:v>267.34239333724963</c:v>
                </c:pt>
                <c:pt idx="162">
                  <c:v>1.1479655194098737E-11</c:v>
                </c:pt>
                <c:pt idx="163">
                  <c:v>1.1479655194098737E-11</c:v>
                </c:pt>
                <c:pt idx="164">
                  <c:v>1.1479655194098737E-11</c:v>
                </c:pt>
                <c:pt idx="165">
                  <c:v>1.1479655194098737E-11</c:v>
                </c:pt>
                <c:pt idx="166">
                  <c:v>1.1479655194098737E-11</c:v>
                </c:pt>
                <c:pt idx="167">
                  <c:v>1.1479655194098737E-11</c:v>
                </c:pt>
                <c:pt idx="168">
                  <c:v>1.1479655194098737E-11</c:v>
                </c:pt>
                <c:pt idx="169">
                  <c:v>1.1479655194098737E-11</c:v>
                </c:pt>
                <c:pt idx="170">
                  <c:v>1.1479655194098737E-11</c:v>
                </c:pt>
                <c:pt idx="171">
                  <c:v>1.1479655194098737E-11</c:v>
                </c:pt>
                <c:pt idx="172">
                  <c:v>1.1479655194098737E-11</c:v>
                </c:pt>
                <c:pt idx="173">
                  <c:v>1.1479655194098737E-11</c:v>
                </c:pt>
                <c:pt idx="174">
                  <c:v>1.1479655194098737E-11</c:v>
                </c:pt>
                <c:pt idx="175">
                  <c:v>1.1479655194098737E-11</c:v>
                </c:pt>
                <c:pt idx="176">
                  <c:v>1.1479655194098737E-11</c:v>
                </c:pt>
                <c:pt idx="177">
                  <c:v>1.1479655194098737E-11</c:v>
                </c:pt>
                <c:pt idx="178">
                  <c:v>1.1479655194098737E-11</c:v>
                </c:pt>
                <c:pt idx="179">
                  <c:v>1.1479655194098737E-11</c:v>
                </c:pt>
                <c:pt idx="180">
                  <c:v>1.1479655194098737E-11</c:v>
                </c:pt>
                <c:pt idx="181">
                  <c:v>1.1479655194098737E-11</c:v>
                </c:pt>
                <c:pt idx="182">
                  <c:v>1.1479655194098737E-11</c:v>
                </c:pt>
                <c:pt idx="183">
                  <c:v>1.1479655194098737E-11</c:v>
                </c:pt>
                <c:pt idx="184">
                  <c:v>1.1479655194098737E-11</c:v>
                </c:pt>
                <c:pt idx="185">
                  <c:v>1.1479655194098737E-11</c:v>
                </c:pt>
                <c:pt idx="186">
                  <c:v>1.1479655194098737E-11</c:v>
                </c:pt>
                <c:pt idx="187">
                  <c:v>1.1479655194098737E-11</c:v>
                </c:pt>
                <c:pt idx="188">
                  <c:v>1.1479655194098737E-11</c:v>
                </c:pt>
                <c:pt idx="189">
                  <c:v>1.1479655194098737E-11</c:v>
                </c:pt>
                <c:pt idx="190">
                  <c:v>1.1479655194098737E-11</c:v>
                </c:pt>
                <c:pt idx="191">
                  <c:v>1.1479655194098737E-11</c:v>
                </c:pt>
                <c:pt idx="192">
                  <c:v>1.1479655194098737E-11</c:v>
                </c:pt>
                <c:pt idx="193">
                  <c:v>1.1479655194098737E-11</c:v>
                </c:pt>
                <c:pt idx="194">
                  <c:v>1.1479655194098737E-11</c:v>
                </c:pt>
                <c:pt idx="195">
                  <c:v>1.1479655194098737E-11</c:v>
                </c:pt>
                <c:pt idx="196">
                  <c:v>1.1479655194098737E-11</c:v>
                </c:pt>
                <c:pt idx="197">
                  <c:v>1.1479655194098737E-11</c:v>
                </c:pt>
                <c:pt idx="198">
                  <c:v>1.1479655194098737E-11</c:v>
                </c:pt>
                <c:pt idx="199">
                  <c:v>1.1479655194098737E-11</c:v>
                </c:pt>
                <c:pt idx="200">
                  <c:v>1.1479655194098737E-11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8.3056921630164542</c:v>
                </c:pt>
                <c:pt idx="2">
                  <c:v>16.243789003972445</c:v>
                </c:pt>
                <c:pt idx="3">
                  <c:v>24.063171008033788</c:v>
                </c:pt>
                <c:pt idx="4">
                  <c:v>31.8093744244437</c:v>
                </c:pt>
                <c:pt idx="5">
                  <c:v>39.503037774136196</c:v>
                </c:pt>
                <c:pt idx="6">
                  <c:v>47.15593413113433</c:v>
                </c:pt>
                <c:pt idx="7">
                  <c:v>54.775653141048224</c:v>
                </c:pt>
                <c:pt idx="8">
                  <c:v>62.367481291684378</c:v>
                </c:pt>
                <c:pt idx="9">
                  <c:v>69.935304218830069</c:v>
                </c:pt>
                <c:pt idx="10">
                  <c:v>77.482093427802084</c:v>
                </c:pt>
                <c:pt idx="11">
                  <c:v>85.01019173223969</c:v>
                </c:pt>
                <c:pt idx="12">
                  <c:v>92.52149154765074</c:v>
                </c:pt>
                <c:pt idx="13">
                  <c:v>100.01755190137233</c:v>
                </c:pt>
                <c:pt idx="14">
                  <c:v>107.49967834533821</c:v>
                </c:pt>
                <c:pt idx="15">
                  <c:v>114.96897935567303</c:v>
                </c:pt>
                <c:pt idx="16">
                  <c:v>122.42640725013666</c:v>
                </c:pt>
                <c:pt idx="17">
                  <c:v>129.87278857862222</c:v>
                </c:pt>
                <c:pt idx="18">
                  <c:v>137.30884715663467</c:v>
                </c:pt>
                <c:pt idx="19">
                  <c:v>144.73522183347453</c:v>
                </c:pt>
                <c:pt idx="20">
                  <c:v>152.15248041303775</c:v>
                </c:pt>
                <c:pt idx="21">
                  <c:v>159.56113071133535</c:v>
                </c:pt>
                <c:pt idx="22">
                  <c:v>166.96162944814259</c:v>
                </c:pt>
                <c:pt idx="23">
                  <c:v>174.35438947628532</c:v>
                </c:pt>
                <c:pt idx="24">
                  <c:v>181.7397857181835</c:v>
                </c:pt>
                <c:pt idx="25">
                  <c:v>189.1181600850897</c:v>
                </c:pt>
                <c:pt idx="26">
                  <c:v>196.48982558709483</c:v>
                </c:pt>
                <c:pt idx="27">
                  <c:v>203.85506979304003</c:v>
                </c:pt>
                <c:pt idx="28">
                  <c:v>211.21415776343937</c:v>
                </c:pt>
                <c:pt idx="29">
                  <c:v>218.56733455263964</c:v>
                </c:pt>
                <c:pt idx="30">
                  <c:v>225.91482735615861</c:v>
                </c:pt>
                <c:pt idx="31">
                  <c:v>233.25684736366836</c:v>
                </c:pt>
                <c:pt idx="32">
                  <c:v>240.59359136616786</c:v>
                </c:pt>
                <c:pt idx="33">
                  <c:v>247.92524315661532</c:v>
                </c:pt>
                <c:pt idx="34">
                  <c:v>255.25197475601655</c:v>
                </c:pt>
                <c:pt idx="35">
                  <c:v>262.57394749121505</c:v>
                </c:pt>
                <c:pt idx="36">
                  <c:v>269.89131294604289</c:v>
                </c:pt>
                <c:pt idx="37">
                  <c:v>277.20421380381816</c:v>
                </c:pt>
                <c:pt idx="38">
                  <c:v>284.51278459619942</c:v>
                </c:pt>
                <c:pt idx="39">
                  <c:v>291.81715237099615</c:v>
                </c:pt>
                <c:pt idx="40">
                  <c:v>299.11743728955889</c:v>
                </c:pt>
                <c:pt idx="41">
                  <c:v>306.41375316274832</c:v>
                </c:pt>
                <c:pt idx="42">
                  <c:v>313.70620793314299</c:v>
                </c:pt>
                <c:pt idx="43">
                  <c:v>320.99490411002768</c:v>
                </c:pt>
                <c:pt idx="44">
                  <c:v>328.27993916277887</c:v>
                </c:pt>
                <c:pt idx="45">
                  <c:v>335.5614058774795</c:v>
                </c:pt>
                <c:pt idx="46">
                  <c:v>342.83939268093991</c:v>
                </c:pt>
                <c:pt idx="47">
                  <c:v>350.11398393574996</c:v>
                </c:pt>
                <c:pt idx="48">
                  <c:v>357.38526020950985</c:v>
                </c:pt>
                <c:pt idx="49">
                  <c:v>364.65329852099347</c:v>
                </c:pt>
                <c:pt idx="50">
                  <c:v>371.91817256564792</c:v>
                </c:pt>
                <c:pt idx="51">
                  <c:v>379.17995292254449</c:v>
                </c:pt>
                <c:pt idx="52">
                  <c:v>386.43870724463926</c:v>
                </c:pt>
                <c:pt idx="53">
                  <c:v>393.69450043398388</c:v>
                </c:pt>
                <c:pt idx="54">
                  <c:v>400.94739480334033</c:v>
                </c:pt>
                <c:pt idx="55">
                  <c:v>408.19745022548432</c:v>
                </c:pt>
                <c:pt idx="56">
                  <c:v>415.44472427134343</c:v>
                </c:pt>
                <c:pt idx="57">
                  <c:v>422.68927233798996</c:v>
                </c:pt>
                <c:pt idx="58">
                  <c:v>429.93114776739526</c:v>
                </c:pt>
                <c:pt idx="59">
                  <c:v>437.17040195676424</c:v>
                </c:pt>
                <c:pt idx="60">
                  <c:v>444.40708446117736</c:v>
                </c:pt>
                <c:pt idx="61">
                  <c:v>301.78859980380139</c:v>
                </c:pt>
                <c:pt idx="62">
                  <c:v>316.74909882186188</c:v>
                </c:pt>
                <c:pt idx="63">
                  <c:v>331.6939492220003</c:v>
                </c:pt>
                <c:pt idx="64">
                  <c:v>346.6239553389085</c:v>
                </c:pt>
                <c:pt idx="65">
                  <c:v>361.539846559446</c:v>
                </c:pt>
                <c:pt idx="66">
                  <c:v>376.44228717513016</c:v>
                </c:pt>
                <c:pt idx="67">
                  <c:v>391.33188459265767</c:v>
                </c:pt>
                <c:pt idx="68">
                  <c:v>406.20919622941773</c:v>
                </c:pt>
                <c:pt idx="69">
                  <c:v>421.07473534602883</c:v>
                </c:pt>
                <c:pt idx="70">
                  <c:v>344.43823643912452</c:v>
                </c:pt>
                <c:pt idx="71">
                  <c:v>359.03258357048571</c:v>
                </c:pt>
                <c:pt idx="72">
                  <c:v>373.61395480477341</c:v>
                </c:pt>
                <c:pt idx="73">
                  <c:v>388.18292785095059</c:v>
                </c:pt>
                <c:pt idx="74">
                  <c:v>402.74003351764833</c:v>
                </c:pt>
                <c:pt idx="75">
                  <c:v>417.28576111378544</c:v>
                </c:pt>
                <c:pt idx="76">
                  <c:v>431.8205630568612</c:v>
                </c:pt>
                <c:pt idx="77">
                  <c:v>446.34485882845661</c:v>
                </c:pt>
                <c:pt idx="78">
                  <c:v>387.68504212740351</c:v>
                </c:pt>
                <c:pt idx="79">
                  <c:v>402.24404369441692</c:v>
                </c:pt>
                <c:pt idx="80">
                  <c:v>416.79164879683066</c:v>
                </c:pt>
                <c:pt idx="81">
                  <c:v>431.32831117955783</c:v>
                </c:pt>
                <c:pt idx="82">
                  <c:v>445.85445151299149</c:v>
                </c:pt>
                <c:pt idx="83">
                  <c:v>460.37046082542201</c:v>
                </c:pt>
                <c:pt idx="84">
                  <c:v>474.87670348003502</c:v>
                </c:pt>
                <c:pt idx="85">
                  <c:v>489.37351976925379</c:v>
                </c:pt>
                <c:pt idx="86">
                  <c:v>503.86122818572488</c:v>
                </c:pt>
                <c:pt idx="87">
                  <c:v>437.66652036266078</c:v>
                </c:pt>
                <c:pt idx="88">
                  <c:v>452.22167614044662</c:v>
                </c:pt>
                <c:pt idx="89">
                  <c:v>466.76681776608552</c:v>
                </c:pt>
                <c:pt idx="90">
                  <c:v>481.30230117242854</c:v>
                </c:pt>
                <c:pt idx="91">
                  <c:v>495.82845904603795</c:v>
                </c:pt>
                <c:pt idx="92">
                  <c:v>510.34560299616987</c:v>
                </c:pt>
                <c:pt idx="93">
                  <c:v>524.85402546418084</c:v>
                </c:pt>
                <c:pt idx="94">
                  <c:v>539.35400141087905</c:v>
                </c:pt>
                <c:pt idx="95">
                  <c:v>553.84578981304333</c:v>
                </c:pt>
                <c:pt idx="96">
                  <c:v>477.81503001597611</c:v>
                </c:pt>
                <c:pt idx="97">
                  <c:v>492.38159188749614</c:v>
                </c:pt>
                <c:pt idx="98">
                  <c:v>506.93901981766635</c:v>
                </c:pt>
                <c:pt idx="99">
                  <c:v>521.48761296117152</c:v>
                </c:pt>
                <c:pt idx="100">
                  <c:v>536.02765242552857</c:v>
                </c:pt>
                <c:pt idx="101">
                  <c:v>550.55940283000689</c:v>
                </c:pt>
                <c:pt idx="102">
                  <c:v>565.08311369145497</c:v>
                </c:pt>
                <c:pt idx="103">
                  <c:v>579.59902066029906</c:v>
                </c:pt>
                <c:pt idx="104">
                  <c:v>594.10734662633229</c:v>
                </c:pt>
                <c:pt idx="105">
                  <c:v>524.42728878652235</c:v>
                </c:pt>
                <c:pt idx="106">
                  <c:v>539.18721769684169</c:v>
                </c:pt>
                <c:pt idx="107">
                  <c:v>553.93866001674166</c:v>
                </c:pt>
                <c:pt idx="108">
                  <c:v>568.68187348266281</c:v>
                </c:pt>
                <c:pt idx="109">
                  <c:v>583.41710138371138</c:v>
                </c:pt>
                <c:pt idx="110">
                  <c:v>598.14457372350319</c:v>
                </c:pt>
                <c:pt idx="111">
                  <c:v>612.86450826168243</c:v>
                </c:pt>
                <c:pt idx="112">
                  <c:v>627.57711145022802</c:v>
                </c:pt>
                <c:pt idx="113">
                  <c:v>642.2825792774405</c:v>
                </c:pt>
                <c:pt idx="114">
                  <c:v>568.18207427282073</c:v>
                </c:pt>
                <c:pt idx="115">
                  <c:v>583.1744725407691</c:v>
                </c:pt>
                <c:pt idx="116">
                  <c:v>598.15883853648563</c:v>
                </c:pt>
                <c:pt idx="117">
                  <c:v>613.13540171236571</c:v>
                </c:pt>
                <c:pt idx="118">
                  <c:v>628.10437940382712</c:v>
                </c:pt>
                <c:pt idx="119">
                  <c:v>643.06597774867816</c:v>
                </c:pt>
                <c:pt idx="120">
                  <c:v>658.020392516524</c:v>
                </c:pt>
                <c:pt idx="121">
                  <c:v>672.96780985890575</c:v>
                </c:pt>
                <c:pt idx="122">
                  <c:v>687.90840698936972</c:v>
                </c:pt>
                <c:pt idx="123">
                  <c:v>605.19695132921026</c:v>
                </c:pt>
                <c:pt idx="124">
                  <c:v>620.40915446659915</c:v>
                </c:pt>
                <c:pt idx="125">
                  <c:v>635.61363246553321</c:v>
                </c:pt>
                <c:pt idx="126">
                  <c:v>650.81059603610004</c:v>
                </c:pt>
                <c:pt idx="127">
                  <c:v>666.00024525190713</c:v>
                </c:pt>
                <c:pt idx="128">
                  <c:v>681.18277032234562</c:v>
                </c:pt>
                <c:pt idx="129">
                  <c:v>696.35835229247311</c:v>
                </c:pt>
                <c:pt idx="130">
                  <c:v>711.52716367875882</c:v>
                </c:pt>
                <c:pt idx="131">
                  <c:v>726.68936904783868</c:v>
                </c:pt>
                <c:pt idx="132">
                  <c:v>741.84512554449418</c:v>
                </c:pt>
                <c:pt idx="133">
                  <c:v>653.62036176110962</c:v>
                </c:pt>
                <c:pt idx="134">
                  <c:v>669.28793557733968</c:v>
                </c:pt>
                <c:pt idx="135">
                  <c:v>684.94797090998281</c:v>
                </c:pt>
                <c:pt idx="136">
                  <c:v>700.60066426424748</c:v>
                </c:pt>
                <c:pt idx="137">
                  <c:v>716.24620265561543</c:v>
                </c:pt>
                <c:pt idx="138">
                  <c:v>731.88476426965838</c:v>
                </c:pt>
                <c:pt idx="139">
                  <c:v>747.51651906257723</c:v>
                </c:pt>
                <c:pt idx="140">
                  <c:v>763.14162930893906</c:v>
                </c:pt>
                <c:pt idx="141">
                  <c:v>778.76025010226238</c:v>
                </c:pt>
                <c:pt idx="142">
                  <c:v>794.37252981339236</c:v>
                </c:pt>
                <c:pt idx="143">
                  <c:v>809.97861051100574</c:v>
                </c:pt>
                <c:pt idx="144">
                  <c:v>825.57862834804939</c:v>
                </c:pt>
                <c:pt idx="145">
                  <c:v>711.83666917952871</c:v>
                </c:pt>
                <c:pt idx="146">
                  <c:v>727.86433034101958</c:v>
                </c:pt>
                <c:pt idx="147">
                  <c:v>743.88479832061319</c:v>
                </c:pt>
                <c:pt idx="148">
                  <c:v>759.89824972185613</c:v>
                </c:pt>
                <c:pt idx="149">
                  <c:v>775.904853104891</c:v>
                </c:pt>
                <c:pt idx="150">
                  <c:v>791.90476951455923</c:v>
                </c:pt>
                <c:pt idx="151">
                  <c:v>807.89815296364668</c:v>
                </c:pt>
                <c:pt idx="152">
                  <c:v>823.88515087591293</c:v>
                </c:pt>
                <c:pt idx="153">
                  <c:v>839.8659044929808</c:v>
                </c:pt>
                <c:pt idx="154">
                  <c:v>855.84054924867905</c:v>
                </c:pt>
                <c:pt idx="155">
                  <c:v>871.80921511401391</c:v>
                </c:pt>
                <c:pt idx="156">
                  <c:v>887.77202691557977</c:v>
                </c:pt>
                <c:pt idx="157">
                  <c:v>764.45806346280631</c:v>
                </c:pt>
                <c:pt idx="158">
                  <c:v>780.80146292138977</c:v>
                </c:pt>
                <c:pt idx="159">
                  <c:v>797.13793918329975</c:v>
                </c:pt>
                <c:pt idx="160">
                  <c:v>813.46765398238688</c:v>
                </c:pt>
                <c:pt idx="161">
                  <c:v>829.79076203620934</c:v>
                </c:pt>
                <c:pt idx="162">
                  <c:v>846.10741148525494</c:v>
                </c:pt>
                <c:pt idx="163">
                  <c:v>862.41774429655925</c:v>
                </c:pt>
                <c:pt idx="164">
                  <c:v>878.72189663523716</c:v>
                </c:pt>
                <c:pt idx="165">
                  <c:v>895.0199992070369</c:v>
                </c:pt>
                <c:pt idx="166">
                  <c:v>911.31217757467437</c:v>
                </c:pt>
                <c:pt idx="167">
                  <c:v>927.59855245039887</c:v>
                </c:pt>
                <c:pt idx="168">
                  <c:v>943.879239966966</c:v>
                </c:pt>
                <c:pt idx="169">
                  <c:v>808.6725777976294</c:v>
                </c:pt>
                <c:pt idx="170">
                  <c:v>825.01886738881649</c:v>
                </c:pt>
                <c:pt idx="171">
                  <c:v>841.35863877127156</c:v>
                </c:pt>
                <c:pt idx="172">
                  <c:v>857.69203623567989</c:v>
                </c:pt>
                <c:pt idx="173">
                  <c:v>874.01919813493544</c:v>
                </c:pt>
                <c:pt idx="174">
                  <c:v>890.34025723710477</c:v>
                </c:pt>
                <c:pt idx="175">
                  <c:v>906.65534105119139</c:v>
                </c:pt>
                <c:pt idx="176">
                  <c:v>922.96457212826181</c:v>
                </c:pt>
                <c:pt idx="177">
                  <c:v>939.26806834020806</c:v>
                </c:pt>
                <c:pt idx="178">
                  <c:v>955.56594313817016</c:v>
                </c:pt>
                <c:pt idx="179">
                  <c:v>971.85830579243668</c:v>
                </c:pt>
                <c:pt idx="180">
                  <c:v>988.145261615442</c:v>
                </c:pt>
                <c:pt idx="181">
                  <c:v>624.85927956155399</c:v>
                </c:pt>
                <c:pt idx="182">
                  <c:v>635.11356363549817</c:v>
                </c:pt>
                <c:pt idx="183">
                  <c:v>645.36442647554566</c:v>
                </c:pt>
                <c:pt idx="184">
                  <c:v>655.61193007140548</c:v>
                </c:pt>
                <c:pt idx="185">
                  <c:v>445.27372254357095</c:v>
                </c:pt>
                <c:pt idx="186">
                  <c:v>451.90957876828219</c:v>
                </c:pt>
                <c:pt idx="187">
                  <c:v>458.54335148038626</c:v>
                </c:pt>
                <c:pt idx="188">
                  <c:v>465.17507509285309</c:v>
                </c:pt>
                <c:pt idx="189">
                  <c:v>313.55288913052675</c:v>
                </c:pt>
                <c:pt idx="190">
                  <c:v>317.8336225639469</c:v>
                </c:pt>
                <c:pt idx="191">
                  <c:v>322.11307915685478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3.3607023068976729</c:v>
                </c:pt>
                <c:pt idx="2">
                  <c:v>4.2547221455608728</c:v>
                </c:pt>
                <c:pt idx="3">
                  <c:v>5.3874913175360541</c:v>
                </c:pt>
                <c:pt idx="4">
                  <c:v>6.822999493748207</c:v>
                </c:pt>
                <c:pt idx="5">
                  <c:v>8.6424447671064257</c:v>
                </c:pt>
                <c:pt idx="6">
                  <c:v>10.948875863598902</c:v>
                </c:pt>
                <c:pt idx="7">
                  <c:v>13.873090242281457</c:v>
                </c:pt>
                <c:pt idx="8">
                  <c:v>17.581128737253849</c:v>
                </c:pt>
                <c:pt idx="9">
                  <c:v>22.283800014650385</c:v>
                </c:pt>
                <c:pt idx="10">
                  <c:v>28.248785974087401</c:v>
                </c:pt>
                <c:pt idx="11">
                  <c:v>37.044761351668747</c:v>
                </c:pt>
                <c:pt idx="12">
                  <c:v>45.783421279666953</c:v>
                </c:pt>
                <c:pt idx="13">
                  <c:v>54.477343172934816</c:v>
                </c:pt>
                <c:pt idx="14">
                  <c:v>63.134713140647797</c:v>
                </c:pt>
                <c:pt idx="15">
                  <c:v>71.761269961795847</c:v>
                </c:pt>
                <c:pt idx="16">
                  <c:v>83.617060344493396</c:v>
                </c:pt>
                <c:pt idx="17">
                  <c:v>95.430378362145419</c:v>
                </c:pt>
                <c:pt idx="18">
                  <c:v>107.20723543568683</c:v>
                </c:pt>
                <c:pt idx="19">
                  <c:v>118.9522086529156</c:v>
                </c:pt>
                <c:pt idx="20">
                  <c:v>130.66889437805216</c:v>
                </c:pt>
                <c:pt idx="21">
                  <c:v>99.850701125907904</c:v>
                </c:pt>
                <c:pt idx="22">
                  <c:v>111.61512570313761</c:v>
                </c:pt>
                <c:pt idx="23">
                  <c:v>123.3491121177467</c:v>
                </c:pt>
                <c:pt idx="24">
                  <c:v>135.05596788582679</c:v>
                </c:pt>
                <c:pt idx="25">
                  <c:v>146.73837885160424</c:v>
                </c:pt>
                <c:pt idx="26">
                  <c:v>130.66889437805222</c:v>
                </c:pt>
                <c:pt idx="27">
                  <c:v>142.36018960459288</c:v>
                </c:pt>
                <c:pt idx="28">
                  <c:v>154.02847557165751</c:v>
                </c:pt>
                <c:pt idx="29">
                  <c:v>165.67574259607389</c:v>
                </c:pt>
                <c:pt idx="30">
                  <c:v>177.30367784131445</c:v>
                </c:pt>
                <c:pt idx="31">
                  <c:v>158.68980415698181</c:v>
                </c:pt>
                <c:pt idx="32">
                  <c:v>169.16608298395553</c:v>
                </c:pt>
                <c:pt idx="33">
                  <c:v>179.62707610009167</c:v>
                </c:pt>
                <c:pt idx="34">
                  <c:v>190.07380002073512</c:v>
                </c:pt>
                <c:pt idx="35">
                  <c:v>200.50715025518218</c:v>
                </c:pt>
                <c:pt idx="36">
                  <c:v>181.65947157363226</c:v>
                </c:pt>
                <c:pt idx="37">
                  <c:v>191.81359784117478</c:v>
                </c:pt>
                <c:pt idx="38">
                  <c:v>201.95521485937351</c:v>
                </c:pt>
                <c:pt idx="39">
                  <c:v>212.08503993201165</c:v>
                </c:pt>
                <c:pt idx="40">
                  <c:v>222.20371616988226</c:v>
                </c:pt>
                <c:pt idx="41">
                  <c:v>202.53437324255785</c:v>
                </c:pt>
                <c:pt idx="42">
                  <c:v>211.79577397903063</c:v>
                </c:pt>
                <c:pt idx="43">
                  <c:v>221.04784133997921</c:v>
                </c:pt>
                <c:pt idx="44">
                  <c:v>230.2910214517143</c:v>
                </c:pt>
                <c:pt idx="45">
                  <c:v>239.52572166460229</c:v>
                </c:pt>
                <c:pt idx="46">
                  <c:v>220.75885097534115</c:v>
                </c:pt>
                <c:pt idx="47">
                  <c:v>229.42483959070205</c:v>
                </c:pt>
                <c:pt idx="48">
                  <c:v>238.08334323928753</c:v>
                </c:pt>
                <c:pt idx="49">
                  <c:v>246.73467280489569</c:v>
                </c:pt>
                <c:pt idx="50">
                  <c:v>255.37911556611792</c:v>
                </c:pt>
                <c:pt idx="51">
                  <c:v>236.9292971220211</c:v>
                </c:pt>
                <c:pt idx="52">
                  <c:v>244.42833642786528</c:v>
                </c:pt>
                <c:pt idx="53">
                  <c:v>251.9221473953688</c:v>
                </c:pt>
                <c:pt idx="54">
                  <c:v>259.41090767814842</c:v>
                </c:pt>
                <c:pt idx="55">
                  <c:v>266.89478382272017</c:v>
                </c:pt>
                <c:pt idx="56">
                  <c:v>249.61690536823653</c:v>
                </c:pt>
                <c:pt idx="57">
                  <c:v>256.81920545571325</c:v>
                </c:pt>
                <c:pt idx="58">
                  <c:v>264.01693774461648</c:v>
                </c:pt>
                <c:pt idx="59">
                  <c:v>271.21024448496547</c:v>
                </c:pt>
                <c:pt idx="60">
                  <c:v>278.39925975574312</c:v>
                </c:pt>
                <c:pt idx="61">
                  <c:v>261.71415155067552</c:v>
                </c:pt>
                <c:pt idx="62">
                  <c:v>268.04572597702128</c:v>
                </c:pt>
                <c:pt idx="63">
                  <c:v>274.37393226183292</c:v>
                </c:pt>
                <c:pt idx="64">
                  <c:v>280.69885915498259</c:v>
                </c:pt>
                <c:pt idx="65">
                  <c:v>287.02059107494546</c:v>
                </c:pt>
                <c:pt idx="66">
                  <c:v>271.49788662587986</c:v>
                </c:pt>
                <c:pt idx="67">
                  <c:v>277.53680025840237</c:v>
                </c:pt>
                <c:pt idx="68">
                  <c:v>283.5727648129357</c:v>
                </c:pt>
                <c:pt idx="69">
                  <c:v>289.60585200572694</c:v>
                </c:pt>
                <c:pt idx="70">
                  <c:v>295.63613031709252</c:v>
                </c:pt>
                <c:pt idx="71">
                  <c:v>280.41143241335362</c:v>
                </c:pt>
                <c:pt idx="72">
                  <c:v>285.29679456567902</c:v>
                </c:pt>
                <c:pt idx="73">
                  <c:v>290.18028419185146</c:v>
                </c:pt>
                <c:pt idx="74">
                  <c:v>295.06193730222367</c:v>
                </c:pt>
                <c:pt idx="75">
                  <c:v>299.94178861650352</c:v>
                </c:pt>
                <c:pt idx="76">
                  <c:v>287.30786792948942</c:v>
                </c:pt>
                <c:pt idx="77">
                  <c:v>291.90342847509879</c:v>
                </c:pt>
                <c:pt idx="78">
                  <c:v>296.49737320370468</c:v>
                </c:pt>
                <c:pt idx="79">
                  <c:v>301.08973072459509</c:v>
                </c:pt>
                <c:pt idx="80">
                  <c:v>305.68052870172897</c:v>
                </c:pt>
                <c:pt idx="81">
                  <c:v>293.91347640596678</c:v>
                </c:pt>
                <c:pt idx="82">
                  <c:v>297.93265411137128</c:v>
                </c:pt>
                <c:pt idx="83">
                  <c:v>301.95062331967574</c:v>
                </c:pt>
                <c:pt idx="84">
                  <c:v>305.96740240919087</c:v>
                </c:pt>
                <c:pt idx="85">
                  <c:v>309.98300923549431</c:v>
                </c:pt>
                <c:pt idx="86">
                  <c:v>299.65478781030816</c:v>
                </c:pt>
                <c:pt idx="87">
                  <c:v>303.67224474828663</c:v>
                </c:pt>
                <c:pt idx="88">
                  <c:v>307.68851928258727</c:v>
                </c:pt>
                <c:pt idx="89">
                  <c:v>311.70362905144191</c:v>
                </c:pt>
                <c:pt idx="90">
                  <c:v>315.71759120085159</c:v>
                </c:pt>
                <c:pt idx="91">
                  <c:v>305.39364900712383</c:v>
                </c:pt>
                <c:pt idx="92">
                  <c:v>309.4094222256216</c:v>
                </c:pt>
                <c:pt idx="93">
                  <c:v>313.42403808604359</c:v>
                </c:pt>
                <c:pt idx="94">
                  <c:v>317.43751352960925</c:v>
                </c:pt>
                <c:pt idx="95">
                  <c:v>321.44986503349952</c:v>
                </c:pt>
                <c:pt idx="96">
                  <c:v>309.98300923549442</c:v>
                </c:pt>
                <c:pt idx="97">
                  <c:v>314.2841639743362</c:v>
                </c:pt>
                <c:pt idx="98">
                  <c:v>318.58401365201161</c:v>
                </c:pt>
                <c:pt idx="99">
                  <c:v>322.88257839605905</c:v>
                </c:pt>
                <c:pt idx="100">
                  <c:v>327.17987775354362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26" sqref="C26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10.3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6</v>
      </c>
      <c r="C9" s="32">
        <v>0.06</v>
      </c>
      <c r="D9" s="33">
        <f t="shared" ref="D9:D18" si="0">C9*$C$5</f>
        <v>0.61799999999999999</v>
      </c>
      <c r="E9" s="34">
        <v>130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35</v>
      </c>
      <c r="C10" s="32">
        <v>0.16</v>
      </c>
      <c r="D10" s="33">
        <f t="shared" si="0"/>
        <v>1.6480000000000001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36</v>
      </c>
      <c r="C11" s="32">
        <v>0.16</v>
      </c>
      <c r="D11" s="33">
        <f t="shared" si="0"/>
        <v>1.6480000000000001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164</v>
      </c>
      <c r="C12" s="32">
        <v>0.08</v>
      </c>
      <c r="D12" s="33">
        <f t="shared" si="0"/>
        <v>0.82400000000000007</v>
      </c>
      <c r="E12" s="34">
        <v>131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15</v>
      </c>
      <c r="C13" s="32">
        <v>0.12</v>
      </c>
      <c r="D13" s="33">
        <f t="shared" si="0"/>
        <v>1.236</v>
      </c>
      <c r="E13" s="34">
        <v>191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 t="s">
        <v>14</v>
      </c>
      <c r="C14" s="32">
        <v>0.15</v>
      </c>
      <c r="D14" s="33">
        <f t="shared" si="0"/>
        <v>1.5450000000000002</v>
      </c>
      <c r="E14" s="34">
        <v>161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 t="s">
        <v>12</v>
      </c>
      <c r="C15" s="32">
        <v>0.15</v>
      </c>
      <c r="D15" s="33">
        <f t="shared" si="0"/>
        <v>1.5450000000000002</v>
      </c>
      <c r="E15" s="34">
        <v>191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 t="s">
        <v>9</v>
      </c>
      <c r="C16" s="32">
        <v>0.12</v>
      </c>
      <c r="D16" s="33">
        <f t="shared" si="0"/>
        <v>1.236</v>
      </c>
      <c r="E16" s="34">
        <v>100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10.3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Charme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38</v>
      </c>
      <c r="B36" s="60">
        <v>152.63</v>
      </c>
      <c r="C36" s="60">
        <v>1</v>
      </c>
      <c r="D36" s="60">
        <v>71.569999999999993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4.016578947368421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45</v>
      </c>
      <c r="B37" s="60">
        <v>149.75</v>
      </c>
      <c r="C37" s="60">
        <v>2</v>
      </c>
      <c r="D37" s="60">
        <v>41.69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9.8128571428571423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52</v>
      </c>
      <c r="B38" s="60">
        <v>178.07</v>
      </c>
      <c r="C38" s="60">
        <v>3</v>
      </c>
      <c r="D38" s="60">
        <v>44.400000000000006</v>
      </c>
      <c r="E38" s="51">
        <v>0.35</v>
      </c>
      <c r="F38" s="51">
        <v>0.2</v>
      </c>
      <c r="G38" s="51">
        <v>0.1</v>
      </c>
      <c r="H38" s="51">
        <v>0.35</v>
      </c>
      <c r="I38" s="53">
        <f t="shared" si="1"/>
        <v>10.001428571428571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59</v>
      </c>
      <c r="B39" s="60">
        <v>202.85</v>
      </c>
      <c r="C39" s="60">
        <v>4</v>
      </c>
      <c r="D39" s="60">
        <v>41.81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9.8828571428571443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67</v>
      </c>
      <c r="B40" s="60">
        <v>239.06</v>
      </c>
      <c r="C40" s="60">
        <v>5</v>
      </c>
      <c r="D40" s="60">
        <v>42.550000000000011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9.7525000000000013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75</v>
      </c>
      <c r="B41" s="60">
        <v>273.76</v>
      </c>
      <c r="C41" s="60">
        <v>6</v>
      </c>
      <c r="D41" s="60">
        <v>43.519999999999982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9.65625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83</v>
      </c>
      <c r="B42" s="60">
        <v>306.11</v>
      </c>
      <c r="C42" s="60">
        <v>7</v>
      </c>
      <c r="D42" s="60">
        <v>49.980000000000018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9.4837500000000006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93</v>
      </c>
      <c r="B43" s="60">
        <v>348.87</v>
      </c>
      <c r="C43" s="60">
        <v>8</v>
      </c>
      <c r="D43" s="60">
        <v>67.45999999999998</v>
      </c>
      <c r="E43" s="51">
        <v>0.5</v>
      </c>
      <c r="F43" s="51">
        <v>0.2</v>
      </c>
      <c r="G43" s="51">
        <v>0</v>
      </c>
      <c r="H43" s="51">
        <v>0.3</v>
      </c>
      <c r="I43" s="49">
        <f t="shared" si="1"/>
        <v>9.2740000000000009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103</v>
      </c>
      <c r="B44" s="60">
        <v>371.4</v>
      </c>
      <c r="C44" s="60">
        <v>9</v>
      </c>
      <c r="D44" s="60">
        <v>67.759999999999991</v>
      </c>
      <c r="E44" s="51">
        <v>0.5</v>
      </c>
      <c r="F44" s="51">
        <v>0.2</v>
      </c>
      <c r="G44" s="51">
        <v>0</v>
      </c>
      <c r="H44" s="51">
        <v>0.3</v>
      </c>
      <c r="I44" s="49">
        <f t="shared" si="1"/>
        <v>8.9989999999999952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113</v>
      </c>
      <c r="B45" s="60">
        <v>391.18</v>
      </c>
      <c r="C45" s="60">
        <v>10</v>
      </c>
      <c r="D45" s="60">
        <v>68.670000000000016</v>
      </c>
      <c r="E45" s="51">
        <v>0.5</v>
      </c>
      <c r="F45" s="51">
        <v>0.2</v>
      </c>
      <c r="G45" s="51">
        <v>0</v>
      </c>
      <c r="H45" s="51">
        <v>0.3</v>
      </c>
      <c r="I45" s="49">
        <f t="shared" si="1"/>
        <v>8.7540000000000013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123</v>
      </c>
      <c r="B46" s="60">
        <v>409.53</v>
      </c>
      <c r="C46" s="60">
        <v>11</v>
      </c>
      <c r="D46" s="60">
        <v>203.78999999999996</v>
      </c>
      <c r="E46" s="51">
        <v>0.45</v>
      </c>
      <c r="F46" s="51">
        <v>0.05</v>
      </c>
      <c r="G46" s="51">
        <v>0.05</v>
      </c>
      <c r="H46" s="51">
        <v>0.45</v>
      </c>
      <c r="I46" s="49">
        <f t="shared" si="1"/>
        <v>8.7019999999999982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125</v>
      </c>
      <c r="B47" s="60">
        <v>215.44</v>
      </c>
      <c r="C47" s="60">
        <v>12</v>
      </c>
      <c r="D47" s="60">
        <v>70.609999999999985</v>
      </c>
      <c r="E47" s="51">
        <v>0.45</v>
      </c>
      <c r="F47" s="51">
        <v>0.05</v>
      </c>
      <c r="G47" s="51">
        <v>0.05</v>
      </c>
      <c r="H47" s="51">
        <v>0.45</v>
      </c>
      <c r="I47" s="49">
        <f t="shared" si="1"/>
        <v>4.8499999999999943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127</v>
      </c>
      <c r="B48" s="60">
        <v>151.47999999999999</v>
      </c>
      <c r="C48" s="60">
        <v>13</v>
      </c>
      <c r="D48" s="60">
        <v>46.039999999999992</v>
      </c>
      <c r="E48" s="51">
        <v>0.45</v>
      </c>
      <c r="F48" s="51">
        <v>0.05</v>
      </c>
      <c r="G48" s="51">
        <v>0.05</v>
      </c>
      <c r="H48" s="51">
        <v>0.45</v>
      </c>
      <c r="I48" s="49">
        <f t="shared" si="1"/>
        <v>3.3249999999999886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130</v>
      </c>
      <c r="B49" s="60">
        <v>112.75</v>
      </c>
      <c r="C49" s="60">
        <v>14</v>
      </c>
      <c r="D49" s="60">
        <v>112.75</v>
      </c>
      <c r="E49" s="51">
        <v>0.45</v>
      </c>
      <c r="F49" s="51">
        <v>0.05</v>
      </c>
      <c r="G49" s="51">
        <v>0.05</v>
      </c>
      <c r="H49" s="51">
        <v>0.45</v>
      </c>
      <c r="I49" s="49">
        <f t="shared" si="1"/>
        <v>2.4366666666666674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Pin laricio</v>
      </c>
      <c r="C58" s="23" t="s">
        <v>325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22</v>
      </c>
      <c r="B62" s="60">
        <v>129.56</v>
      </c>
      <c r="C62" s="60">
        <v>1</v>
      </c>
      <c r="D62" s="60">
        <v>52.620000000000005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5.8890909090909096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27</v>
      </c>
      <c r="B63" s="60">
        <v>155.85</v>
      </c>
      <c r="C63" s="60">
        <v>2</v>
      </c>
      <c r="D63" s="60">
        <v>37.929999999999993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15.782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33</v>
      </c>
      <c r="B64" s="60">
        <v>217.65</v>
      </c>
      <c r="C64" s="60">
        <v>3</v>
      </c>
      <c r="D64" s="60">
        <v>50.460000000000008</v>
      </c>
      <c r="E64" s="51">
        <v>0.25</v>
      </c>
      <c r="F64" s="51">
        <v>0.37</v>
      </c>
      <c r="G64" s="51">
        <v>0.38</v>
      </c>
      <c r="H64" s="51">
        <v>0</v>
      </c>
      <c r="I64" s="49">
        <f>IF(A64&lt;&gt;0,(B64-(B63-D63))/(A64-A63),"")</f>
        <v>16.621666666666666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41</v>
      </c>
      <c r="B65" s="60">
        <v>300.74</v>
      </c>
      <c r="C65" s="60">
        <v>4</v>
      </c>
      <c r="D65" s="60">
        <v>72.16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16.693750000000001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50</v>
      </c>
      <c r="B66" s="60">
        <v>370.01</v>
      </c>
      <c r="C66" s="60">
        <v>5</v>
      </c>
      <c r="D66" s="60">
        <v>70.20999999999998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15.714444444444442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60</v>
      </c>
      <c r="B67" s="60">
        <v>440.94</v>
      </c>
      <c r="C67" s="60">
        <v>6</v>
      </c>
      <c r="D67" s="60">
        <v>69.839999999999975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14.113999999999999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70</v>
      </c>
      <c r="B68" s="60">
        <v>490.07</v>
      </c>
      <c r="C68" s="60">
        <v>7</v>
      </c>
      <c r="D68" s="60">
        <v>67.88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11.896999999999997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80</v>
      </c>
      <c r="B69" s="50">
        <v>520.03</v>
      </c>
      <c r="C69" s="50">
        <v>8</v>
      </c>
      <c r="D69" s="50">
        <v>520.03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9.7839999999999971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Pin maritime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17</v>
      </c>
      <c r="B88" s="60">
        <v>123.63</v>
      </c>
      <c r="C88" s="60">
        <v>1</v>
      </c>
      <c r="D88" s="60">
        <v>41.179999999999993</v>
      </c>
      <c r="E88" s="51">
        <v>0</v>
      </c>
      <c r="F88" s="51">
        <v>0.5</v>
      </c>
      <c r="G88" s="51">
        <v>0.5</v>
      </c>
      <c r="H88" s="87">
        <v>0</v>
      </c>
      <c r="I88" s="53">
        <f>IFERROR(B88/A88,"")</f>
        <v>7.2723529411764707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23</v>
      </c>
      <c r="B89" s="60">
        <v>189.21</v>
      </c>
      <c r="C89" s="60">
        <v>2</v>
      </c>
      <c r="D89" s="60">
        <v>58.370000000000005</v>
      </c>
      <c r="E89" s="51">
        <v>0.25</v>
      </c>
      <c r="F89" s="51">
        <v>0.37</v>
      </c>
      <c r="G89" s="51">
        <v>0.38</v>
      </c>
      <c r="H89" s="87">
        <v>0</v>
      </c>
      <c r="I89" s="53">
        <f t="shared" ref="I89:I107" si="3">IF(A89&lt;&gt;0,(B89-(B88-D88))/(A89-A88),"")</f>
        <v>17.793333333333333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29</v>
      </c>
      <c r="B90" s="60">
        <v>242.91</v>
      </c>
      <c r="C90" s="60">
        <v>3</v>
      </c>
      <c r="D90" s="60">
        <v>54.97</v>
      </c>
      <c r="E90" s="87">
        <v>0.6</v>
      </c>
      <c r="F90" s="87">
        <v>0.2</v>
      </c>
      <c r="G90" s="87">
        <v>0.2</v>
      </c>
      <c r="H90" s="87">
        <v>0</v>
      </c>
      <c r="I90" s="53">
        <f t="shared" si="3"/>
        <v>18.678333333333331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36</v>
      </c>
      <c r="B91" s="60">
        <v>312.57</v>
      </c>
      <c r="C91" s="60">
        <v>4</v>
      </c>
      <c r="D91" s="60">
        <v>76.509999999999991</v>
      </c>
      <c r="E91" s="87">
        <v>0.6</v>
      </c>
      <c r="F91" s="87">
        <v>0.2</v>
      </c>
      <c r="G91" s="87">
        <v>0.2</v>
      </c>
      <c r="H91" s="87">
        <v>0</v>
      </c>
      <c r="I91" s="53">
        <f t="shared" si="3"/>
        <v>17.804285714285715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44</v>
      </c>
      <c r="B92" s="60">
        <v>368.73</v>
      </c>
      <c r="C92" s="60">
        <v>5</v>
      </c>
      <c r="D92" s="60">
        <v>78.240000000000009</v>
      </c>
      <c r="E92" s="87">
        <v>0.6</v>
      </c>
      <c r="F92" s="87">
        <v>0.2</v>
      </c>
      <c r="G92" s="87">
        <v>0.2</v>
      </c>
      <c r="H92" s="87">
        <v>0</v>
      </c>
      <c r="I92" s="53">
        <f t="shared" si="3"/>
        <v>16.583750000000002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52</v>
      </c>
      <c r="B93" s="60">
        <v>408.01</v>
      </c>
      <c r="C93" s="60">
        <v>6</v>
      </c>
      <c r="D93" s="60">
        <v>75.70999999999998</v>
      </c>
      <c r="E93" s="87">
        <v>0.6</v>
      </c>
      <c r="F93" s="87">
        <v>0.2</v>
      </c>
      <c r="G93" s="87">
        <v>0.2</v>
      </c>
      <c r="H93" s="87">
        <v>0</v>
      </c>
      <c r="I93" s="53">
        <f t="shared" si="3"/>
        <v>14.689999999999998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60</v>
      </c>
      <c r="B94" s="60">
        <v>437.74</v>
      </c>
      <c r="C94" s="60">
        <v>7</v>
      </c>
      <c r="D94" s="60">
        <v>437.74</v>
      </c>
      <c r="E94" s="87">
        <v>0.6</v>
      </c>
      <c r="F94" s="87">
        <v>0.2</v>
      </c>
      <c r="G94" s="87">
        <v>0.2</v>
      </c>
      <c r="H94" s="87">
        <v>0</v>
      </c>
      <c r="I94" s="53">
        <f t="shared" si="3"/>
        <v>13.18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Cèdre de l'Atlas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51</v>
      </c>
      <c r="B114" s="60">
        <v>396.35</v>
      </c>
      <c r="C114" s="50">
        <v>1</v>
      </c>
      <c r="D114" s="60">
        <v>173.97000000000003</v>
      </c>
      <c r="E114" s="51">
        <v>0.25</v>
      </c>
      <c r="F114" s="51">
        <v>0.37</v>
      </c>
      <c r="G114" s="51">
        <v>0.38</v>
      </c>
      <c r="H114" s="51">
        <v>0</v>
      </c>
      <c r="I114" s="53">
        <f>IFERROR(B114/A114,"")</f>
        <v>7.7715686274509812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61</v>
      </c>
      <c r="B115" s="60">
        <v>352.37</v>
      </c>
      <c r="C115" s="50">
        <v>2</v>
      </c>
      <c r="D115" s="60">
        <v>101.36000000000001</v>
      </c>
      <c r="E115" s="51">
        <v>0.6</v>
      </c>
      <c r="F115" s="51">
        <v>0.2</v>
      </c>
      <c r="G115" s="51">
        <v>0.2</v>
      </c>
      <c r="H115" s="51">
        <v>0</v>
      </c>
      <c r="I115" s="53">
        <f t="shared" ref="I115:I133" si="4">IF(A115&lt;&gt;0,(B115-(B114-D114))/(A115-A114),"")</f>
        <v>12.999000000000001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73</v>
      </c>
      <c r="B116" s="60">
        <v>394.98</v>
      </c>
      <c r="C116" s="50">
        <v>3</v>
      </c>
      <c r="D116" s="60">
        <v>103.23000000000002</v>
      </c>
      <c r="E116" s="51">
        <v>0.6</v>
      </c>
      <c r="F116" s="51">
        <v>0.2</v>
      </c>
      <c r="G116" s="51">
        <v>0.2</v>
      </c>
      <c r="H116" s="51">
        <v>0</v>
      </c>
      <c r="I116" s="53">
        <f t="shared" si="4"/>
        <v>11.997500000000002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85</v>
      </c>
      <c r="B117" s="60">
        <v>425.16</v>
      </c>
      <c r="C117" s="50">
        <v>4</v>
      </c>
      <c r="D117" s="60">
        <v>95.720000000000027</v>
      </c>
      <c r="E117" s="51">
        <v>0.6</v>
      </c>
      <c r="F117" s="51">
        <v>0.2</v>
      </c>
      <c r="G117" s="51">
        <v>0.2</v>
      </c>
      <c r="H117" s="51">
        <v>0</v>
      </c>
      <c r="I117" s="53">
        <f t="shared" si="4"/>
        <v>11.117500000000001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97</v>
      </c>
      <c r="B118" s="60">
        <v>451.75</v>
      </c>
      <c r="C118" s="50">
        <v>5</v>
      </c>
      <c r="D118" s="60">
        <v>90.589999999999975</v>
      </c>
      <c r="E118" s="51">
        <v>0.6</v>
      </c>
      <c r="F118" s="51">
        <v>0.2</v>
      </c>
      <c r="G118" s="51">
        <v>0.2</v>
      </c>
      <c r="H118" s="51">
        <v>0</v>
      </c>
      <c r="I118" s="53">
        <f t="shared" si="4"/>
        <v>10.192500000000001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109</v>
      </c>
      <c r="B119" s="60">
        <v>471.36</v>
      </c>
      <c r="C119" s="50">
        <v>6</v>
      </c>
      <c r="D119" s="60">
        <v>92.199999999999989</v>
      </c>
      <c r="E119" s="51">
        <v>0.6</v>
      </c>
      <c r="F119" s="51">
        <v>0.2</v>
      </c>
      <c r="G119" s="51">
        <v>0.2</v>
      </c>
      <c r="H119" s="51">
        <v>0</v>
      </c>
      <c r="I119" s="53">
        <f t="shared" si="4"/>
        <v>9.1833333333333318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121</v>
      </c>
      <c r="B120" s="60">
        <v>477.92</v>
      </c>
      <c r="C120" s="60">
        <v>7</v>
      </c>
      <c r="D120" s="60">
        <v>236.89000000000001</v>
      </c>
      <c r="E120" s="87">
        <v>0.6</v>
      </c>
      <c r="F120" s="87">
        <v>0.2</v>
      </c>
      <c r="G120" s="87">
        <v>0.2</v>
      </c>
      <c r="H120" s="87">
        <v>0</v>
      </c>
      <c r="I120" s="53">
        <f t="shared" si="4"/>
        <v>8.2299999999999986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131</v>
      </c>
      <c r="B121" s="60">
        <v>298.36</v>
      </c>
      <c r="C121" s="60">
        <v>8</v>
      </c>
      <c r="D121" s="60">
        <v>298.36</v>
      </c>
      <c r="E121" s="87">
        <v>0.6</v>
      </c>
      <c r="F121" s="87">
        <v>0.2</v>
      </c>
      <c r="G121" s="87">
        <v>0.2</v>
      </c>
      <c r="H121" s="87">
        <v>0</v>
      </c>
      <c r="I121" s="53">
        <f t="shared" si="4"/>
        <v>5.7330000000000014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C135" s="23" t="s">
        <v>326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Chêne tauzin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60</v>
      </c>
      <c r="B140" s="60">
        <v>201.62</v>
      </c>
      <c r="C140" s="50">
        <v>1</v>
      </c>
      <c r="D140" s="60">
        <v>72.87</v>
      </c>
      <c r="E140" s="51">
        <v>0</v>
      </c>
      <c r="F140" s="51">
        <v>0.8</v>
      </c>
      <c r="G140" s="51">
        <v>0.2</v>
      </c>
      <c r="H140" s="51">
        <v>0</v>
      </c>
      <c r="I140" s="57">
        <f>IFERROR(B140/A140,"")</f>
        <v>3.3603333333333336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69</v>
      </c>
      <c r="B141" s="60">
        <v>190.79</v>
      </c>
      <c r="C141" s="50">
        <v>2</v>
      </c>
      <c r="D141" s="60">
        <v>42.22</v>
      </c>
      <c r="E141" s="51">
        <v>0</v>
      </c>
      <c r="F141" s="51">
        <v>0.8</v>
      </c>
      <c r="G141" s="51">
        <v>0.2</v>
      </c>
      <c r="H141" s="51">
        <v>0</v>
      </c>
      <c r="I141" s="57">
        <f t="shared" ref="I141:I159" si="5">IF(A141&lt;&gt;0,(B141-(B140-D140))/(A141-A140),"")</f>
        <v>6.8933333333333326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77</v>
      </c>
      <c r="B142" s="60">
        <v>202.52</v>
      </c>
      <c r="C142" s="50">
        <v>3</v>
      </c>
      <c r="D142" s="60">
        <v>33.950000000000017</v>
      </c>
      <c r="E142" s="51">
        <v>0</v>
      </c>
      <c r="F142" s="51">
        <v>0.8</v>
      </c>
      <c r="G142" s="51">
        <v>0.2</v>
      </c>
      <c r="H142" s="51">
        <v>0</v>
      </c>
      <c r="I142" s="57">
        <f t="shared" si="5"/>
        <v>6.7437500000000021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86</v>
      </c>
      <c r="B143" s="60">
        <v>229.27</v>
      </c>
      <c r="C143" s="50">
        <v>4</v>
      </c>
      <c r="D143" s="60">
        <v>37.54000000000002</v>
      </c>
      <c r="E143" s="51">
        <v>0.35</v>
      </c>
      <c r="F143" s="51">
        <v>0.2</v>
      </c>
      <c r="G143" s="51">
        <v>0.1</v>
      </c>
      <c r="H143" s="51">
        <v>0.35</v>
      </c>
      <c r="I143" s="57">
        <f t="shared" si="5"/>
        <v>6.7444444444444462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95</v>
      </c>
      <c r="B144" s="60">
        <v>252.57</v>
      </c>
      <c r="C144" s="50">
        <v>5</v>
      </c>
      <c r="D144" s="60">
        <v>42.199999999999989</v>
      </c>
      <c r="E144" s="51">
        <v>0.35</v>
      </c>
      <c r="F144" s="51">
        <v>0.2</v>
      </c>
      <c r="G144" s="51">
        <v>0.1</v>
      </c>
      <c r="H144" s="51">
        <v>0.35</v>
      </c>
      <c r="I144" s="57">
        <f t="shared" si="5"/>
        <v>6.7600000000000007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104</v>
      </c>
      <c r="B145" s="60">
        <v>271.37</v>
      </c>
      <c r="C145" s="50">
        <v>6</v>
      </c>
      <c r="D145" s="60">
        <v>39.400000000000006</v>
      </c>
      <c r="E145" s="51">
        <v>0.35</v>
      </c>
      <c r="F145" s="51">
        <v>0.2</v>
      </c>
      <c r="G145" s="51">
        <v>0.1</v>
      </c>
      <c r="H145" s="51">
        <v>0.35</v>
      </c>
      <c r="I145" s="57">
        <f t="shared" si="5"/>
        <v>6.7777777777777777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113</v>
      </c>
      <c r="B146" s="60">
        <v>293.89999999999998</v>
      </c>
      <c r="C146" s="50">
        <v>7</v>
      </c>
      <c r="D146" s="60">
        <v>41.639999999999986</v>
      </c>
      <c r="E146" s="51">
        <v>0.35</v>
      </c>
      <c r="F146" s="51">
        <v>0.2</v>
      </c>
      <c r="G146" s="51">
        <v>0.1</v>
      </c>
      <c r="H146" s="51">
        <v>0.35</v>
      </c>
      <c r="I146" s="57">
        <f t="shared" si="5"/>
        <v>6.8811111111111085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122</v>
      </c>
      <c r="B147" s="60">
        <v>315.27</v>
      </c>
      <c r="C147" s="50">
        <v>8</v>
      </c>
      <c r="D147" s="60">
        <v>45.829999999999984</v>
      </c>
      <c r="E147" s="51">
        <v>0.35</v>
      </c>
      <c r="F147" s="51">
        <v>0.2</v>
      </c>
      <c r="G147" s="51">
        <v>0.1</v>
      </c>
      <c r="H147" s="51">
        <v>0.35</v>
      </c>
      <c r="I147" s="57">
        <f>IF(A147&lt;&gt;0,(B147-(B146-D146))/(A147-A146),"")</f>
        <v>7.0011111111111104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>
        <v>132</v>
      </c>
      <c r="B148" s="60">
        <v>340.57</v>
      </c>
      <c r="C148" s="50">
        <v>9</v>
      </c>
      <c r="D148" s="60">
        <v>48.699999999999989</v>
      </c>
      <c r="E148" s="51">
        <v>0.35</v>
      </c>
      <c r="F148" s="51">
        <v>0.2</v>
      </c>
      <c r="G148" s="51">
        <v>0.1</v>
      </c>
      <c r="H148" s="51">
        <v>0.35</v>
      </c>
      <c r="I148" s="57">
        <f t="shared" si="5"/>
        <v>7.1129999999999995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>
        <v>144</v>
      </c>
      <c r="B149" s="60">
        <v>379.92</v>
      </c>
      <c r="C149" s="50">
        <v>10</v>
      </c>
      <c r="D149" s="60">
        <v>60.949999999999989</v>
      </c>
      <c r="E149" s="51">
        <v>0.35</v>
      </c>
      <c r="F149" s="51">
        <v>0.2</v>
      </c>
      <c r="G149" s="51">
        <v>0.1</v>
      </c>
      <c r="H149" s="51">
        <v>0.35</v>
      </c>
      <c r="I149" s="57">
        <f t="shared" si="5"/>
        <v>7.3375000000000012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>
        <v>156</v>
      </c>
      <c r="B150" s="60">
        <v>409.2</v>
      </c>
      <c r="C150" s="50">
        <v>11</v>
      </c>
      <c r="D150" s="60">
        <v>65.69</v>
      </c>
      <c r="E150" s="51">
        <v>0.5</v>
      </c>
      <c r="F150" s="51">
        <v>0.2</v>
      </c>
      <c r="G150" s="51">
        <v>0</v>
      </c>
      <c r="H150" s="51">
        <v>0.3</v>
      </c>
      <c r="I150" s="57">
        <f t="shared" si="5"/>
        <v>7.5191666666666634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>
        <v>168</v>
      </c>
      <c r="B151" s="60">
        <v>435.65</v>
      </c>
      <c r="C151" s="50">
        <v>12</v>
      </c>
      <c r="D151" s="60">
        <v>71.37</v>
      </c>
      <c r="E151" s="51">
        <v>0.5</v>
      </c>
      <c r="F151" s="51">
        <v>0.2</v>
      </c>
      <c r="G151" s="51">
        <v>0</v>
      </c>
      <c r="H151" s="51">
        <v>0.3</v>
      </c>
      <c r="I151" s="57">
        <f t="shared" si="5"/>
        <v>7.6783333333333319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>
        <v>180</v>
      </c>
      <c r="B152" s="60">
        <v>456.54</v>
      </c>
      <c r="C152" s="50">
        <v>13</v>
      </c>
      <c r="D152" s="60">
        <v>175.59000000000003</v>
      </c>
      <c r="E152" s="54">
        <v>0.5</v>
      </c>
      <c r="F152" s="54">
        <v>0.2</v>
      </c>
      <c r="G152" s="54">
        <v>0</v>
      </c>
      <c r="H152" s="54">
        <v>0.3</v>
      </c>
      <c r="I152" s="57">
        <f t="shared" si="5"/>
        <v>7.688333333333337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>
        <v>184</v>
      </c>
      <c r="B153" s="60">
        <v>300.14</v>
      </c>
      <c r="C153" s="50">
        <v>14</v>
      </c>
      <c r="D153" s="60">
        <v>101.19999999999999</v>
      </c>
      <c r="E153" s="54">
        <v>0.5</v>
      </c>
      <c r="F153" s="54">
        <v>0.2</v>
      </c>
      <c r="G153" s="54">
        <v>0</v>
      </c>
      <c r="H153" s="54">
        <v>0.3</v>
      </c>
      <c r="I153" s="57">
        <f t="shared" si="5"/>
        <v>4.7974999999999994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>
        <v>188</v>
      </c>
      <c r="B154" s="56">
        <v>211.27</v>
      </c>
      <c r="C154" s="50">
        <v>15</v>
      </c>
      <c r="D154" s="50">
        <v>72.180000000000007</v>
      </c>
      <c r="E154" s="54">
        <v>0.5</v>
      </c>
      <c r="F154" s="54">
        <v>0.2</v>
      </c>
      <c r="G154" s="54">
        <v>0</v>
      </c>
      <c r="H154" s="54">
        <v>0.3</v>
      </c>
      <c r="I154" s="57">
        <f t="shared" si="5"/>
        <v>3.0825000000000031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>
        <v>191</v>
      </c>
      <c r="B155" s="56">
        <v>145.01</v>
      </c>
      <c r="C155" s="50">
        <v>16</v>
      </c>
      <c r="D155" s="50">
        <v>145.01</v>
      </c>
      <c r="E155" s="54">
        <v>0.45</v>
      </c>
      <c r="F155" s="54">
        <v>0.05</v>
      </c>
      <c r="G155" s="54">
        <v>0.05</v>
      </c>
      <c r="H155" s="54">
        <v>0.45</v>
      </c>
      <c r="I155" s="57">
        <f t="shared" si="5"/>
        <v>1.9733333333333292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>Chêne sessile</v>
      </c>
      <c r="C162" s="23" t="s">
        <v>325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>
        <v>44</v>
      </c>
      <c r="B166" s="60">
        <v>201.77</v>
      </c>
      <c r="C166" s="60">
        <v>1</v>
      </c>
      <c r="D166" s="60">
        <v>76.680000000000007</v>
      </c>
      <c r="E166" s="51">
        <v>0</v>
      </c>
      <c r="F166" s="51">
        <v>0.8</v>
      </c>
      <c r="G166" s="51">
        <v>0.2</v>
      </c>
      <c r="H166" s="51">
        <v>0</v>
      </c>
      <c r="I166" s="49">
        <f>IFERROR(B166/A166,"")</f>
        <v>4.5856818181818184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>
        <v>51</v>
      </c>
      <c r="B167" s="60">
        <v>192.85</v>
      </c>
      <c r="C167" s="60">
        <v>2</v>
      </c>
      <c r="D167" s="60">
        <v>48.769999999999982</v>
      </c>
      <c r="E167" s="51">
        <v>0</v>
      </c>
      <c r="F167" s="51">
        <v>0.8</v>
      </c>
      <c r="G167" s="51">
        <v>0.2</v>
      </c>
      <c r="H167" s="51">
        <v>0</v>
      </c>
      <c r="I167" s="49">
        <f t="shared" ref="I167:I185" si="6">IF(A167&lt;&gt;0,(B167-(B166-D166))/(A167-A166),"")</f>
        <v>9.6799999999999979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>
        <v>59</v>
      </c>
      <c r="B168" s="60">
        <v>217.3</v>
      </c>
      <c r="C168" s="60">
        <v>3</v>
      </c>
      <c r="D168" s="60">
        <v>52.75</v>
      </c>
      <c r="E168" s="51">
        <v>0.35</v>
      </c>
      <c r="F168" s="51">
        <v>0.2</v>
      </c>
      <c r="G168" s="51">
        <v>0.1</v>
      </c>
      <c r="H168" s="51">
        <v>0.35</v>
      </c>
      <c r="I168" s="49">
        <f t="shared" si="6"/>
        <v>9.1524999999999999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>
        <v>67</v>
      </c>
      <c r="B169" s="60">
        <v>233.08</v>
      </c>
      <c r="C169" s="60">
        <v>4</v>
      </c>
      <c r="D169" s="60">
        <v>44.170000000000016</v>
      </c>
      <c r="E169" s="51">
        <v>0.35</v>
      </c>
      <c r="F169" s="51">
        <v>0.2</v>
      </c>
      <c r="G169" s="51">
        <v>0.1</v>
      </c>
      <c r="H169" s="51">
        <v>0.35</v>
      </c>
      <c r="I169" s="49">
        <f t="shared" si="6"/>
        <v>8.5662500000000001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>
        <v>75</v>
      </c>
      <c r="B170" s="60">
        <v>254.89</v>
      </c>
      <c r="C170" s="60">
        <v>5</v>
      </c>
      <c r="D170" s="60">
        <v>43.289999999999992</v>
      </c>
      <c r="E170" s="51">
        <v>0.35</v>
      </c>
      <c r="F170" s="51">
        <v>0.2</v>
      </c>
      <c r="G170" s="51">
        <v>0.1</v>
      </c>
      <c r="H170" s="51">
        <v>0.35</v>
      </c>
      <c r="I170" s="49">
        <f t="shared" si="6"/>
        <v>8.2474999999999987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>
        <v>84</v>
      </c>
      <c r="B171" s="60">
        <v>283.77</v>
      </c>
      <c r="C171" s="60">
        <v>6</v>
      </c>
      <c r="D171" s="60">
        <v>49.669999999999987</v>
      </c>
      <c r="E171" s="51">
        <v>0.35</v>
      </c>
      <c r="F171" s="51">
        <v>0.2</v>
      </c>
      <c r="G171" s="51">
        <v>0.1</v>
      </c>
      <c r="H171" s="51">
        <v>0.35</v>
      </c>
      <c r="I171" s="49">
        <f t="shared" si="6"/>
        <v>8.0188888888888883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>
        <v>93</v>
      </c>
      <c r="B172" s="60">
        <v>303.37</v>
      </c>
      <c r="C172" s="60">
        <v>7</v>
      </c>
      <c r="D172" s="60">
        <v>42.910000000000025</v>
      </c>
      <c r="E172" s="51">
        <v>0.35</v>
      </c>
      <c r="F172" s="51">
        <v>0.2</v>
      </c>
      <c r="G172" s="51">
        <v>0.1</v>
      </c>
      <c r="H172" s="51">
        <v>0.35</v>
      </c>
      <c r="I172" s="49">
        <f t="shared" si="6"/>
        <v>7.6966666666666681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>
        <v>103</v>
      </c>
      <c r="B173" s="50">
        <v>337.71</v>
      </c>
      <c r="C173" s="50">
        <v>8</v>
      </c>
      <c r="D173" s="50">
        <v>56.789999999999964</v>
      </c>
      <c r="E173" s="51">
        <v>0.35</v>
      </c>
      <c r="F173" s="51">
        <v>0.2</v>
      </c>
      <c r="G173" s="51">
        <v>0.1</v>
      </c>
      <c r="H173" s="51">
        <v>0.35</v>
      </c>
      <c r="I173" s="49">
        <f t="shared" si="6"/>
        <v>7.7249999999999996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>
        <v>113</v>
      </c>
      <c r="B174" s="50">
        <v>356.05</v>
      </c>
      <c r="C174" s="50">
        <v>9</v>
      </c>
      <c r="D174" s="50">
        <v>45.660000000000025</v>
      </c>
      <c r="E174" s="51">
        <v>0.5</v>
      </c>
      <c r="F174" s="51">
        <v>0.2</v>
      </c>
      <c r="G174" s="51">
        <v>0</v>
      </c>
      <c r="H174" s="51">
        <v>0.3</v>
      </c>
      <c r="I174" s="49">
        <f t="shared" si="6"/>
        <v>7.5129999999999999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>
        <v>125</v>
      </c>
      <c r="B175" s="50">
        <v>404.61</v>
      </c>
      <c r="C175" s="50">
        <v>10</v>
      </c>
      <c r="D175" s="50">
        <v>70</v>
      </c>
      <c r="E175" s="51">
        <v>0.5</v>
      </c>
      <c r="F175" s="51">
        <v>0.2</v>
      </c>
      <c r="G175" s="51">
        <v>0</v>
      </c>
      <c r="H175" s="51">
        <v>0.3</v>
      </c>
      <c r="I175" s="49">
        <f t="shared" si="6"/>
        <v>7.8516666666666692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>
        <v>137</v>
      </c>
      <c r="B176" s="50">
        <v>428.03</v>
      </c>
      <c r="C176" s="50">
        <v>11</v>
      </c>
      <c r="D176" s="50">
        <v>74.669999999999959</v>
      </c>
      <c r="E176" s="51">
        <v>0.5</v>
      </c>
      <c r="F176" s="51">
        <v>0.2</v>
      </c>
      <c r="G176" s="51">
        <v>0</v>
      </c>
      <c r="H176" s="51">
        <v>0.3</v>
      </c>
      <c r="I176" s="49">
        <f t="shared" si="6"/>
        <v>7.7849999999999966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>
        <v>149</v>
      </c>
      <c r="B177" s="50">
        <v>444.56</v>
      </c>
      <c r="C177" s="50">
        <v>12</v>
      </c>
      <c r="D177" s="50">
        <v>176.67000000000002</v>
      </c>
      <c r="E177" s="51">
        <v>0.45</v>
      </c>
      <c r="F177" s="51">
        <v>0.05</v>
      </c>
      <c r="G177" s="51">
        <v>0.05</v>
      </c>
      <c r="H177" s="51">
        <v>0.45</v>
      </c>
      <c r="I177" s="49">
        <f t="shared" si="6"/>
        <v>7.5999999999999988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>
        <v>153</v>
      </c>
      <c r="B178" s="50">
        <v>286.3</v>
      </c>
      <c r="C178" s="50">
        <v>13</v>
      </c>
      <c r="D178" s="50">
        <v>102.89000000000001</v>
      </c>
      <c r="E178" s="51">
        <v>0.45</v>
      </c>
      <c r="F178" s="51">
        <v>0.05</v>
      </c>
      <c r="G178" s="51">
        <v>0.05</v>
      </c>
      <c r="H178" s="51">
        <v>0.45</v>
      </c>
      <c r="I178" s="49">
        <f t="shared" si="6"/>
        <v>4.6025000000000063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>
        <v>157</v>
      </c>
      <c r="B179" s="50">
        <v>194.52</v>
      </c>
      <c r="C179" s="50">
        <v>14</v>
      </c>
      <c r="D179" s="50">
        <v>67.13000000000001</v>
      </c>
      <c r="E179" s="51">
        <v>0.45</v>
      </c>
      <c r="F179" s="51">
        <v>0.05</v>
      </c>
      <c r="G179" s="51">
        <v>0.05</v>
      </c>
      <c r="H179" s="51">
        <v>0.45</v>
      </c>
      <c r="I179" s="49">
        <f t="shared" si="6"/>
        <v>2.7775000000000034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>
        <v>161</v>
      </c>
      <c r="B180" s="50">
        <v>134.26</v>
      </c>
      <c r="C180" s="50">
        <v>15</v>
      </c>
      <c r="D180" s="50">
        <v>134.26</v>
      </c>
      <c r="E180" s="51">
        <v>0.45</v>
      </c>
      <c r="F180" s="51">
        <v>0.05</v>
      </c>
      <c r="G180" s="51">
        <v>0.05</v>
      </c>
      <c r="H180" s="51">
        <v>0.45</v>
      </c>
      <c r="I180" s="49">
        <f t="shared" si="6"/>
        <v>1.7174999999999976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>Chêne pubescent</v>
      </c>
      <c r="C188" s="23" t="s">
        <v>326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>
        <v>60</v>
      </c>
      <c r="B192" s="60">
        <v>201.62</v>
      </c>
      <c r="C192" s="60">
        <v>1</v>
      </c>
      <c r="D192" s="60">
        <v>72.87</v>
      </c>
      <c r="E192" s="51">
        <v>0</v>
      </c>
      <c r="F192" s="51">
        <v>0.8</v>
      </c>
      <c r="G192" s="51">
        <v>0.2</v>
      </c>
      <c r="H192" s="51">
        <v>0</v>
      </c>
      <c r="I192" s="49">
        <f>IFERROR(B192/A192,"")</f>
        <v>3.3603333333333336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>
        <v>69</v>
      </c>
      <c r="B193" s="60">
        <v>190.79</v>
      </c>
      <c r="C193" s="60">
        <v>2</v>
      </c>
      <c r="D193" s="60">
        <v>42.22</v>
      </c>
      <c r="E193" s="51">
        <v>0</v>
      </c>
      <c r="F193" s="51">
        <v>0.8</v>
      </c>
      <c r="G193" s="51">
        <v>0.2</v>
      </c>
      <c r="H193" s="51">
        <v>0</v>
      </c>
      <c r="I193" s="49">
        <f t="shared" ref="I193:I211" si="7">IF(A193&lt;&gt;0,(B193-(B192-D192))/(A193-A192),"")</f>
        <v>6.8933333333333326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>
        <v>77</v>
      </c>
      <c r="B194" s="60">
        <v>202.52</v>
      </c>
      <c r="C194" s="60">
        <v>3</v>
      </c>
      <c r="D194" s="60">
        <v>33.950000000000017</v>
      </c>
      <c r="E194" s="51">
        <v>0</v>
      </c>
      <c r="F194" s="51">
        <v>0.8</v>
      </c>
      <c r="G194" s="51">
        <v>0.2</v>
      </c>
      <c r="H194" s="51">
        <v>0</v>
      </c>
      <c r="I194" s="49">
        <f t="shared" si="7"/>
        <v>6.7437500000000021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>
        <v>86</v>
      </c>
      <c r="B195" s="60">
        <v>229.27</v>
      </c>
      <c r="C195" s="60">
        <v>4</v>
      </c>
      <c r="D195" s="60">
        <v>37.54000000000002</v>
      </c>
      <c r="E195" s="51">
        <v>0.35</v>
      </c>
      <c r="F195" s="51">
        <v>0.2</v>
      </c>
      <c r="G195" s="51">
        <v>0.1</v>
      </c>
      <c r="H195" s="51">
        <v>0.35</v>
      </c>
      <c r="I195" s="49">
        <f t="shared" si="7"/>
        <v>6.7444444444444462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>
        <v>95</v>
      </c>
      <c r="B196" s="60">
        <v>252.57</v>
      </c>
      <c r="C196" s="60">
        <v>5</v>
      </c>
      <c r="D196" s="60">
        <v>42.199999999999989</v>
      </c>
      <c r="E196" s="51">
        <v>0.35</v>
      </c>
      <c r="F196" s="51">
        <v>0.2</v>
      </c>
      <c r="G196" s="51">
        <v>0.1</v>
      </c>
      <c r="H196" s="51">
        <v>0.35</v>
      </c>
      <c r="I196" s="49">
        <f t="shared" si="7"/>
        <v>6.7600000000000007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>
        <v>104</v>
      </c>
      <c r="B197" s="60">
        <v>271.37</v>
      </c>
      <c r="C197" s="60">
        <v>6</v>
      </c>
      <c r="D197" s="60">
        <v>39.400000000000006</v>
      </c>
      <c r="E197" s="51">
        <v>0.35</v>
      </c>
      <c r="F197" s="51">
        <v>0.2</v>
      </c>
      <c r="G197" s="51">
        <v>0.1</v>
      </c>
      <c r="H197" s="51">
        <v>0.35</v>
      </c>
      <c r="I197" s="49">
        <f t="shared" si="7"/>
        <v>6.7777777777777777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>
        <v>113</v>
      </c>
      <c r="B198" s="60">
        <v>293.89999999999998</v>
      </c>
      <c r="C198" s="60">
        <v>7</v>
      </c>
      <c r="D198" s="60">
        <v>41.639999999999986</v>
      </c>
      <c r="E198" s="51">
        <v>0.35</v>
      </c>
      <c r="F198" s="51">
        <v>0.2</v>
      </c>
      <c r="G198" s="51">
        <v>0.1</v>
      </c>
      <c r="H198" s="51">
        <v>0.35</v>
      </c>
      <c r="I198" s="49">
        <f t="shared" si="7"/>
        <v>6.8811111111111085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>
        <v>122</v>
      </c>
      <c r="B199" s="50">
        <v>315.27</v>
      </c>
      <c r="C199" s="50">
        <v>8</v>
      </c>
      <c r="D199" s="50">
        <v>45.829999999999984</v>
      </c>
      <c r="E199" s="51">
        <v>0.35</v>
      </c>
      <c r="F199" s="51">
        <v>0.2</v>
      </c>
      <c r="G199" s="51">
        <v>0.1</v>
      </c>
      <c r="H199" s="51">
        <v>0.35</v>
      </c>
      <c r="I199" s="49">
        <f t="shared" si="7"/>
        <v>7.0011111111111104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>
        <v>132</v>
      </c>
      <c r="B200" s="50">
        <v>340.57</v>
      </c>
      <c r="C200" s="50">
        <v>9</v>
      </c>
      <c r="D200" s="50">
        <v>48.699999999999989</v>
      </c>
      <c r="E200" s="51">
        <v>0.35</v>
      </c>
      <c r="F200" s="51">
        <v>0.2</v>
      </c>
      <c r="G200" s="51">
        <v>0.1</v>
      </c>
      <c r="H200" s="51">
        <v>0.35</v>
      </c>
      <c r="I200" s="49">
        <f t="shared" si="7"/>
        <v>7.1129999999999995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>
        <v>144</v>
      </c>
      <c r="B201" s="50">
        <v>379.92</v>
      </c>
      <c r="C201" s="50">
        <v>10</v>
      </c>
      <c r="D201" s="50">
        <v>60.949999999999989</v>
      </c>
      <c r="E201" s="51">
        <v>0.35</v>
      </c>
      <c r="F201" s="51">
        <v>0.2</v>
      </c>
      <c r="G201" s="51">
        <v>0.1</v>
      </c>
      <c r="H201" s="51">
        <v>0.35</v>
      </c>
      <c r="I201" s="49">
        <f t="shared" si="7"/>
        <v>7.3375000000000012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>
        <v>156</v>
      </c>
      <c r="B202" s="50">
        <v>409.2</v>
      </c>
      <c r="C202" s="50">
        <v>11</v>
      </c>
      <c r="D202" s="50">
        <v>65.69</v>
      </c>
      <c r="E202" s="51">
        <v>0.5</v>
      </c>
      <c r="F202" s="51">
        <v>0.2</v>
      </c>
      <c r="G202" s="51">
        <v>0</v>
      </c>
      <c r="H202" s="51">
        <v>0.3</v>
      </c>
      <c r="I202" s="49">
        <f t="shared" si="7"/>
        <v>7.5191666666666634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>
        <v>168</v>
      </c>
      <c r="B203" s="50">
        <v>435.65</v>
      </c>
      <c r="C203" s="50">
        <v>12</v>
      </c>
      <c r="D203" s="50">
        <v>71.37</v>
      </c>
      <c r="E203" s="51">
        <v>0.5</v>
      </c>
      <c r="F203" s="51">
        <v>0.2</v>
      </c>
      <c r="G203" s="51">
        <v>0</v>
      </c>
      <c r="H203" s="51">
        <v>0.3</v>
      </c>
      <c r="I203" s="49">
        <f t="shared" si="7"/>
        <v>7.6783333333333319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>
        <v>180</v>
      </c>
      <c r="B204" s="50">
        <v>456.54</v>
      </c>
      <c r="C204" s="50">
        <v>13</v>
      </c>
      <c r="D204" s="50">
        <v>175.59000000000003</v>
      </c>
      <c r="E204" s="51">
        <v>0.5</v>
      </c>
      <c r="F204" s="51">
        <v>0.2</v>
      </c>
      <c r="G204" s="51">
        <v>0</v>
      </c>
      <c r="H204" s="51">
        <v>0.3</v>
      </c>
      <c r="I204" s="49">
        <f t="shared" si="7"/>
        <v>7.688333333333337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>
        <v>184</v>
      </c>
      <c r="B205" s="50">
        <v>300.14</v>
      </c>
      <c r="C205" s="50">
        <v>14</v>
      </c>
      <c r="D205" s="50">
        <v>101.19999999999999</v>
      </c>
      <c r="E205" s="51">
        <v>0.5</v>
      </c>
      <c r="F205" s="51">
        <v>0.2</v>
      </c>
      <c r="G205" s="51">
        <v>0</v>
      </c>
      <c r="H205" s="51">
        <v>0.3</v>
      </c>
      <c r="I205" s="49">
        <f t="shared" si="7"/>
        <v>4.7974999999999994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>
        <v>188</v>
      </c>
      <c r="B206" s="50">
        <v>211.27</v>
      </c>
      <c r="C206" s="50">
        <v>15</v>
      </c>
      <c r="D206" s="50">
        <v>72.180000000000007</v>
      </c>
      <c r="E206" s="51">
        <v>0.5</v>
      </c>
      <c r="F206" s="51">
        <v>0.2</v>
      </c>
      <c r="G206" s="51">
        <v>0</v>
      </c>
      <c r="H206" s="51">
        <v>0.3</v>
      </c>
      <c r="I206" s="49">
        <f t="shared" si="7"/>
        <v>3.0825000000000031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>
        <v>191</v>
      </c>
      <c r="B207" s="50">
        <v>145.01</v>
      </c>
      <c r="C207" s="50">
        <v>16</v>
      </c>
      <c r="D207" s="50">
        <v>145.01</v>
      </c>
      <c r="E207" s="51">
        <v>0.45</v>
      </c>
      <c r="F207" s="51">
        <v>0.05</v>
      </c>
      <c r="G207" s="51">
        <v>0.05</v>
      </c>
      <c r="H207" s="51">
        <v>0.45</v>
      </c>
      <c r="I207" s="49">
        <f t="shared" si="7"/>
        <v>1.9733333333333292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>Chêne chevelu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>
        <v>10</v>
      </c>
      <c r="B218" s="60">
        <v>11.538461538461538</v>
      </c>
      <c r="C218" s="50">
        <v>0</v>
      </c>
      <c r="D218" s="60">
        <v>0</v>
      </c>
      <c r="E218" s="63">
        <v>0</v>
      </c>
      <c r="F218" s="63">
        <v>0.5</v>
      </c>
      <c r="G218" s="63">
        <v>0</v>
      </c>
      <c r="H218" s="63">
        <v>0.5</v>
      </c>
      <c r="I218" s="53">
        <f>IFERROR(B218/A218,"")</f>
        <v>1.1538461538461537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>
        <v>15</v>
      </c>
      <c r="B219" s="60">
        <v>30.128205128205128</v>
      </c>
      <c r="C219" s="50">
        <v>0</v>
      </c>
      <c r="D219" s="60">
        <v>0</v>
      </c>
      <c r="E219" s="63">
        <v>0</v>
      </c>
      <c r="F219" s="63">
        <v>0.5</v>
      </c>
      <c r="G219" s="63">
        <v>0</v>
      </c>
      <c r="H219" s="63">
        <v>0.5</v>
      </c>
      <c r="I219" s="53">
        <f t="shared" ref="I219:I237" si="8">IF(A219&lt;&gt;0,(B219-(B218-D218))/(A219-A218),"")</f>
        <v>3.7179487179487181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>
        <v>20</v>
      </c>
      <c r="B220" s="60">
        <v>55.769230769230759</v>
      </c>
      <c r="C220" s="50">
        <v>1</v>
      </c>
      <c r="D220" s="60">
        <v>18.589743589743588</v>
      </c>
      <c r="E220" s="63">
        <v>0</v>
      </c>
      <c r="F220" s="63">
        <v>0.5</v>
      </c>
      <c r="G220" s="63">
        <v>0</v>
      </c>
      <c r="H220" s="63">
        <v>0.5</v>
      </c>
      <c r="I220" s="53">
        <f t="shared" si="8"/>
        <v>5.128205128205126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>
        <v>25</v>
      </c>
      <c r="B221" s="55">
        <v>62.820512820512818</v>
      </c>
      <c r="C221" s="55">
        <v>2</v>
      </c>
      <c r="D221" s="55">
        <v>12.179487179487179</v>
      </c>
      <c r="E221" s="63">
        <v>0</v>
      </c>
      <c r="F221" s="63">
        <v>0.5</v>
      </c>
      <c r="G221" s="63">
        <v>0</v>
      </c>
      <c r="H221" s="63">
        <v>0.5</v>
      </c>
      <c r="I221" s="53">
        <f t="shared" si="8"/>
        <v>5.1282051282051295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>
        <v>30</v>
      </c>
      <c r="B222" s="55">
        <v>76.282051282051285</v>
      </c>
      <c r="C222" s="55">
        <v>3</v>
      </c>
      <c r="D222" s="55">
        <v>12.820512820512819</v>
      </c>
      <c r="E222" s="63">
        <v>0</v>
      </c>
      <c r="F222" s="63">
        <v>0.5</v>
      </c>
      <c r="G222" s="63">
        <v>0</v>
      </c>
      <c r="H222" s="63">
        <v>0.5</v>
      </c>
      <c r="I222" s="53">
        <f t="shared" si="8"/>
        <v>5.1282051282051295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>
        <v>35</v>
      </c>
      <c r="B223" s="55">
        <v>86.538461538461533</v>
      </c>
      <c r="C223" s="55">
        <v>4</v>
      </c>
      <c r="D223" s="55">
        <v>12.820512820512819</v>
      </c>
      <c r="E223" s="63">
        <v>0</v>
      </c>
      <c r="F223" s="63">
        <v>0.5</v>
      </c>
      <c r="G223" s="63">
        <v>0</v>
      </c>
      <c r="H223" s="63">
        <v>0.5</v>
      </c>
      <c r="I223" s="53">
        <f t="shared" si="8"/>
        <v>4.6153846153846132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>
        <v>40</v>
      </c>
      <c r="B224" s="55">
        <v>96.153846153846146</v>
      </c>
      <c r="C224" s="55">
        <v>5</v>
      </c>
      <c r="D224" s="55">
        <v>12.820512820512819</v>
      </c>
      <c r="E224" s="63">
        <v>0</v>
      </c>
      <c r="F224" s="63">
        <v>0.5</v>
      </c>
      <c r="G224" s="63">
        <v>0</v>
      </c>
      <c r="H224" s="63">
        <v>0.5</v>
      </c>
      <c r="I224" s="53">
        <f t="shared" si="8"/>
        <v>4.4871794871794863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>
        <v>45</v>
      </c>
      <c r="B225" s="55">
        <v>103.84615384615384</v>
      </c>
      <c r="C225" s="55">
        <v>6</v>
      </c>
      <c r="D225" s="55">
        <v>12.179487179487179</v>
      </c>
      <c r="E225" s="63">
        <v>0</v>
      </c>
      <c r="F225" s="63">
        <v>0.5</v>
      </c>
      <c r="G225" s="63">
        <v>0</v>
      </c>
      <c r="H225" s="63">
        <v>0.5</v>
      </c>
      <c r="I225" s="53">
        <f t="shared" si="8"/>
        <v>4.1025641025641022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>
        <v>50</v>
      </c>
      <c r="B226" s="55">
        <v>110.89743589743588</v>
      </c>
      <c r="C226" s="55">
        <v>7</v>
      </c>
      <c r="D226" s="55">
        <v>11.538461538461538</v>
      </c>
      <c r="E226" s="63">
        <v>0</v>
      </c>
      <c r="F226" s="63">
        <v>0.5</v>
      </c>
      <c r="G226" s="63">
        <v>0</v>
      </c>
      <c r="H226" s="63">
        <v>0.5</v>
      </c>
      <c r="I226" s="53">
        <f t="shared" si="8"/>
        <v>3.8461538461538454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>
        <v>55</v>
      </c>
      <c r="B227" s="55">
        <v>116.02564102564102</v>
      </c>
      <c r="C227" s="55">
        <v>8</v>
      </c>
      <c r="D227" s="55">
        <v>10.897435897435898</v>
      </c>
      <c r="E227" s="63">
        <v>0</v>
      </c>
      <c r="F227" s="63">
        <v>0.5</v>
      </c>
      <c r="G227" s="63">
        <v>0</v>
      </c>
      <c r="H227" s="63">
        <v>0.5</v>
      </c>
      <c r="I227" s="53">
        <f t="shared" si="8"/>
        <v>3.3333333333333344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>
        <v>60</v>
      </c>
      <c r="B228" s="55">
        <v>121.15384615384616</v>
      </c>
      <c r="C228" s="55">
        <v>9</v>
      </c>
      <c r="D228" s="55">
        <v>10.256410256410255</v>
      </c>
      <c r="E228" s="63">
        <v>0</v>
      </c>
      <c r="F228" s="63">
        <v>0.5</v>
      </c>
      <c r="G228" s="63">
        <v>0</v>
      </c>
      <c r="H228" s="63">
        <v>0.5</v>
      </c>
      <c r="I228" s="53">
        <f t="shared" si="8"/>
        <v>3.2051282051282071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>
        <v>65</v>
      </c>
      <c r="B229" s="55">
        <v>125</v>
      </c>
      <c r="C229" s="55">
        <v>10</v>
      </c>
      <c r="D229" s="55">
        <v>9.615384615384615</v>
      </c>
      <c r="E229" s="63">
        <v>0.1</v>
      </c>
      <c r="F229" s="63">
        <v>0.5</v>
      </c>
      <c r="G229" s="63">
        <v>0</v>
      </c>
      <c r="H229" s="63">
        <v>0.4</v>
      </c>
      <c r="I229" s="53">
        <f t="shared" si="8"/>
        <v>2.8205128205128176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>
        <v>70</v>
      </c>
      <c r="B230" s="55">
        <v>128.84615384615384</v>
      </c>
      <c r="C230" s="55">
        <v>11</v>
      </c>
      <c r="D230" s="55">
        <v>8.9743589743589745</v>
      </c>
      <c r="E230" s="64">
        <v>0.1</v>
      </c>
      <c r="F230" s="64">
        <v>0.5</v>
      </c>
      <c r="G230" s="64">
        <v>0</v>
      </c>
      <c r="H230" s="64">
        <v>0.4</v>
      </c>
      <c r="I230" s="53">
        <f t="shared" si="8"/>
        <v>2.6923076923076907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>
        <v>75</v>
      </c>
      <c r="B231" s="60">
        <v>130.76923076923075</v>
      </c>
      <c r="C231" s="88">
        <v>12</v>
      </c>
      <c r="D231" s="60">
        <v>7.6923076923076916</v>
      </c>
      <c r="E231" s="54">
        <v>0.1</v>
      </c>
      <c r="F231" s="54">
        <v>0.5</v>
      </c>
      <c r="G231" s="54">
        <v>0</v>
      </c>
      <c r="H231" s="54">
        <v>0.4</v>
      </c>
      <c r="I231" s="53">
        <f t="shared" si="8"/>
        <v>2.1794871794871766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>
        <v>80</v>
      </c>
      <c r="B232" s="50">
        <v>133.33333333333334</v>
      </c>
      <c r="C232" s="50">
        <v>13</v>
      </c>
      <c r="D232" s="50">
        <v>7.0512820512820511</v>
      </c>
      <c r="E232" s="54">
        <v>0.1</v>
      </c>
      <c r="F232" s="54">
        <v>0.5</v>
      </c>
      <c r="G232" s="54">
        <v>0</v>
      </c>
      <c r="H232" s="54">
        <v>0.4</v>
      </c>
      <c r="I232" s="53">
        <f t="shared" si="8"/>
        <v>2.0512820512820582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>
        <v>85</v>
      </c>
      <c r="B233" s="50">
        <v>135.25641025641025</v>
      </c>
      <c r="C233" s="50">
        <v>14</v>
      </c>
      <c r="D233" s="50">
        <v>6.4102564102564097</v>
      </c>
      <c r="E233" s="54">
        <v>0.1</v>
      </c>
      <c r="F233" s="54">
        <v>0.5</v>
      </c>
      <c r="G233" s="54">
        <v>0</v>
      </c>
      <c r="H233" s="54">
        <v>0.4</v>
      </c>
      <c r="I233" s="53">
        <f t="shared" si="8"/>
        <v>1.7948717948717898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>
        <v>90</v>
      </c>
      <c r="B234" s="50">
        <v>137.82051282051282</v>
      </c>
      <c r="C234" s="50">
        <v>15</v>
      </c>
      <c r="D234" s="50">
        <v>6.4102564102564097</v>
      </c>
      <c r="E234" s="54">
        <v>0.1</v>
      </c>
      <c r="F234" s="54">
        <v>0.5</v>
      </c>
      <c r="G234" s="54">
        <v>0</v>
      </c>
      <c r="H234" s="54">
        <v>0.4</v>
      </c>
      <c r="I234" s="53">
        <f t="shared" si="8"/>
        <v>1.7948717948717956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>
        <v>95</v>
      </c>
      <c r="B235" s="50">
        <v>140.38461538461539</v>
      </c>
      <c r="C235" s="50">
        <v>16</v>
      </c>
      <c r="D235" s="50">
        <v>7.0512820512820511</v>
      </c>
      <c r="E235" s="54">
        <v>0.1</v>
      </c>
      <c r="F235" s="54">
        <v>0.5</v>
      </c>
      <c r="G235" s="54">
        <v>0</v>
      </c>
      <c r="H235" s="54">
        <v>0.4</v>
      </c>
      <c r="I235" s="53">
        <f t="shared" si="8"/>
        <v>1.7948717948717956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>
        <v>100</v>
      </c>
      <c r="B236" s="50">
        <v>142.94871794871796</v>
      </c>
      <c r="C236" s="50">
        <v>17</v>
      </c>
      <c r="D236" s="50">
        <v>142.94871794871796</v>
      </c>
      <c r="E236" s="54">
        <v>0.1</v>
      </c>
      <c r="F236" s="54">
        <v>0.5</v>
      </c>
      <c r="G236" s="54">
        <v>0</v>
      </c>
      <c r="H236" s="54">
        <v>0.4</v>
      </c>
      <c r="I236" s="53">
        <f t="shared" si="8"/>
        <v>1.9230769230769227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Normal="100" workbookViewId="0">
      <selection activeCell="G22" sqref="G22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Charme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maritime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Cèdre de l'Atlas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tauzin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 sessile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Chêne pubescent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Chêne chevelu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449.28947235329758</v>
      </c>
      <c r="T3" s="59">
        <f>IF('Données projet'!E9&gt;30,$R$33-$H$33,LOOKUP('Données projet'!$E$9,$A$3:$A$203,R3:R203)-LOOKUP('Données projet'!$E$9,$A$3:$A$203,$H$3:$H$203))</f>
        <v>289.36994109443964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349.71285006949597</v>
      </c>
      <c r="AO3" s="59">
        <f>IF('Données projet'!E10&gt;30,$AM$33-$H$33,LOOKUP('Données projet'!$E$10,$A$3:$A$203,AM3:AM203)-LOOKUP('Données projet'!$E$10,$A$3:$A$203,$H$3:$H$203))</f>
        <v>258.51550516456842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302.00825291248458</v>
      </c>
      <c r="BJ3" s="59">
        <f>IF('Données projet'!E11&gt;30,$BH$33-$H$33,LOOKUP('Données projet'!$E$11,$A$3:$A$203,BH3:BH203)-LOOKUP('Données projet'!$E$11,$A$3:$A$203,$H$3:$H$203))</f>
        <v>307.35115839449355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337.10499990421835</v>
      </c>
      <c r="CE3" s="59">
        <f>IF('Données projet'!E12&gt;30,$CC$33-$H$33,LOOKUP('Données projet'!$E$12,$A$3:$A$203,CC3:CC203)-LOOKUP('Données projet'!$E$12,$A$3:$A$203,$H$3:$H$203))</f>
        <v>277.4254079562175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525.74725170626471</v>
      </c>
      <c r="CZ3" s="59">
        <f>IF('Données projet'!E13&gt;30,$CX$33-$H$33,LOOKUP('Données projet'!$E$13,$A$3:$A$203,CX3:CX203)-LOOKUP('Données projet'!$E$13,$A$3:$A$203,$H$3:$H$203))</f>
        <v>259.19103598192197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490.06222615476065</v>
      </c>
      <c r="DU3" s="59">
        <f>IF('Données projet'!E14&gt;30,$DS$33-$H$33,LOOKUP('Données projet'!$E$14,$A$3:$A$203,DS3:DS203)-LOOKUP('Données projet'!$E$14,$A$3:$A$203,$H$3:$H$203))</f>
        <v>310.43914804089906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533.26035274112917</v>
      </c>
      <c r="EP3" s="59">
        <f>IF('Données projet'!E15&gt;30,$EN$33-$H$33,LOOKUP('Données projet'!$E$15,$A$3:$A$203,EN3:EN203)-LOOKUP('Données projet'!$E$15,$A$3:$A$203,$H$3:$H$203))</f>
        <v>262.58149402282521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239.26156489359892</v>
      </c>
      <c r="FK3" s="59">
        <f>IF('Données projet'!E16&gt;30,$FI$33-$H$33,LOOKUP('Données projet'!$E$16,$A$3:$A$203,FI3:FI203)-LOOKUP('Données projet'!$E$16,$A$3:$A$203,$H$3:$H$203))</f>
        <v>213.97034450798111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4.016578947368421</v>
      </c>
      <c r="N4" s="13">
        <f>IF('Données projet'!$A$36&gt;35,N3+M4-V3,IF(A4&lt;'Données projet'!$A$36,$K$205^A4,IF(A4='Données projet'!$A$36,'Données projet'!$B$36,N3+M4-V3)))</f>
        <v>4.016578947368421</v>
      </c>
      <c r="O4" s="13">
        <f>N4*VLOOKUP('Données projet'!$B$9,Paramètres!$A$1:$I$89,3,0)*VLOOKUP('Données projet'!$B$9,Paramètres!$A$1:$I$89,5,0)</f>
        <v>3.8221765263157894</v>
      </c>
      <c r="P4" s="13">
        <f>EXP(-1.0587+0.8836*LN(O4)+0.284)</f>
        <v>1.5068909880440347</v>
      </c>
      <c r="Q4" s="20">
        <f t="shared" ref="Q4:Q34" si="2">(O4+P4)*0.475*44/12</f>
        <v>9.2814592541766938</v>
      </c>
      <c r="R4" s="59">
        <f t="shared" si="0"/>
        <v>267.17034814306555</v>
      </c>
      <c r="S4" s="59">
        <f ca="1">AVERAGE(OFFSET($R$3,0,0,'Données projet'!$E$9+1,1))-AVERAGE(OFFSET($H$3,0,0,'Données projet'!$E$9+1,1))</f>
        <v>449.28947235329758</v>
      </c>
      <c r="T4" s="59">
        <f>$T$3</f>
        <v>289.36994109443964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5.8890909090909096</v>
      </c>
      <c r="AI4" s="13">
        <f>IF('Données projet'!$A$62&gt;35,AI3+AH4-AQ3,IF(A4&lt;'Données projet'!$A$62,$AF$205^A4,IF(A4='Données projet'!$A$62,'Données projet'!$B$62,AI3+AH4-AQ3)))</f>
        <v>1.2474449991725556</v>
      </c>
      <c r="AJ4" s="13">
        <f>AI4*VLOOKUP('Données projet'!$B$10,Paramètres!$A$1:$I$89,3,0)*VLOOKUP('Données projet'!$B$10,Paramètres!$A$1:$I$89,5,0)</f>
        <v>0.74597210950518822</v>
      </c>
      <c r="AK4" s="13">
        <f>EXP(-1.0587+0.8836*LN(AJ4)+0.284)</f>
        <v>0.35570481632934337</v>
      </c>
      <c r="AL4" s="20">
        <f t="shared" ref="AL4:AL67" si="4">(AJ4+AK4)*0.475*44/12</f>
        <v>1.9187539791618089</v>
      </c>
      <c r="AM4" s="59">
        <f t="shared" ref="AM4:AM67" si="5">AL4+(AD4+AE4)*44/12</f>
        <v>259.80764286805066</v>
      </c>
      <c r="AN4" s="59">
        <f ca="1">AVERAGE(OFFSET($AM$3,0,0,'Données projet'!$E$10+1,1))-AVERAGE(OFFSET($H$3,0,0,'Données projet'!$E$10+1,1))</f>
        <v>349.71285006949597</v>
      </c>
      <c r="AO4" s="59">
        <f>$AO$3</f>
        <v>258.51550516456842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7.2723529411764707</v>
      </c>
      <c r="BD4" s="12">
        <f>IF('Données projet'!$A$88&gt;35,BD3+BC4-BL3,IF(A4&lt;'Données projet'!$A$88,$BA$205^A4,IF(A4='Données projet'!$A$88,'Données projet'!$B$88,BD3+BC4-BL3)))</f>
        <v>1.3275965341357465</v>
      </c>
      <c r="BE4" s="13">
        <f>BD4*VLOOKUP('Données projet'!$B$11,Paramètres!$A$1:$I$89,3,0)*VLOOKUP('Données projet'!$B$11,Paramètres!$A$1:$I$89,5,0)</f>
        <v>0.79390272741317647</v>
      </c>
      <c r="BF4" s="13">
        <f>EXP(-1.0587+0.8836*LN(BE4)+0.284)</f>
        <v>0.37582567469791356</v>
      </c>
      <c r="BG4" s="20">
        <f t="shared" ref="BG4:BG67" si="7">(BE4+BF4)*0.475*44/12</f>
        <v>2.0372769670101483</v>
      </c>
      <c r="BH4" s="59">
        <f t="shared" ref="BH4:BH67" si="8">BG4+(AY4+AZ4)*44/12</f>
        <v>259.926165855899</v>
      </c>
      <c r="BI4" s="59">
        <f ca="1">AVERAGE(OFFSET($BH$3,0,0,'Données projet'!$E$11+1,1))-AVERAGE(OFFSET($H$3,0,0,'Données projet'!$E$11+1,1))</f>
        <v>302.00825291248458</v>
      </c>
      <c r="BJ4" s="59">
        <f>$BJ$3</f>
        <v>307.35115839449355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7.7715686274509812</v>
      </c>
      <c r="BY4" s="12">
        <f>IF('Données projet'!$A$114&gt;35,BY3+BX4-CG3,IF(A4&lt;'Données projet'!$A$114,$BV$205^A4,IF(A4='Données projet'!$A$114,'Données projet'!$B$114,BY3+BX4-CG3)))</f>
        <v>7.7715686274509812</v>
      </c>
      <c r="BZ4" s="13">
        <f>BY4*VLOOKUP('Données projet'!$B$12,Paramètres!$A$1:$I$89,3,0)*VLOOKUP('Données projet'!$B$12,Paramètres!$A$1:$I$89,5,0)</f>
        <v>3.637094117647059</v>
      </c>
      <c r="CA4" s="13">
        <f>EXP(-1.0587+0.8836*LN(BZ4)+0.284)</f>
        <v>1.4422308330239975</v>
      </c>
      <c r="CB4" s="20">
        <f t="shared" ref="CB4:CB67" si="10">(BZ4+CA4)*0.475*44/12</f>
        <v>8.8464909557520901</v>
      </c>
      <c r="CC4" s="59">
        <f t="shared" ref="CC4:CC67" si="11">CB4+(BT4+BU4)*44/12</f>
        <v>266.73537984464093</v>
      </c>
      <c r="CD4" s="59">
        <f ca="1">AVERAGE(OFFSET($CC$3,0,0,'Données projet'!$E$12+1,1))-AVERAGE(OFFSET($H$3,0,0,'Données projet'!$E$12+1,1))</f>
        <v>337.10499990421835</v>
      </c>
      <c r="CE4" s="59">
        <f>$CE$3</f>
        <v>277.4254079562175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3.3603333333333336</v>
      </c>
      <c r="CT4" s="12">
        <f>IF('Données projet'!$A$140&gt;35,CT3+CS4-DB3,IF(A4&lt;'Données projet'!$A$140,$CQ$205^A4,IF(A4='Données projet'!$A$140,'Données projet'!$B$140,CT3+CS4-DB3)))</f>
        <v>3.3603333333333336</v>
      </c>
      <c r="CU4" s="17">
        <f>CT4*VLOOKUP('Données projet'!$B$13,Paramètres!$A$1:$I$89,3,0)*VLOOKUP('Données projet'!$B$13,Paramètres!$A$1:$I$89,5,0)</f>
        <v>3.3549568000000005</v>
      </c>
      <c r="CV4" s="13">
        <f>EXP(-1.0587+0.8836*LN(CU4)+0.284)</f>
        <v>1.3429165878259732</v>
      </c>
      <c r="CW4" s="20">
        <f t="shared" ref="CW4:CW67" si="13">(CU4+CV4)*0.475*44/12</f>
        <v>8.1821294837969027</v>
      </c>
      <c r="CX4" s="59">
        <f t="shared" ref="CX4:CX67" si="14">CW4+(CO4+CP4)*44/12</f>
        <v>266.07101837268578</v>
      </c>
      <c r="CY4" s="59">
        <f ca="1">AVERAGE(OFFSET($CX$3,0,0,'Données projet'!$E$13+1,1))-AVERAGE(OFFSET($H$3,0,0,'Données projet'!$E$13+1,1))</f>
        <v>525.74725170626471</v>
      </c>
      <c r="CZ4" s="59">
        <f>$CZ$3</f>
        <v>259.19103598192197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4.5856818181818184</v>
      </c>
      <c r="DO4" s="12">
        <f>IF('Données projet'!$A$166&gt;35,DO3+DN4-DW3,IF(A4&lt;'Données projet'!$A$166,$DL$205^A4,IF(A4='Données projet'!$A$166,'Données projet'!$B$166,DO3+DN4-DW3)))</f>
        <v>4.5856818181818184</v>
      </c>
      <c r="DP4" s="17">
        <f>DO4*VLOOKUP('Données projet'!$B$14,Paramètres!$A$1:$I$89,3,0)*VLOOKUP('Données projet'!$B$14,Paramètres!$A$1:$I$89,5,0)</f>
        <v>4.1491249090909088</v>
      </c>
      <c r="DQ4" s="13">
        <f>EXP(-1.0587+0.8836*LN(DP4)+0.284)</f>
        <v>1.6202365934641478</v>
      </c>
      <c r="DR4" s="20">
        <f t="shared" ref="DR4:DR67" si="16">(DP4+DQ4)*0.475*44/12</f>
        <v>10.048304616950057</v>
      </c>
      <c r="DS4" s="59">
        <f t="shared" ref="DS4:DS67" si="17">DR4+(DJ4+DK4)*44/12</f>
        <v>267.93719350583893</v>
      </c>
      <c r="DT4" s="59">
        <f ca="1">AVERAGE(OFFSET($DS$3,0,0,'Données projet'!$E$14+1,1))-AVERAGE(OFFSET($H$3,0,0,'Données projet'!$E$14+1,1))</f>
        <v>490.06222615476065</v>
      </c>
      <c r="DU4" s="59">
        <f>$DU$3</f>
        <v>310.43914804089906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3.3603333333333336</v>
      </c>
      <c r="EJ4" s="12">
        <f>IF('Données projet'!$A$192&gt;35,EJ3+EI4-ER3,IF(A4&lt;'Données projet'!$A$192,$EG$205^A4,IF(A4='Données projet'!$A$192,'Données projet'!$B$192,EJ3+EI4-ER3)))</f>
        <v>3.3603333333333336</v>
      </c>
      <c r="EK4" s="17">
        <f>EJ4*VLOOKUP('Données projet'!$B$15,Paramètres!$A$1:$I$89,3,0)*VLOOKUP('Données projet'!$B$15,Paramètres!$A$1:$I$89,5,0)</f>
        <v>3.4073780000000005</v>
      </c>
      <c r="EL4" s="13">
        <f>EXP(-1.0587+0.8836*LN(EK4)+0.284)</f>
        <v>1.361440466803705</v>
      </c>
      <c r="EM4" s="20">
        <f t="shared" ref="EM4:EM67" si="19">(EK4+EL4)*0.475*44/12</f>
        <v>8.3056921630164542</v>
      </c>
      <c r="EN4" s="59">
        <f t="shared" ref="EN4:EN67" si="20">EM4+(EE4+EF4)*44/12</f>
        <v>266.19458105190529</v>
      </c>
      <c r="EO4" s="59">
        <f ca="1">AVERAGE(OFFSET($EN$3,0,0,'Données projet'!$E$15+1,1))-AVERAGE(OFFSET($H$3,0,0,'Données projet'!$E$15+1,1))</f>
        <v>533.26035274112917</v>
      </c>
      <c r="EP4" s="59">
        <f>$EP$3</f>
        <v>262.58149402282521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1.1538461538461537</v>
      </c>
      <c r="FE4" s="12">
        <f>IF('Données projet'!$A$218&gt;35,FE3+FD4-FM3,IF(A4&lt;'Données projet'!$A$218,$FB$205^A4,IF(A4='Données projet'!$A$218,'Données projet'!$B$218,FE3+FD4-FM3)))</f>
        <v>1.2770702581475548</v>
      </c>
      <c r="FF4" s="17">
        <f>FE4*VLOOKUP('Données projet'!$B$16,Paramètres!$A$1:$I$89,3,0)*VLOOKUP('Données projet'!$B$16,Paramètres!$A$1:$I$89,5,0)</f>
        <v>1.3347938338158245</v>
      </c>
      <c r="FG4" s="13">
        <f>EXP(-1.0587+0.8836*LN(FF4)+0.284)</f>
        <v>0.59479600746513583</v>
      </c>
      <c r="FH4" s="20">
        <f t="shared" ref="FH4:FH67" si="22">(FF4+FG4)*0.475*44/12</f>
        <v>3.3607023068976729</v>
      </c>
      <c r="FI4" s="59">
        <f t="shared" ref="FI4:FI67" si="23">FH4+(EZ4+FA4)*44/12</f>
        <v>261.24959119578654</v>
      </c>
      <c r="FJ4" s="59">
        <f ca="1">AVERAGE(OFFSET($FI$3,0,0,'Données projet'!$E$16+1,1))-AVERAGE(OFFSET($H$3,0,0,'Données projet'!$E$16+1,1))</f>
        <v>239.26156489359892</v>
      </c>
      <c r="FK4" s="59">
        <f>$FK$3</f>
        <v>213.97034450798111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4.016578947368421</v>
      </c>
      <c r="N5" s="13">
        <f>IF('Données projet'!$A$36&gt;35,N4+M5-V4,IF(A5&lt;'Données projet'!$A$36,$K$205^A5,IF(A5='Données projet'!$A$36,'Données projet'!$B$36,N4+M5-V4)))</f>
        <v>8.0331578947368421</v>
      </c>
      <c r="O5" s="13">
        <f>N5*VLOOKUP('Données projet'!$B$9,Paramètres!$A$1:$I$89,3,0)*VLOOKUP('Données projet'!$B$9,Paramètres!$A$1:$I$89,5,0)</f>
        <v>7.6443530526315788</v>
      </c>
      <c r="P5" s="13">
        <f t="shared" ref="P5:P68" si="33">EXP(-1.0587+0.8836*LN(O5)+0.284)</f>
        <v>2.7801737582204993</v>
      </c>
      <c r="Q5" s="20">
        <f t="shared" si="2"/>
        <v>18.156050862234036</v>
      </c>
      <c r="R5" s="59">
        <f t="shared" si="0"/>
        <v>277.2671619733452</v>
      </c>
      <c r="S5" s="59">
        <f ca="1">AVERAGE(OFFSET($R$3,0,0,'Données projet'!$E$9+1,1))-AVERAGE(OFFSET($H$3,0,0,'Données projet'!$E$9+1,1))</f>
        <v>449.28947235329758</v>
      </c>
      <c r="T5" s="59">
        <f t="shared" ref="T5:T68" si="34">$T$3</f>
        <v>289.36994109443964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5.8890909090909096</v>
      </c>
      <c r="AI5" s="13">
        <f>IF('Données projet'!$A$62&gt;35,AI4+AH5-AQ4,IF(A5&lt;'Données projet'!$A$62,$AF$205^A5,IF(A5='Données projet'!$A$62,'Données projet'!$B$62,AI4+AH5-AQ4)))</f>
        <v>1.5561190259606172</v>
      </c>
      <c r="AJ5" s="13">
        <f>AI5*VLOOKUP('Données projet'!$B$10,Paramètres!$A$1:$I$89,3,0)*VLOOKUP('Données projet'!$B$10,Paramètres!$A$1:$I$89,5,0)</f>
        <v>0.93055917752444917</v>
      </c>
      <c r="AK5" s="13">
        <f t="shared" ref="AK5:AK68" si="35">EXP(-1.0587+0.8836*LN(AJ5)+0.284)</f>
        <v>0.43244836584356472</v>
      </c>
      <c r="AL5" s="20">
        <f t="shared" si="4"/>
        <v>2.3739048046992908</v>
      </c>
      <c r="AM5" s="59">
        <f t="shared" si="5"/>
        <v>261.48501591581044</v>
      </c>
      <c r="AN5" s="59">
        <f ca="1">AVERAGE(OFFSET($AM$3,0,0,'Données projet'!$E$10+1,1))-AVERAGE(OFFSET($H$3,0,0,'Données projet'!$E$10+1,1))</f>
        <v>349.71285006949597</v>
      </c>
      <c r="AO5" s="59">
        <f t="shared" ref="AO5:AO68" si="36">$AO$3</f>
        <v>258.51550516456842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7.2723529411764707</v>
      </c>
      <c r="BD5" s="12">
        <f>IF('Données projet'!$A$88&gt;35,BD4+BC5-BL4,IF(A5&lt;'Données projet'!$A$88,$BA$205^A5,IF(A5='Données projet'!$A$88,'Données projet'!$B$88,BD4+BC5-BL4)))</f>
        <v>1.7625125574492464</v>
      </c>
      <c r="BE5" s="13">
        <f>BD5*VLOOKUP('Données projet'!$B$11,Paramètres!$A$1:$I$89,3,0)*VLOOKUP('Données projet'!$B$11,Paramètres!$A$1:$I$89,5,0)</f>
        <v>1.0539825093546495</v>
      </c>
      <c r="BF5" s="13">
        <f t="shared" ref="BF5:BF68" si="37">EXP(-1.0587+0.8836*LN(BE5)+0.284)</f>
        <v>0.48275597819164817</v>
      </c>
      <c r="BG5" s="20">
        <f t="shared" si="7"/>
        <v>2.676486199143135</v>
      </c>
      <c r="BH5" s="59">
        <f t="shared" si="8"/>
        <v>261.78759731025428</v>
      </c>
      <c r="BI5" s="59">
        <f ca="1">AVERAGE(OFFSET($BH$3,0,0,'Données projet'!$E$11+1,1))-AVERAGE(OFFSET($H$3,0,0,'Données projet'!$E$11+1,1))</f>
        <v>302.00825291248458</v>
      </c>
      <c r="BJ5" s="59">
        <f t="shared" ref="BJ5:BJ68" si="38">$BJ$3</f>
        <v>307.35115839449355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7.7715686274509812</v>
      </c>
      <c r="BY5" s="12">
        <f>IF('Données projet'!$A$114&gt;35,BY4+BX5-CG4,IF(A5&lt;'Données projet'!$A$114,$BV$205^A5,IF(A5='Données projet'!$A$114,'Données projet'!$B$114,BY4+BX5-CG4)))</f>
        <v>15.543137254901962</v>
      </c>
      <c r="BZ5" s="13">
        <f>BY5*VLOOKUP('Données projet'!$B$12,Paramètres!$A$1:$I$89,3,0)*VLOOKUP('Données projet'!$B$12,Paramètres!$A$1:$I$89,5,0)</f>
        <v>7.2741882352941181</v>
      </c>
      <c r="CA5" s="13">
        <f t="shared" ref="CA5:CA68" si="39">EXP(-1.0587+0.8836*LN(BZ5)+0.284)</f>
        <v>2.6608774935168951</v>
      </c>
      <c r="CB5" s="20">
        <f t="shared" si="10"/>
        <v>17.303572811012511</v>
      </c>
      <c r="CC5" s="59">
        <f t="shared" si="11"/>
        <v>276.41468392212363</v>
      </c>
      <c r="CD5" s="59">
        <f ca="1">AVERAGE(OFFSET($CC$3,0,0,'Données projet'!$E$12+1,1))-AVERAGE(OFFSET($H$3,0,0,'Données projet'!$E$12+1,1))</f>
        <v>337.10499990421835</v>
      </c>
      <c r="CE5" s="59">
        <f t="shared" ref="CE5:CE68" si="40">$CE$3</f>
        <v>277.4254079562175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3.3603333333333336</v>
      </c>
      <c r="CT5" s="12">
        <f>IF('Données projet'!$A$140&gt;35,CT4+CS5-DB4,IF(A5&lt;'Données projet'!$A$140,$CQ$205^A5,IF(A5='Données projet'!$A$140,'Données projet'!$B$140,CT4+CS5-DB4)))</f>
        <v>6.7206666666666672</v>
      </c>
      <c r="CU5" s="17">
        <f>CT5*VLOOKUP('Données projet'!$B$13,Paramètres!$A$1:$I$89,3,0)*VLOOKUP('Données projet'!$B$13,Paramètres!$A$1:$I$89,5,0)</f>
        <v>6.709913600000001</v>
      </c>
      <c r="CV5" s="13">
        <f t="shared" ref="CV5:CV68" si="41">EXP(-1.0587+0.8836*LN(CU5)+0.284)</f>
        <v>2.477645354956282</v>
      </c>
      <c r="CW5" s="20">
        <f t="shared" si="13"/>
        <v>16.001665179882195</v>
      </c>
      <c r="CX5" s="59">
        <f t="shared" si="14"/>
        <v>275.11277629099334</v>
      </c>
      <c r="CY5" s="59">
        <f ca="1">AVERAGE(OFFSET($CX$3,0,0,'Données projet'!$E$13+1,1))-AVERAGE(OFFSET($H$3,0,0,'Données projet'!$E$13+1,1))</f>
        <v>525.74725170626471</v>
      </c>
      <c r="CZ5" s="59">
        <f t="shared" ref="CZ5:CZ68" si="42">$CZ$3</f>
        <v>259.19103598192197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4.5856818181818184</v>
      </c>
      <c r="DO5" s="12">
        <f>IF('Données projet'!$A$166&gt;35,DO4+DN5-DW4,IF(A5&lt;'Données projet'!$A$166,$DL$205^A5,IF(A5='Données projet'!$A$166,'Données projet'!$B$166,DO4+DN5-DW4)))</f>
        <v>9.1713636363636368</v>
      </c>
      <c r="DP5" s="17">
        <f>DO5*VLOOKUP('Données projet'!$B$14,Paramètres!$A$1:$I$89,3,0)*VLOOKUP('Données projet'!$B$14,Paramètres!$A$1:$I$89,5,0)</f>
        <v>8.2982498181818176</v>
      </c>
      <c r="DQ5" s="13">
        <f t="shared" ref="DQ5:DQ68" si="43">EXP(-1.0587+0.8836*LN(DP5)+0.284)</f>
        <v>2.9892933828641128</v>
      </c>
      <c r="DR5" s="20">
        <f t="shared" si="16"/>
        <v>19.659137741821663</v>
      </c>
      <c r="DS5" s="59">
        <f t="shared" si="17"/>
        <v>278.77024885293281</v>
      </c>
      <c r="DT5" s="59">
        <f ca="1">AVERAGE(OFFSET($DS$3,0,0,'Données projet'!$E$14+1,1))-AVERAGE(OFFSET($H$3,0,0,'Données projet'!$E$14+1,1))</f>
        <v>490.06222615476065</v>
      </c>
      <c r="DU5" s="59">
        <f t="shared" ref="DU5:DU68" si="44">$DU$3</f>
        <v>310.43914804089906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3.3603333333333336</v>
      </c>
      <c r="EJ5" s="12">
        <f>IF('Données projet'!$A$192&gt;35,EJ4+EI5-ER4,IF(A5&lt;'Données projet'!$A$192,$EG$205^A5,IF(A5='Données projet'!$A$192,'Données projet'!$B$192,EJ4+EI5-ER4)))</f>
        <v>6.7206666666666672</v>
      </c>
      <c r="EK5" s="17">
        <f>EJ5*VLOOKUP('Données projet'!$B$15,Paramètres!$A$1:$I$89,3,0)*VLOOKUP('Données projet'!$B$15,Paramètres!$A$1:$I$89,5,0)</f>
        <v>6.8147560000000009</v>
      </c>
      <c r="EL5" s="13">
        <f t="shared" ref="EL5:EL68" si="45">EXP(-1.0587+0.8836*LN(EK5)+0.284)</f>
        <v>2.5118214185487715</v>
      </c>
      <c r="EM5" s="20">
        <f t="shared" si="19"/>
        <v>16.243789003972445</v>
      </c>
      <c r="EN5" s="59">
        <f t="shared" si="20"/>
        <v>275.35490011508358</v>
      </c>
      <c r="EO5" s="59">
        <f ca="1">AVERAGE(OFFSET($EN$3,0,0,'Données projet'!$E$15+1,1))-AVERAGE(OFFSET($H$3,0,0,'Données projet'!$E$15+1,1))</f>
        <v>533.26035274112917</v>
      </c>
      <c r="EP5" s="59">
        <f t="shared" ref="EP5:EP68" si="46">$EP$3</f>
        <v>262.58149402282521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1.1538461538461537</v>
      </c>
      <c r="FE5" s="12">
        <f>IF('Données projet'!$A$218&gt;35,FE4+FD5-FM4,IF(A5&lt;'Données projet'!$A$218,$FB$205^A5,IF(A5='Données projet'!$A$218,'Données projet'!$B$218,FE4+FD5-FM4)))</f>
        <v>1.6309084442450623</v>
      </c>
      <c r="FF5" s="17">
        <f>FE5*VLOOKUP('Données projet'!$B$16,Paramètres!$A$1:$I$89,3,0)*VLOOKUP('Données projet'!$B$16,Paramètres!$A$1:$I$89,5,0)</f>
        <v>1.7046255059249393</v>
      </c>
      <c r="FG5" s="13">
        <f t="shared" ref="FG5:FG68" si="47">EXP(-1.0587+0.8836*LN(FF5)+0.284)</f>
        <v>0.7382771613827388</v>
      </c>
      <c r="FH5" s="20">
        <f t="shared" si="22"/>
        <v>4.2547221455608728</v>
      </c>
      <c r="FI5" s="59">
        <f t="shared" si="23"/>
        <v>263.36583325667203</v>
      </c>
      <c r="FJ5" s="59">
        <f ca="1">AVERAGE(OFFSET($FI$3,0,0,'Données projet'!$E$16+1,1))-AVERAGE(OFFSET($H$3,0,0,'Données projet'!$E$16+1,1))</f>
        <v>239.26156489359892</v>
      </c>
      <c r="FK5" s="59">
        <f t="shared" ref="FK5:FK68" si="48">$FK$3</f>
        <v>213.97034450798111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4.016578947368421</v>
      </c>
      <c r="N6" s="13">
        <f>IF('Données projet'!$A$36&gt;35,N5+M6-V5,IF(A6&lt;'Données projet'!$A$36,$K$205^A6,IF(A6='Données projet'!$A$36,'Données projet'!$B$36,N5+M6-V5)))</f>
        <v>12.049736842105263</v>
      </c>
      <c r="O6" s="13">
        <f>N6*VLOOKUP('Données projet'!$B$9,Paramètres!$A$1:$I$89,3,0)*VLOOKUP('Données projet'!$B$9,Paramètres!$A$1:$I$89,5,0)</f>
        <v>11.466529578947368</v>
      </c>
      <c r="P6" s="13">
        <f t="shared" si="33"/>
        <v>3.9780128004247182</v>
      </c>
      <c r="Q6" s="20">
        <f t="shared" si="2"/>
        <v>26.89924464407305</v>
      </c>
      <c r="R6" s="59">
        <f t="shared" si="0"/>
        <v>287.23257797740638</v>
      </c>
      <c r="S6" s="59">
        <f ca="1">AVERAGE(OFFSET($R$3,0,0,'Données projet'!$E$9+1,1))-AVERAGE(OFFSET($H$3,0,0,'Données projet'!$E$9+1,1))</f>
        <v>449.28947235329758</v>
      </c>
      <c r="T6" s="59">
        <f t="shared" si="34"/>
        <v>289.36994109443964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5.8890909090909096</v>
      </c>
      <c r="AI6" s="13">
        <f>IF('Données projet'!$A$62&gt;35,AI5+AH6-AQ5,IF(A6&lt;'Données projet'!$A$62,$AF$205^A6,IF(A6='Données projet'!$A$62,'Données projet'!$B$62,AI5+AH6-AQ5)))</f>
        <v>1.9411728970518403</v>
      </c>
      <c r="AJ6" s="13">
        <f>AI6*VLOOKUP('Données projet'!$B$10,Paramètres!$A$1:$I$89,3,0)*VLOOKUP('Données projet'!$B$10,Paramètres!$A$1:$I$89,5,0)</f>
        <v>1.1608213924370006</v>
      </c>
      <c r="AK6" s="13">
        <f t="shared" si="35"/>
        <v>0.52574938695127893</v>
      </c>
      <c r="AL6" s="20">
        <f t="shared" si="4"/>
        <v>2.9374441074345867</v>
      </c>
      <c r="AM6" s="59">
        <f t="shared" si="5"/>
        <v>263.27077744076792</v>
      </c>
      <c r="AN6" s="59">
        <f ca="1">AVERAGE(OFFSET($AM$3,0,0,'Données projet'!$E$10+1,1))-AVERAGE(OFFSET($H$3,0,0,'Données projet'!$E$10+1,1))</f>
        <v>349.71285006949597</v>
      </c>
      <c r="AO6" s="59">
        <f t="shared" si="36"/>
        <v>258.51550516456842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7.2723529411764707</v>
      </c>
      <c r="BD6" s="12">
        <f>IF('Données projet'!$A$88&gt;35,BD5+BC6-BL5,IF(A6&lt;'Données projet'!$A$88,$BA$205^A6,IF(A6='Données projet'!$A$88,'Données projet'!$B$88,BD5+BC6-BL5)))</f>
        <v>2.3399055626403502</v>
      </c>
      <c r="BE6" s="13">
        <f>BD6*VLOOKUP('Données projet'!$B$11,Paramètres!$A$1:$I$89,3,0)*VLOOKUP('Données projet'!$B$11,Paramètres!$A$1:$I$89,5,0)</f>
        <v>1.3992635264589295</v>
      </c>
      <c r="BF6" s="13">
        <f t="shared" si="37"/>
        <v>0.62011020047287035</v>
      </c>
      <c r="BG6" s="20">
        <f t="shared" si="7"/>
        <v>3.5170759077395513</v>
      </c>
      <c r="BH6" s="59">
        <f t="shared" si="8"/>
        <v>263.85040924107284</v>
      </c>
      <c r="BI6" s="59">
        <f ca="1">AVERAGE(OFFSET($BH$3,0,0,'Données projet'!$E$11+1,1))-AVERAGE(OFFSET($H$3,0,0,'Données projet'!$E$11+1,1))</f>
        <v>302.00825291248458</v>
      </c>
      <c r="BJ6" s="59">
        <f t="shared" si="38"/>
        <v>307.35115839449355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7.7715686274509812</v>
      </c>
      <c r="BY6" s="12">
        <f>IF('Données projet'!$A$114&gt;35,BY5+BX6-CG5,IF(A6&lt;'Données projet'!$A$114,$BV$205^A6,IF(A6='Données projet'!$A$114,'Données projet'!$B$114,BY5+BX6-CG5)))</f>
        <v>23.314705882352943</v>
      </c>
      <c r="BZ6" s="13">
        <f>BY6*VLOOKUP('Données projet'!$B$12,Paramètres!$A$1:$I$89,3,0)*VLOOKUP('Données projet'!$B$12,Paramètres!$A$1:$I$89,5,0)</f>
        <v>10.911282352941177</v>
      </c>
      <c r="CA6" s="13">
        <f t="shared" si="39"/>
        <v>3.8073176895056275</v>
      </c>
      <c r="CB6" s="20">
        <f t="shared" si="10"/>
        <v>25.634895073928181</v>
      </c>
      <c r="CC6" s="59">
        <f t="shared" si="11"/>
        <v>285.96822840726151</v>
      </c>
      <c r="CD6" s="59">
        <f ca="1">AVERAGE(OFFSET($CC$3,0,0,'Données projet'!$E$12+1,1))-AVERAGE(OFFSET($H$3,0,0,'Données projet'!$E$12+1,1))</f>
        <v>337.10499990421835</v>
      </c>
      <c r="CE6" s="59">
        <f t="shared" si="40"/>
        <v>277.4254079562175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3.3603333333333336</v>
      </c>
      <c r="CT6" s="12">
        <f>IF('Données projet'!$A$140&gt;35,CT5+CS6-DB5,IF(A6&lt;'Données projet'!$A$140,$CQ$205^A6,IF(A6='Données projet'!$A$140,'Données projet'!$B$140,CT5+CS6-DB5)))</f>
        <v>10.081000000000001</v>
      </c>
      <c r="CU6" s="17">
        <f>CT6*VLOOKUP('Données projet'!$B$13,Paramètres!$A$1:$I$89,3,0)*VLOOKUP('Données projet'!$B$13,Paramètres!$A$1:$I$89,5,0)</f>
        <v>10.064870400000002</v>
      </c>
      <c r="CV6" s="13">
        <f t="shared" si="41"/>
        <v>3.5451399063767561</v>
      </c>
      <c r="CW6" s="20">
        <f t="shared" si="13"/>
        <v>23.704101283606182</v>
      </c>
      <c r="CX6" s="59">
        <f t="shared" si="14"/>
        <v>284.03743461693949</v>
      </c>
      <c r="CY6" s="59">
        <f ca="1">AVERAGE(OFFSET($CX$3,0,0,'Données projet'!$E$13+1,1))-AVERAGE(OFFSET($H$3,0,0,'Données projet'!$E$13+1,1))</f>
        <v>525.74725170626471</v>
      </c>
      <c r="CZ6" s="59">
        <f t="shared" si="42"/>
        <v>259.19103598192197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4.5856818181818184</v>
      </c>
      <c r="DO6" s="12">
        <f>IF('Données projet'!$A$166&gt;35,DO5+DN6-DW5,IF(A6&lt;'Données projet'!$A$166,$DL$205^A6,IF(A6='Données projet'!$A$166,'Données projet'!$B$166,DO5+DN6-DW5)))</f>
        <v>13.757045454545455</v>
      </c>
      <c r="DP6" s="17">
        <f>DO6*VLOOKUP('Données projet'!$B$14,Paramètres!$A$1:$I$89,3,0)*VLOOKUP('Données projet'!$B$14,Paramètres!$A$1:$I$89,5,0)</f>
        <v>12.447374727272727</v>
      </c>
      <c r="DQ6" s="13">
        <f t="shared" si="43"/>
        <v>4.2772317039887771</v>
      </c>
      <c r="DR6" s="20">
        <f t="shared" si="16"/>
        <v>29.128689534447123</v>
      </c>
      <c r="DS6" s="59">
        <f t="shared" si="17"/>
        <v>289.46202286778043</v>
      </c>
      <c r="DT6" s="59">
        <f ca="1">AVERAGE(OFFSET($DS$3,0,0,'Données projet'!$E$14+1,1))-AVERAGE(OFFSET($H$3,0,0,'Données projet'!$E$14+1,1))</f>
        <v>490.06222615476065</v>
      </c>
      <c r="DU6" s="59">
        <f t="shared" si="44"/>
        <v>310.43914804089906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3.3603333333333336</v>
      </c>
      <c r="EJ6" s="12">
        <f>IF('Données projet'!$A$192&gt;35,EJ5+EI6-ER5,IF(A6&lt;'Données projet'!$A$192,$EG$205^A6,IF(A6='Données projet'!$A$192,'Données projet'!$B$192,EJ5+EI6-ER5)))</f>
        <v>10.081000000000001</v>
      </c>
      <c r="EK6" s="17">
        <f>EJ6*VLOOKUP('Données projet'!$B$15,Paramètres!$A$1:$I$89,3,0)*VLOOKUP('Données projet'!$B$15,Paramètres!$A$1:$I$89,5,0)</f>
        <v>10.222134000000002</v>
      </c>
      <c r="EL6" s="13">
        <f t="shared" si="45"/>
        <v>3.594040741454803</v>
      </c>
      <c r="EM6" s="20">
        <f t="shared" si="19"/>
        <v>24.063171008033788</v>
      </c>
      <c r="EN6" s="59">
        <f t="shared" si="20"/>
        <v>284.39650434136712</v>
      </c>
      <c r="EO6" s="59">
        <f ca="1">AVERAGE(OFFSET($EN$3,0,0,'Données projet'!$E$15+1,1))-AVERAGE(OFFSET($H$3,0,0,'Données projet'!$E$15+1,1))</f>
        <v>533.26035274112917</v>
      </c>
      <c r="EP6" s="59">
        <f t="shared" si="46"/>
        <v>262.58149402282521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1.1538461538461537</v>
      </c>
      <c r="FE6" s="12">
        <f>IF('Données projet'!$A$218&gt;35,FE5+FD6-FM5,IF(A6&lt;'Données projet'!$A$218,$FB$205^A6,IF(A6='Données projet'!$A$218,'Données projet'!$B$218,FE5+FD6-FM5)))</f>
        <v>2.082784667907069</v>
      </c>
      <c r="FF6" s="17">
        <f>FE6*VLOOKUP('Données projet'!$B$16,Paramètres!$A$1:$I$89,3,0)*VLOOKUP('Données projet'!$B$16,Paramètres!$A$1:$I$89,5,0)</f>
        <v>2.1769265348964688</v>
      </c>
      <c r="FG6" s="13">
        <f t="shared" si="47"/>
        <v>0.9163699153634669</v>
      </c>
      <c r="FH6" s="20">
        <f t="shared" si="22"/>
        <v>5.3874913175360541</v>
      </c>
      <c r="FI6" s="59">
        <f t="shared" si="23"/>
        <v>265.72082465086936</v>
      </c>
      <c r="FJ6" s="59">
        <f ca="1">AVERAGE(OFFSET($FI$3,0,0,'Données projet'!$E$16+1,1))-AVERAGE(OFFSET($H$3,0,0,'Données projet'!$E$16+1,1))</f>
        <v>239.26156489359892</v>
      </c>
      <c r="FK6" s="59">
        <f t="shared" si="48"/>
        <v>213.97034450798111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4.016578947368421</v>
      </c>
      <c r="N7" s="13">
        <f>IF('Données projet'!$A$36&gt;35,N6+M7-V6,IF(A7&lt;'Données projet'!$A$36,$K$205^A7,IF(A7='Données projet'!$A$36,'Données projet'!$B$36,N6+M7-V6)))</f>
        <v>16.066315789473684</v>
      </c>
      <c r="O7" s="13">
        <f>N7*VLOOKUP('Données projet'!$B$9,Paramètres!$A$1:$I$89,3,0)*VLOOKUP('Données projet'!$B$9,Paramètres!$A$1:$I$89,5,0)</f>
        <v>15.288706105263158</v>
      </c>
      <c r="P7" s="13">
        <f t="shared" si="33"/>
        <v>5.1293465733249333</v>
      </c>
      <c r="Q7" s="20">
        <f t="shared" si="2"/>
        <v>35.561441748540922</v>
      </c>
      <c r="R7" s="59">
        <f t="shared" si="0"/>
        <v>297.11699730409646</v>
      </c>
      <c r="S7" s="59">
        <f ca="1">AVERAGE(OFFSET($R$3,0,0,'Données projet'!$E$9+1,1))-AVERAGE(OFFSET($H$3,0,0,'Données projet'!$E$9+1,1))</f>
        <v>449.28947235329758</v>
      </c>
      <c r="T7" s="59">
        <f t="shared" si="34"/>
        <v>289.36994109443964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5.8890909090909096</v>
      </c>
      <c r="AI7" s="13">
        <f>IF('Données projet'!$A$62&gt;35,AI6+AH7-AQ6,IF(A7&lt;'Données projet'!$A$62,$AF$205^A7,IF(A7='Données projet'!$A$62,'Données projet'!$B$62,AI6+AH7-AQ6)))</f>
        <v>2.4215064229566203</v>
      </c>
      <c r="AJ7" s="13">
        <f>AI7*VLOOKUP('Données projet'!$B$10,Paramètres!$A$1:$I$89,3,0)*VLOOKUP('Données projet'!$B$10,Paramètres!$A$1:$I$89,5,0)</f>
        <v>1.4480608409280591</v>
      </c>
      <c r="AK7" s="13">
        <f t="shared" si="35"/>
        <v>0.63918016510585218</v>
      </c>
      <c r="AL7" s="20">
        <f t="shared" si="4"/>
        <v>3.6352780855090621</v>
      </c>
      <c r="AM7" s="59">
        <f t="shared" si="5"/>
        <v>265.19083364106461</v>
      </c>
      <c r="AN7" s="59">
        <f ca="1">AVERAGE(OFFSET($AM$3,0,0,'Données projet'!$E$10+1,1))-AVERAGE(OFFSET($H$3,0,0,'Données projet'!$E$10+1,1))</f>
        <v>349.71285006949597</v>
      </c>
      <c r="AO7" s="59">
        <f t="shared" si="36"/>
        <v>258.51550516456842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7.2723529411764707</v>
      </c>
      <c r="BD7" s="12">
        <f>IF('Données projet'!$A$88&gt;35,BD6+BC7-BL6,IF(A7&lt;'Données projet'!$A$88,$BA$205^A7,IF(A7='Données projet'!$A$88,'Données projet'!$B$88,BD6+BC7-BL6)))</f>
        <v>3.1064505151662831</v>
      </c>
      <c r="BE7" s="13">
        <f>BD7*VLOOKUP('Données projet'!$B$11,Paramètres!$A$1:$I$89,3,0)*VLOOKUP('Données projet'!$B$11,Paramètres!$A$1:$I$89,5,0)</f>
        <v>1.8576574080694375</v>
      </c>
      <c r="BF7" s="13">
        <f t="shared" si="37"/>
        <v>0.7965445858815392</v>
      </c>
      <c r="BG7" s="20">
        <f t="shared" si="7"/>
        <v>4.6227351394646172</v>
      </c>
      <c r="BH7" s="59">
        <f t="shared" si="8"/>
        <v>266.17829069502017</v>
      </c>
      <c r="BI7" s="59">
        <f ca="1">AVERAGE(OFFSET($BH$3,0,0,'Données projet'!$E$11+1,1))-AVERAGE(OFFSET($H$3,0,0,'Données projet'!$E$11+1,1))</f>
        <v>302.00825291248458</v>
      </c>
      <c r="BJ7" s="59">
        <f t="shared" si="38"/>
        <v>307.35115839449355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7.7715686274509812</v>
      </c>
      <c r="BY7" s="12">
        <f>IF('Données projet'!$A$114&gt;35,BY6+BX7-CG6,IF(A7&lt;'Données projet'!$A$114,$BV$205^A7,IF(A7='Données projet'!$A$114,'Données projet'!$B$114,BY6+BX7-CG6)))</f>
        <v>31.086274509803925</v>
      </c>
      <c r="BZ7" s="13">
        <f>BY7*VLOOKUP('Données projet'!$B$12,Paramètres!$A$1:$I$89,3,0)*VLOOKUP('Données projet'!$B$12,Paramètres!$A$1:$I$89,5,0)</f>
        <v>14.548376470588236</v>
      </c>
      <c r="CA7" s="13">
        <f t="shared" si="39"/>
        <v>4.9092481407148947</v>
      </c>
      <c r="CB7" s="20">
        <f t="shared" si="10"/>
        <v>33.888696198019623</v>
      </c>
      <c r="CC7" s="59">
        <f t="shared" si="11"/>
        <v>295.44425175357514</v>
      </c>
      <c r="CD7" s="59">
        <f ca="1">AVERAGE(OFFSET($CC$3,0,0,'Données projet'!$E$12+1,1))-AVERAGE(OFFSET($H$3,0,0,'Données projet'!$E$12+1,1))</f>
        <v>337.10499990421835</v>
      </c>
      <c r="CE7" s="59">
        <f t="shared" si="40"/>
        <v>277.4254079562175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3.3603333333333336</v>
      </c>
      <c r="CT7" s="12">
        <f>IF('Données projet'!$A$140&gt;35,CT6+CS7-DB6,IF(A7&lt;'Données projet'!$A$140,$CQ$205^A7,IF(A7='Données projet'!$A$140,'Données projet'!$B$140,CT6+CS7-DB6)))</f>
        <v>13.441333333333334</v>
      </c>
      <c r="CU7" s="17">
        <f>CT7*VLOOKUP('Données projet'!$B$13,Paramètres!$A$1:$I$89,3,0)*VLOOKUP('Données projet'!$B$13,Paramètres!$A$1:$I$89,5,0)</f>
        <v>13.419827200000002</v>
      </c>
      <c r="CV7" s="13">
        <f t="shared" si="41"/>
        <v>4.5711897228660572</v>
      </c>
      <c r="CW7" s="20">
        <f t="shared" si="13"/>
        <v>31.33435447399172</v>
      </c>
      <c r="CX7" s="59">
        <f t="shared" si="14"/>
        <v>292.88991002954725</v>
      </c>
      <c r="CY7" s="59">
        <f ca="1">AVERAGE(OFFSET($CX$3,0,0,'Données projet'!$E$13+1,1))-AVERAGE(OFFSET($H$3,0,0,'Données projet'!$E$13+1,1))</f>
        <v>525.74725170626471</v>
      </c>
      <c r="CZ7" s="59">
        <f t="shared" si="42"/>
        <v>259.19103598192197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4.5856818181818184</v>
      </c>
      <c r="DO7" s="12">
        <f>IF('Données projet'!$A$166&gt;35,DO6+DN7-DW6,IF(A7&lt;'Données projet'!$A$166,$DL$205^A7,IF(A7='Données projet'!$A$166,'Données projet'!$B$166,DO6+DN7-DW6)))</f>
        <v>18.342727272727274</v>
      </c>
      <c r="DP7" s="17">
        <f>DO7*VLOOKUP('Données projet'!$B$14,Paramètres!$A$1:$I$89,3,0)*VLOOKUP('Données projet'!$B$14,Paramètres!$A$1:$I$89,5,0)</f>
        <v>16.596499636363635</v>
      </c>
      <c r="DQ7" s="13">
        <f t="shared" si="43"/>
        <v>5.5151667138499949</v>
      </c>
      <c r="DR7" s="20">
        <f t="shared" si="16"/>
        <v>38.511152226622073</v>
      </c>
      <c r="DS7" s="59">
        <f t="shared" si="17"/>
        <v>300.06670778217762</v>
      </c>
      <c r="DT7" s="59">
        <f ca="1">AVERAGE(OFFSET($DS$3,0,0,'Données projet'!$E$14+1,1))-AVERAGE(OFFSET($H$3,0,0,'Données projet'!$E$14+1,1))</f>
        <v>490.06222615476065</v>
      </c>
      <c r="DU7" s="59">
        <f t="shared" si="44"/>
        <v>310.43914804089906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3.3603333333333336</v>
      </c>
      <c r="EJ7" s="12">
        <f>IF('Données projet'!$A$192&gt;35,EJ6+EI7-ER6,IF(A7&lt;'Données projet'!$A$192,$EG$205^A7,IF(A7='Données projet'!$A$192,'Données projet'!$B$192,EJ6+EI7-ER6)))</f>
        <v>13.441333333333334</v>
      </c>
      <c r="EK7" s="17">
        <f>EJ7*VLOOKUP('Données projet'!$B$15,Paramètres!$A$1:$I$89,3,0)*VLOOKUP('Données projet'!$B$15,Paramètres!$A$1:$I$89,5,0)</f>
        <v>13.629512000000002</v>
      </c>
      <c r="EL7" s="13">
        <f t="shared" si="45"/>
        <v>4.6342436503982958</v>
      </c>
      <c r="EM7" s="20">
        <f t="shared" si="19"/>
        <v>31.8093744244437</v>
      </c>
      <c r="EN7" s="59">
        <f t="shared" si="20"/>
        <v>293.36492997999926</v>
      </c>
      <c r="EO7" s="59">
        <f ca="1">AVERAGE(OFFSET($EN$3,0,0,'Données projet'!$E$15+1,1))-AVERAGE(OFFSET($H$3,0,0,'Données projet'!$E$15+1,1))</f>
        <v>533.26035274112917</v>
      </c>
      <c r="EP7" s="59">
        <f t="shared" si="46"/>
        <v>262.58149402282521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1.1538461538461537</v>
      </c>
      <c r="FE7" s="12">
        <f>IF('Données projet'!$A$218&gt;35,FE6+FD7-FM6,IF(A7&lt;'Données projet'!$A$218,$FB$205^A7,IF(A7='Données projet'!$A$218,'Données projet'!$B$218,FE6+FD7-FM6)))</f>
        <v>2.6598623535098493</v>
      </c>
      <c r="FF7" s="17">
        <f>FE7*VLOOKUP('Données projet'!$B$16,Paramètres!$A$1:$I$89,3,0)*VLOOKUP('Données projet'!$B$16,Paramètres!$A$1:$I$89,5,0)</f>
        <v>2.7800881318884949</v>
      </c>
      <c r="FG7" s="13">
        <f t="shared" si="47"/>
        <v>1.1374235391631071</v>
      </c>
      <c r="FH7" s="20">
        <f t="shared" si="22"/>
        <v>6.822999493748207</v>
      </c>
      <c r="FI7" s="59">
        <f t="shared" si="23"/>
        <v>268.37855504930377</v>
      </c>
      <c r="FJ7" s="59">
        <f ca="1">AVERAGE(OFFSET($FI$3,0,0,'Données projet'!$E$16+1,1))-AVERAGE(OFFSET($H$3,0,0,'Données projet'!$E$16+1,1))</f>
        <v>239.26156489359892</v>
      </c>
      <c r="FK7" s="59">
        <f t="shared" si="48"/>
        <v>213.97034450798111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4.016578947368421</v>
      </c>
      <c r="N8" s="13">
        <f>IF('Données projet'!$A$36&gt;35,N7+M8-V7,IF(A8&lt;'Données projet'!$A$36,$K$205^A8,IF(A8='Données projet'!$A$36,'Données projet'!$B$36,N7+M8-V7)))</f>
        <v>20.082894736842107</v>
      </c>
      <c r="O8" s="13">
        <f>N8*VLOOKUP('Données projet'!$B$9,Paramètres!$A$1:$I$89,3,0)*VLOOKUP('Données projet'!$B$9,Paramètres!$A$1:$I$89,5,0)</f>
        <v>19.110882631578949</v>
      </c>
      <c r="P8" s="13">
        <f t="shared" si="33"/>
        <v>6.2472909350549983</v>
      </c>
      <c r="Q8" s="20">
        <f t="shared" si="2"/>
        <v>44.16548562855413</v>
      </c>
      <c r="R8" s="59">
        <f t="shared" si="0"/>
        <v>306.94326340633188</v>
      </c>
      <c r="S8" s="59">
        <f ca="1">AVERAGE(OFFSET($R$3,0,0,'Données projet'!$E$9+1,1))-AVERAGE(OFFSET($H$3,0,0,'Données projet'!$E$9+1,1))</f>
        <v>449.28947235329758</v>
      </c>
      <c r="T8" s="59">
        <f t="shared" si="34"/>
        <v>289.36994109443964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5.8890909090909096</v>
      </c>
      <c r="AI8" s="13">
        <f>IF('Données projet'!$A$62&gt;35,AI7+AH8-AQ7,IF(A8&lt;'Données projet'!$A$62,$AF$205^A8,IF(A8='Données projet'!$A$62,'Données projet'!$B$62,AI7+AH8-AQ7)))</f>
        <v>3.0206960777814591</v>
      </c>
      <c r="AJ8" s="13">
        <f>AI8*VLOOKUP('Données projet'!$B$10,Paramètres!$A$1:$I$89,3,0)*VLOOKUP('Données projet'!$B$10,Paramètres!$A$1:$I$89,5,0)</f>
        <v>1.8063762545133126</v>
      </c>
      <c r="AK8" s="13">
        <f t="shared" si="35"/>
        <v>0.77708370871120902</v>
      </c>
      <c r="AL8" s="20">
        <f t="shared" si="4"/>
        <v>4.4995261026160422</v>
      </c>
      <c r="AM8" s="59">
        <f t="shared" si="5"/>
        <v>267.27730388039379</v>
      </c>
      <c r="AN8" s="59">
        <f ca="1">AVERAGE(OFFSET($AM$3,0,0,'Données projet'!$E$10+1,1))-AVERAGE(OFFSET($H$3,0,0,'Données projet'!$E$10+1,1))</f>
        <v>349.71285006949597</v>
      </c>
      <c r="AO8" s="59">
        <f t="shared" si="36"/>
        <v>258.51550516456842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7.2723529411764707</v>
      </c>
      <c r="BD8" s="12">
        <f>IF('Données projet'!$A$88&gt;35,BD7+BC8-BL7,IF(A8&lt;'Données projet'!$A$88,$BA$205^A8,IF(A8='Données projet'!$A$88,'Données projet'!$B$88,BD7+BC8-BL7)))</f>
        <v>4.1241129373989613</v>
      </c>
      <c r="BE8" s="13">
        <f>BD8*VLOOKUP('Données projet'!$B$11,Paramètres!$A$1:$I$89,3,0)*VLOOKUP('Données projet'!$B$11,Paramètres!$A$1:$I$89,5,0)</f>
        <v>2.4662195365645792</v>
      </c>
      <c r="BF8" s="13">
        <f t="shared" si="37"/>
        <v>1.0231782622078491</v>
      </c>
      <c r="BG8" s="20">
        <f t="shared" si="7"/>
        <v>6.0773678328619782</v>
      </c>
      <c r="BH8" s="59">
        <f t="shared" si="8"/>
        <v>268.85514561063974</v>
      </c>
      <c r="BI8" s="59">
        <f ca="1">AVERAGE(OFFSET($BH$3,0,0,'Données projet'!$E$11+1,1))-AVERAGE(OFFSET($H$3,0,0,'Données projet'!$E$11+1,1))</f>
        <v>302.00825291248458</v>
      </c>
      <c r="BJ8" s="59">
        <f t="shared" si="38"/>
        <v>307.35115839449355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7.7715686274509812</v>
      </c>
      <c r="BY8" s="12">
        <f>IF('Données projet'!$A$114&gt;35,BY7+BX8-CG7,IF(A8&lt;'Données projet'!$A$114,$BV$205^A8,IF(A8='Données projet'!$A$114,'Données projet'!$B$114,BY7+BX8-CG7)))</f>
        <v>38.857843137254903</v>
      </c>
      <c r="BZ8" s="13">
        <f>BY8*VLOOKUP('Données projet'!$B$12,Paramètres!$A$1:$I$89,3,0)*VLOOKUP('Données projet'!$B$12,Paramètres!$A$1:$I$89,5,0)</f>
        <v>18.185470588235294</v>
      </c>
      <c r="CA8" s="13">
        <f t="shared" si="39"/>
        <v>5.9792219084824367</v>
      </c>
      <c r="CB8" s="20">
        <f t="shared" si="10"/>
        <v>42.086839431783375</v>
      </c>
      <c r="CC8" s="59">
        <f t="shared" si="11"/>
        <v>304.86461720956117</v>
      </c>
      <c r="CD8" s="59">
        <f ca="1">AVERAGE(OFFSET($CC$3,0,0,'Données projet'!$E$12+1,1))-AVERAGE(OFFSET($H$3,0,0,'Données projet'!$E$12+1,1))</f>
        <v>337.10499990421835</v>
      </c>
      <c r="CE8" s="59">
        <f t="shared" si="40"/>
        <v>277.4254079562175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3.3603333333333336</v>
      </c>
      <c r="CT8" s="12">
        <f>IF('Données projet'!$A$140&gt;35,CT7+CS8-DB7,IF(A8&lt;'Données projet'!$A$140,$CQ$205^A8,IF(A8='Données projet'!$A$140,'Données projet'!$B$140,CT7+CS8-DB7)))</f>
        <v>16.801666666666669</v>
      </c>
      <c r="CU8" s="17">
        <f>CT8*VLOOKUP('Données projet'!$B$13,Paramètres!$A$1:$I$89,3,0)*VLOOKUP('Données projet'!$B$13,Paramètres!$A$1:$I$89,5,0)</f>
        <v>16.774784000000004</v>
      </c>
      <c r="CV8" s="13">
        <f t="shared" si="41"/>
        <v>5.5674834425481539</v>
      </c>
      <c r="CW8" s="20">
        <f t="shared" si="13"/>
        <v>38.912782462438038</v>
      </c>
      <c r="CX8" s="59">
        <f t="shared" si="14"/>
        <v>301.6905602402158</v>
      </c>
      <c r="CY8" s="59">
        <f ca="1">AVERAGE(OFFSET($CX$3,0,0,'Données projet'!$E$13+1,1))-AVERAGE(OFFSET($H$3,0,0,'Données projet'!$E$13+1,1))</f>
        <v>525.74725170626471</v>
      </c>
      <c r="CZ8" s="59">
        <f t="shared" si="42"/>
        <v>259.19103598192197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4.5856818181818184</v>
      </c>
      <c r="DO8" s="12">
        <f>IF('Données projet'!$A$166&gt;35,DO7+DN8-DW7,IF(A8&lt;'Données projet'!$A$166,$DL$205^A8,IF(A8='Données projet'!$A$166,'Données projet'!$B$166,DO7+DN8-DW7)))</f>
        <v>22.928409090909092</v>
      </c>
      <c r="DP8" s="17">
        <f>DO8*VLOOKUP('Données projet'!$B$14,Paramètres!$A$1:$I$89,3,0)*VLOOKUP('Données projet'!$B$14,Paramètres!$A$1:$I$89,5,0)</f>
        <v>20.745624545454547</v>
      </c>
      <c r="DQ8" s="13">
        <f t="shared" si="43"/>
        <v>6.7172008216278272</v>
      </c>
      <c r="DR8" s="20">
        <f t="shared" si="16"/>
        <v>47.831087514335131</v>
      </c>
      <c r="DS8" s="59">
        <f t="shared" si="17"/>
        <v>310.60886529211291</v>
      </c>
      <c r="DT8" s="59">
        <f ca="1">AVERAGE(OFFSET($DS$3,0,0,'Données projet'!$E$14+1,1))-AVERAGE(OFFSET($H$3,0,0,'Données projet'!$E$14+1,1))</f>
        <v>490.06222615476065</v>
      </c>
      <c r="DU8" s="59">
        <f t="shared" si="44"/>
        <v>310.43914804089906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3.3603333333333336</v>
      </c>
      <c r="EJ8" s="12">
        <f>IF('Données projet'!$A$192&gt;35,EJ7+EI8-ER7,IF(A8&lt;'Données projet'!$A$192,$EG$205^A8,IF(A8='Données projet'!$A$192,'Données projet'!$B$192,EJ7+EI8-ER7)))</f>
        <v>16.801666666666669</v>
      </c>
      <c r="EK8" s="17">
        <f>EJ8*VLOOKUP('Données projet'!$B$15,Paramètres!$A$1:$I$89,3,0)*VLOOKUP('Données projet'!$B$15,Paramètres!$A$1:$I$89,5,0)</f>
        <v>17.036890000000003</v>
      </c>
      <c r="EL8" s="13">
        <f t="shared" si="45"/>
        <v>5.6442800138581015</v>
      </c>
      <c r="EM8" s="20">
        <f t="shared" si="19"/>
        <v>39.503037774136196</v>
      </c>
      <c r="EN8" s="59">
        <f t="shared" si="20"/>
        <v>302.28081555191397</v>
      </c>
      <c r="EO8" s="59">
        <f ca="1">AVERAGE(OFFSET($EN$3,0,0,'Données projet'!$E$15+1,1))-AVERAGE(OFFSET($H$3,0,0,'Données projet'!$E$15+1,1))</f>
        <v>533.26035274112917</v>
      </c>
      <c r="EP8" s="59">
        <f t="shared" si="46"/>
        <v>262.58149402282521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1.1538461538461537</v>
      </c>
      <c r="FE8" s="12">
        <f>IF('Données projet'!$A$218&gt;35,FE7+FD8-FM7,IF(A8&lt;'Données projet'!$A$218,$FB$205^A8,IF(A8='Données projet'!$A$218,'Données projet'!$B$218,FE7+FD8-FM7)))</f>
        <v>3.3968311024337861</v>
      </c>
      <c r="FF8" s="17">
        <f>FE8*VLOOKUP('Données projet'!$B$16,Paramètres!$A$1:$I$89,3,0)*VLOOKUP('Données projet'!$B$16,Paramètres!$A$1:$I$89,5,0)</f>
        <v>3.5503678682637934</v>
      </c>
      <c r="FG8" s="13">
        <f t="shared" si="47"/>
        <v>1.4118013760078378</v>
      </c>
      <c r="FH8" s="20">
        <f t="shared" si="22"/>
        <v>8.6424447671064257</v>
      </c>
      <c r="FI8" s="59">
        <f t="shared" si="23"/>
        <v>271.42022254488421</v>
      </c>
      <c r="FJ8" s="59">
        <f ca="1">AVERAGE(OFFSET($FI$3,0,0,'Données projet'!$E$16+1,1))-AVERAGE(OFFSET($H$3,0,0,'Données projet'!$E$16+1,1))</f>
        <v>239.26156489359892</v>
      </c>
      <c r="FK8" s="59">
        <f t="shared" si="48"/>
        <v>213.97034450798111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4.016578947368421</v>
      </c>
      <c r="N9" s="13">
        <f>IF('Données projet'!$A$36&gt;35,N8+M9-V8,IF(A9&lt;'Données projet'!$A$36,$K$205^A9,IF(A9='Données projet'!$A$36,'Données projet'!$B$36,N8+M9-V8)))</f>
        <v>24.09947368421053</v>
      </c>
      <c r="O9" s="13">
        <f>N9*VLOOKUP('Données projet'!$B$9,Paramètres!$A$1:$I$89,3,0)*VLOOKUP('Données projet'!$B$9,Paramètres!$A$1:$I$89,5,0)</f>
        <v>22.933059157894743</v>
      </c>
      <c r="P9" s="13">
        <f t="shared" si="33"/>
        <v>7.3393277186968353</v>
      </c>
      <c r="Q9" s="20">
        <f t="shared" si="2"/>
        <v>52.724407143396995</v>
      </c>
      <c r="R9" s="59">
        <f t="shared" si="0"/>
        <v>316.724407143397</v>
      </c>
      <c r="S9" s="59">
        <f ca="1">AVERAGE(OFFSET($R$3,0,0,'Données projet'!$E$9+1,1))-AVERAGE(OFFSET($H$3,0,0,'Données projet'!$E$9+1,1))</f>
        <v>449.28947235329758</v>
      </c>
      <c r="T9" s="59">
        <f t="shared" si="34"/>
        <v>289.36994109443964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5.8890909090909096</v>
      </c>
      <c r="AI9" s="13">
        <f>IF('Données projet'!$A$62&gt;35,AI8+AH9-AQ8,IF(A9&lt;'Données projet'!$A$62,$AF$205^A9,IF(A9='Données projet'!$A$62,'Données projet'!$B$62,AI8+AH9-AQ8)))</f>
        <v>3.7681522162486343</v>
      </c>
      <c r="AJ9" s="13">
        <f>AI9*VLOOKUP('Données projet'!$B$10,Paramètres!$A$1:$I$89,3,0)*VLOOKUP('Données projet'!$B$10,Paramètres!$A$1:$I$89,5,0)</f>
        <v>2.2533550253166834</v>
      </c>
      <c r="AK9" s="13">
        <f t="shared" si="35"/>
        <v>0.94474003310844989</v>
      </c>
      <c r="AL9" s="20">
        <f t="shared" si="4"/>
        <v>5.5700155600904404</v>
      </c>
      <c r="AM9" s="59">
        <f t="shared" si="5"/>
        <v>269.57001556009044</v>
      </c>
      <c r="AN9" s="59">
        <f ca="1">AVERAGE(OFFSET($AM$3,0,0,'Données projet'!$E$10+1,1))-AVERAGE(OFFSET($H$3,0,0,'Données projet'!$E$10+1,1))</f>
        <v>349.71285006949597</v>
      </c>
      <c r="AO9" s="59">
        <f t="shared" si="36"/>
        <v>258.51550516456842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7.2723529411764707</v>
      </c>
      <c r="BD9" s="12">
        <f>IF('Données projet'!$A$88&gt;35,BD8+BC9-BL8,IF(A9&lt;'Données projet'!$A$88,$BA$205^A9,IF(A9='Données projet'!$A$88,'Données projet'!$B$88,BD8+BC9-BL8)))</f>
        <v>5.4751580420752548</v>
      </c>
      <c r="BE9" s="13">
        <f>BD9*VLOOKUP('Données projet'!$B$11,Paramètres!$A$1:$I$89,3,0)*VLOOKUP('Données projet'!$B$11,Paramètres!$A$1:$I$89,5,0)</f>
        <v>3.2741445091610024</v>
      </c>
      <c r="BF9" s="13">
        <f t="shared" si="37"/>
        <v>1.3142939827983047</v>
      </c>
      <c r="BG9" s="20">
        <f t="shared" si="7"/>
        <v>7.9915303734957925</v>
      </c>
      <c r="BH9" s="59">
        <f t="shared" si="8"/>
        <v>271.99153037349578</v>
      </c>
      <c r="BI9" s="59">
        <f ca="1">AVERAGE(OFFSET($BH$3,0,0,'Données projet'!$E$11+1,1))-AVERAGE(OFFSET($H$3,0,0,'Données projet'!$E$11+1,1))</f>
        <v>302.00825291248458</v>
      </c>
      <c r="BJ9" s="59">
        <f t="shared" si="38"/>
        <v>307.35115839449355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7.7715686274509812</v>
      </c>
      <c r="BY9" s="12">
        <f>IF('Données projet'!$A$114&gt;35,BY8+BX9-CG8,IF(A9&lt;'Données projet'!$A$114,$BV$205^A9,IF(A9='Données projet'!$A$114,'Données projet'!$B$114,BY8+BX9-CG8)))</f>
        <v>46.629411764705885</v>
      </c>
      <c r="BZ9" s="13">
        <f>BY9*VLOOKUP('Données projet'!$B$12,Paramètres!$A$1:$I$89,3,0)*VLOOKUP('Données projet'!$B$12,Paramètres!$A$1:$I$89,5,0)</f>
        <v>21.822564705882353</v>
      </c>
      <c r="CA9" s="13">
        <f t="shared" si="39"/>
        <v>7.0243997831002556</v>
      </c>
      <c r="CB9" s="20">
        <f t="shared" si="10"/>
        <v>50.241796484978039</v>
      </c>
      <c r="CC9" s="59">
        <f t="shared" si="11"/>
        <v>314.24179648497807</v>
      </c>
      <c r="CD9" s="59">
        <f ca="1">AVERAGE(OFFSET($CC$3,0,0,'Données projet'!$E$12+1,1))-AVERAGE(OFFSET($H$3,0,0,'Données projet'!$E$12+1,1))</f>
        <v>337.10499990421835</v>
      </c>
      <c r="CE9" s="59">
        <f t="shared" si="40"/>
        <v>277.4254079562175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3.3603333333333336</v>
      </c>
      <c r="CT9" s="12">
        <f>IF('Données projet'!$A$140&gt;35,CT8+CS9-DB8,IF(A9&lt;'Données projet'!$A$140,$CQ$205^A9,IF(A9='Données projet'!$A$140,'Données projet'!$B$140,CT8+CS9-DB8)))</f>
        <v>20.162000000000003</v>
      </c>
      <c r="CU9" s="17">
        <f>CT9*VLOOKUP('Données projet'!$B$13,Paramètres!$A$1:$I$89,3,0)*VLOOKUP('Données projet'!$B$13,Paramètres!$A$1:$I$89,5,0)</f>
        <v>20.129740800000004</v>
      </c>
      <c r="CV9" s="13">
        <f t="shared" si="41"/>
        <v>6.540688752623236</v>
      </c>
      <c r="CW9" s="20">
        <f t="shared" si="13"/>
        <v>46.450998137485477</v>
      </c>
      <c r="CX9" s="59">
        <f t="shared" si="14"/>
        <v>310.4509981374855</v>
      </c>
      <c r="CY9" s="59">
        <f ca="1">AVERAGE(OFFSET($CX$3,0,0,'Données projet'!$E$13+1,1))-AVERAGE(OFFSET($H$3,0,0,'Données projet'!$E$13+1,1))</f>
        <v>525.74725170626471</v>
      </c>
      <c r="CZ9" s="59">
        <f t="shared" si="42"/>
        <v>259.19103598192197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4.5856818181818184</v>
      </c>
      <c r="DO9" s="12">
        <f>IF('Données projet'!$A$166&gt;35,DO8+DN9-DW8,IF(A9&lt;'Données projet'!$A$166,$DL$205^A9,IF(A9='Données projet'!$A$166,'Données projet'!$B$166,DO8+DN9-DW8)))</f>
        <v>27.51409090909091</v>
      </c>
      <c r="DP9" s="17">
        <f>DO9*VLOOKUP('Données projet'!$B$14,Paramètres!$A$1:$I$89,3,0)*VLOOKUP('Données projet'!$B$14,Paramètres!$A$1:$I$89,5,0)</f>
        <v>24.894749454545455</v>
      </c>
      <c r="DQ9" s="13">
        <f t="shared" si="43"/>
        <v>7.8913786303106157</v>
      </c>
      <c r="DR9" s="20">
        <f t="shared" si="16"/>
        <v>57.102506414457658</v>
      </c>
      <c r="DS9" s="59">
        <f t="shared" si="17"/>
        <v>321.10250641445765</v>
      </c>
      <c r="DT9" s="59">
        <f ca="1">AVERAGE(OFFSET($DS$3,0,0,'Données projet'!$E$14+1,1))-AVERAGE(OFFSET($H$3,0,0,'Données projet'!$E$14+1,1))</f>
        <v>490.06222615476065</v>
      </c>
      <c r="DU9" s="59">
        <f t="shared" si="44"/>
        <v>310.43914804089906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3.3603333333333336</v>
      </c>
      <c r="EJ9" s="12">
        <f>IF('Données projet'!$A$192&gt;35,EJ8+EI9-ER8,IF(A9&lt;'Données projet'!$A$192,$EG$205^A9,IF(A9='Données projet'!$A$192,'Données projet'!$B$192,EJ8+EI9-ER8)))</f>
        <v>20.162000000000003</v>
      </c>
      <c r="EK9" s="17">
        <f>EJ9*VLOOKUP('Données projet'!$B$15,Paramètres!$A$1:$I$89,3,0)*VLOOKUP('Données projet'!$B$15,Paramètres!$A$1:$I$89,5,0)</f>
        <v>20.444268000000005</v>
      </c>
      <c r="EL9" s="13">
        <f t="shared" si="45"/>
        <v>6.6309094915603763</v>
      </c>
      <c r="EM9" s="20">
        <f t="shared" si="19"/>
        <v>47.15593413113433</v>
      </c>
      <c r="EN9" s="59">
        <f t="shared" si="20"/>
        <v>311.15593413113436</v>
      </c>
      <c r="EO9" s="59">
        <f ca="1">AVERAGE(OFFSET($EN$3,0,0,'Données projet'!$E$15+1,1))-AVERAGE(OFFSET($H$3,0,0,'Données projet'!$E$15+1,1))</f>
        <v>533.26035274112917</v>
      </c>
      <c r="EP9" s="59">
        <f t="shared" si="46"/>
        <v>262.58149402282521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1.1538461538461537</v>
      </c>
      <c r="FE9" s="12">
        <f>IF('Données projet'!$A$218&gt;35,FE8+FD9-FM8,IF(A9&lt;'Données projet'!$A$218,$FB$205^A9,IF(A9='Données projet'!$A$218,'Données projet'!$B$218,FE8+FD9-FM8)))</f>
        <v>4.3379919728687586</v>
      </c>
      <c r="FF9" s="17">
        <f>FE9*VLOOKUP('Données projet'!$B$16,Paramètres!$A$1:$I$89,3,0)*VLOOKUP('Données projet'!$B$16,Paramètres!$A$1:$I$89,5,0)</f>
        <v>4.5340692100424276</v>
      </c>
      <c r="FG9" s="13">
        <f t="shared" si="47"/>
        <v>1.7523666925023973</v>
      </c>
      <c r="FH9" s="20">
        <f t="shared" si="22"/>
        <v>10.948875863598902</v>
      </c>
      <c r="FI9" s="59">
        <f t="shared" si="23"/>
        <v>274.94887586359891</v>
      </c>
      <c r="FJ9" s="59">
        <f ca="1">AVERAGE(OFFSET($FI$3,0,0,'Données projet'!$E$16+1,1))-AVERAGE(OFFSET($H$3,0,0,'Données projet'!$E$16+1,1))</f>
        <v>239.26156489359892</v>
      </c>
      <c r="FK9" s="59">
        <f t="shared" si="48"/>
        <v>213.97034450798111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4.016578947368421</v>
      </c>
      <c r="N10" s="13">
        <f>IF('Données projet'!$A$36&gt;35,N9+M10-V9,IF(A10&lt;'Données projet'!$A$36,$K$205^A10,IF(A10='Données projet'!$A$36,'Données projet'!$B$36,N9+M10-V9)))</f>
        <v>28.116052631578953</v>
      </c>
      <c r="O10" s="13">
        <f>N10*VLOOKUP('Données projet'!$B$9,Paramètres!$A$1:$I$89,3,0)*VLOOKUP('Données projet'!$B$9,Paramètres!$A$1:$I$89,5,0)</f>
        <v>26.755235684210533</v>
      </c>
      <c r="P10" s="13">
        <f t="shared" si="33"/>
        <v>8.4102801727490544</v>
      </c>
      <c r="Q10" s="20">
        <f t="shared" si="2"/>
        <v>61.246606784204609</v>
      </c>
      <c r="R10" s="59">
        <f t="shared" si="0"/>
        <v>326.46882900642686</v>
      </c>
      <c r="S10" s="59">
        <f ca="1">AVERAGE(OFFSET($R$3,0,0,'Données projet'!$E$9+1,1))-AVERAGE(OFFSET($H$3,0,0,'Données projet'!$E$9+1,1))</f>
        <v>449.28947235329758</v>
      </c>
      <c r="T10" s="59">
        <f t="shared" si="34"/>
        <v>289.36994109443964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5.8890909090909096</v>
      </c>
      <c r="AI10" s="13">
        <f>IF('Données projet'!$A$62&gt;35,AI9+AH10-AQ9,IF(A10&lt;'Données projet'!$A$62,$AF$205^A10,IF(A10='Données projet'!$A$62,'Données projet'!$B$62,AI9+AH10-AQ9)))</f>
        <v>4.7005626382803412</v>
      </c>
      <c r="AJ10" s="13">
        <f>AI10*VLOOKUP('Données projet'!$B$10,Paramètres!$A$1:$I$89,3,0)*VLOOKUP('Données projet'!$B$10,Paramètres!$A$1:$I$89,5,0)</f>
        <v>2.8109364576916445</v>
      </c>
      <c r="AK10" s="13">
        <f t="shared" si="35"/>
        <v>1.1485683204426194</v>
      </c>
      <c r="AL10" s="20">
        <f t="shared" si="4"/>
        <v>6.8961374885838422</v>
      </c>
      <c r="AM10" s="59">
        <f t="shared" si="5"/>
        <v>272.11835971080609</v>
      </c>
      <c r="AN10" s="59">
        <f ca="1">AVERAGE(OFFSET($AM$3,0,0,'Données projet'!$E$10+1,1))-AVERAGE(OFFSET($H$3,0,0,'Données projet'!$E$10+1,1))</f>
        <v>349.71285006949597</v>
      </c>
      <c r="AO10" s="59">
        <f t="shared" si="36"/>
        <v>258.51550516456842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7.2723529411764707</v>
      </c>
      <c r="BD10" s="12">
        <f>IF('Données projet'!$A$88&gt;35,BD9+BC10-BL9,IF(A10&lt;'Données projet'!$A$88,$BA$205^A10,IF(A10='Données projet'!$A$88,'Données projet'!$B$88,BD9+BC10-BL9)))</f>
        <v>7.2688008405045679</v>
      </c>
      <c r="BE10" s="13">
        <f>BD10*VLOOKUP('Données projet'!$B$11,Paramètres!$A$1:$I$89,3,0)*VLOOKUP('Données projet'!$B$11,Paramètres!$A$1:$I$89,5,0)</f>
        <v>4.3467429026217319</v>
      </c>
      <c r="BF10" s="13">
        <f t="shared" si="37"/>
        <v>1.6882382445190491</v>
      </c>
      <c r="BG10" s="20">
        <f t="shared" si="7"/>
        <v>10.510925497936862</v>
      </c>
      <c r="BH10" s="59">
        <f t="shared" si="8"/>
        <v>275.73314772015908</v>
      </c>
      <c r="BI10" s="59">
        <f ca="1">AVERAGE(OFFSET($BH$3,0,0,'Données projet'!$E$11+1,1))-AVERAGE(OFFSET($H$3,0,0,'Données projet'!$E$11+1,1))</f>
        <v>302.00825291248458</v>
      </c>
      <c r="BJ10" s="59">
        <f t="shared" si="38"/>
        <v>307.35115839449355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7.7715686274509812</v>
      </c>
      <c r="BY10" s="12">
        <f>IF('Données projet'!$A$114&gt;35,BY9+BX10-CG9,IF(A10&lt;'Données projet'!$A$114,$BV$205^A10,IF(A10='Données projet'!$A$114,'Données projet'!$B$114,BY9+BX10-CG9)))</f>
        <v>54.400980392156868</v>
      </c>
      <c r="BZ10" s="13">
        <f>BY10*VLOOKUP('Données projet'!$B$12,Paramètres!$A$1:$I$89,3,0)*VLOOKUP('Données projet'!$B$12,Paramètres!$A$1:$I$89,5,0)</f>
        <v>25.459658823529416</v>
      </c>
      <c r="CA10" s="13">
        <f t="shared" si="39"/>
        <v>8.0493980491936057</v>
      </c>
      <c r="CB10" s="20">
        <f t="shared" si="10"/>
        <v>58.361607386659266</v>
      </c>
      <c r="CC10" s="59">
        <f t="shared" si="11"/>
        <v>323.5838296088815</v>
      </c>
      <c r="CD10" s="59">
        <f ca="1">AVERAGE(OFFSET($CC$3,0,0,'Données projet'!$E$12+1,1))-AVERAGE(OFFSET($H$3,0,0,'Données projet'!$E$12+1,1))</f>
        <v>337.10499990421835</v>
      </c>
      <c r="CE10" s="59">
        <f t="shared" si="40"/>
        <v>277.4254079562175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3.3603333333333336</v>
      </c>
      <c r="CT10" s="12">
        <f>IF('Données projet'!$A$140&gt;35,CT9+CS10-DB9,IF(A10&lt;'Données projet'!$A$140,$CQ$205^A10,IF(A10='Données projet'!$A$140,'Données projet'!$B$140,CT9+CS10-DB9)))</f>
        <v>23.522333333333336</v>
      </c>
      <c r="CU10" s="17">
        <f>CT10*VLOOKUP('Données projet'!$B$13,Paramètres!$A$1:$I$89,3,0)*VLOOKUP('Données projet'!$B$13,Paramètres!$A$1:$I$89,5,0)</f>
        <v>23.484697600000004</v>
      </c>
      <c r="CV10" s="13">
        <f t="shared" si="41"/>
        <v>7.4951040532193769</v>
      </c>
      <c r="CW10" s="20">
        <f t="shared" si="13"/>
        <v>53.956487879357091</v>
      </c>
      <c r="CX10" s="59">
        <f t="shared" si="14"/>
        <v>319.17871010157933</v>
      </c>
      <c r="CY10" s="59">
        <f ca="1">AVERAGE(OFFSET($CX$3,0,0,'Données projet'!$E$13+1,1))-AVERAGE(OFFSET($H$3,0,0,'Données projet'!$E$13+1,1))</f>
        <v>525.74725170626471</v>
      </c>
      <c r="CZ10" s="59">
        <f t="shared" si="42"/>
        <v>259.19103598192197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4.5856818181818184</v>
      </c>
      <c r="DO10" s="12">
        <f>IF('Données projet'!$A$166&gt;35,DO9+DN10-DW9,IF(A10&lt;'Données projet'!$A$166,$DL$205^A10,IF(A10='Données projet'!$A$166,'Données projet'!$B$166,DO9+DN10-DW9)))</f>
        <v>32.099772727272729</v>
      </c>
      <c r="DP10" s="17">
        <f>DO10*VLOOKUP('Données projet'!$B$14,Paramètres!$A$1:$I$89,3,0)*VLOOKUP('Données projet'!$B$14,Paramètres!$A$1:$I$89,5,0)</f>
        <v>29.043874363636363</v>
      </c>
      <c r="DQ10" s="13">
        <f t="shared" si="43"/>
        <v>9.0428861843958348</v>
      </c>
      <c r="DR10" s="20">
        <f t="shared" si="16"/>
        <v>66.334441287822742</v>
      </c>
      <c r="DS10" s="59">
        <f t="shared" si="17"/>
        <v>331.55666351004498</v>
      </c>
      <c r="DT10" s="59">
        <f ca="1">AVERAGE(OFFSET($DS$3,0,0,'Données projet'!$E$14+1,1))-AVERAGE(OFFSET($H$3,0,0,'Données projet'!$E$14+1,1))</f>
        <v>490.06222615476065</v>
      </c>
      <c r="DU10" s="59">
        <f t="shared" si="44"/>
        <v>310.43914804089906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3.3603333333333336</v>
      </c>
      <c r="EJ10" s="12">
        <f>IF('Données projet'!$A$192&gt;35,EJ9+EI10-ER9,IF(A10&lt;'Données projet'!$A$192,$EG$205^A10,IF(A10='Données projet'!$A$192,'Données projet'!$B$192,EJ9+EI10-ER9)))</f>
        <v>23.522333333333336</v>
      </c>
      <c r="EK10" s="17">
        <f>EJ10*VLOOKUP('Données projet'!$B$15,Paramètres!$A$1:$I$89,3,0)*VLOOKUP('Données projet'!$B$15,Paramètres!$A$1:$I$89,5,0)</f>
        <v>23.851646000000006</v>
      </c>
      <c r="EL10" s="13">
        <f t="shared" si="45"/>
        <v>7.5984897747645288</v>
      </c>
      <c r="EM10" s="20">
        <f t="shared" si="19"/>
        <v>54.775653141048224</v>
      </c>
      <c r="EN10" s="59">
        <f t="shared" si="20"/>
        <v>319.99787536327045</v>
      </c>
      <c r="EO10" s="59">
        <f ca="1">AVERAGE(OFFSET($EN$3,0,0,'Données projet'!$E$15+1,1))-AVERAGE(OFFSET($H$3,0,0,'Données projet'!$E$15+1,1))</f>
        <v>533.26035274112917</v>
      </c>
      <c r="EP10" s="59">
        <f t="shared" si="46"/>
        <v>262.58149402282521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1.1538461538461537</v>
      </c>
      <c r="FE10" s="12">
        <f>IF('Données projet'!$A$218&gt;35,FE9+FD10-FM9,IF(A10&lt;'Données projet'!$A$218,$FB$205^A10,IF(A10='Données projet'!$A$218,'Données projet'!$B$218,FE9+FD10-FM9)))</f>
        <v>5.5399205286335267</v>
      </c>
      <c r="FF10" s="17">
        <f>FE10*VLOOKUP('Données projet'!$B$16,Paramètres!$A$1:$I$89,3,0)*VLOOKUP('Données projet'!$B$16,Paramètres!$A$1:$I$89,5,0)</f>
        <v>5.7903249365277629</v>
      </c>
      <c r="FG10" s="13">
        <f t="shared" si="47"/>
        <v>2.1750857288969967</v>
      </c>
      <c r="FH10" s="20">
        <f t="shared" si="22"/>
        <v>13.873090242281457</v>
      </c>
      <c r="FI10" s="59">
        <f t="shared" si="23"/>
        <v>279.09531246450371</v>
      </c>
      <c r="FJ10" s="59">
        <f ca="1">AVERAGE(OFFSET($FI$3,0,0,'Données projet'!$E$16+1,1))-AVERAGE(OFFSET($H$3,0,0,'Données projet'!$E$16+1,1))</f>
        <v>239.26156489359892</v>
      </c>
      <c r="FK10" s="59">
        <f t="shared" si="48"/>
        <v>213.97034450798111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4.016578947368421</v>
      </c>
      <c r="N11" s="13">
        <f>IF('Données projet'!$A$36&gt;35,N10+M11-V10,IF(A11&lt;'Données projet'!$A$36,$K$205^A11,IF(A11='Données projet'!$A$36,'Données projet'!$B$36,N10+M11-V10)))</f>
        <v>32.132631578947375</v>
      </c>
      <c r="O11" s="13">
        <f>N11*VLOOKUP('Données projet'!$B$9,Paramètres!$A$1:$I$89,3,0)*VLOOKUP('Données projet'!$B$9,Paramètres!$A$1:$I$89,5,0)</f>
        <v>30.577412210526322</v>
      </c>
      <c r="P11" s="13">
        <f t="shared" si="33"/>
        <v>9.4635078802126973</v>
      </c>
      <c r="Q11" s="20">
        <f t="shared" si="2"/>
        <v>69.737935824703797</v>
      </c>
      <c r="R11" s="59">
        <f t="shared" si="0"/>
        <v>336.18238026914827</v>
      </c>
      <c r="S11" s="59">
        <f ca="1">AVERAGE(OFFSET($R$3,0,0,'Données projet'!$E$9+1,1))-AVERAGE(OFFSET($H$3,0,0,'Données projet'!$E$9+1,1))</f>
        <v>449.28947235329758</v>
      </c>
      <c r="T11" s="59">
        <f t="shared" si="34"/>
        <v>289.36994109443964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5.8890909090909096</v>
      </c>
      <c r="AI11" s="13">
        <f>IF('Données projet'!$A$62&gt;35,AI10+AH11-AQ10,IF(A11&lt;'Données projet'!$A$62,$AF$205^A11,IF(A11='Données projet'!$A$62,'Données projet'!$B$62,AI10+AH11-AQ10)))</f>
        <v>5.8636933564201668</v>
      </c>
      <c r="AJ11" s="13">
        <f>AI11*VLOOKUP('Données projet'!$B$10,Paramètres!$A$1:$I$89,3,0)*VLOOKUP('Données projet'!$B$10,Paramètres!$A$1:$I$89,5,0)</f>
        <v>3.5064886271392601</v>
      </c>
      <c r="AK11" s="13">
        <f t="shared" si="35"/>
        <v>1.3963726956545126</v>
      </c>
      <c r="AL11" s="20">
        <f t="shared" si="4"/>
        <v>8.5391501371991527</v>
      </c>
      <c r="AM11" s="59">
        <f t="shared" si="5"/>
        <v>274.98359458164362</v>
      </c>
      <c r="AN11" s="59">
        <f ca="1">AVERAGE(OFFSET($AM$3,0,0,'Données projet'!$E$10+1,1))-AVERAGE(OFFSET($H$3,0,0,'Données projet'!$E$10+1,1))</f>
        <v>349.71285006949597</v>
      </c>
      <c r="AO11" s="59">
        <f t="shared" si="36"/>
        <v>258.51550516456842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7.2723529411764707</v>
      </c>
      <c r="BD11" s="12">
        <f>IF('Données projet'!$A$88&gt;35,BD10+BC11-BL10,IF(A11&lt;'Données projet'!$A$88,$BA$205^A11,IF(A11='Données projet'!$A$88,'Données projet'!$B$88,BD10+BC11-BL10)))</f>
        <v>9.6500348031768652</v>
      </c>
      <c r="BE11" s="13">
        <f>BD11*VLOOKUP('Données projet'!$B$11,Paramètres!$A$1:$I$89,3,0)*VLOOKUP('Données projet'!$B$11,Paramètres!$A$1:$I$89,5,0)</f>
        <v>5.770720812299766</v>
      </c>
      <c r="BF11" s="13">
        <f t="shared" si="37"/>
        <v>2.168577508198295</v>
      </c>
      <c r="BG11" s="20">
        <f t="shared" si="7"/>
        <v>13.827611241534122</v>
      </c>
      <c r="BH11" s="59">
        <f t="shared" si="8"/>
        <v>280.27205568597856</v>
      </c>
      <c r="BI11" s="59">
        <f ca="1">AVERAGE(OFFSET($BH$3,0,0,'Données projet'!$E$11+1,1))-AVERAGE(OFFSET($H$3,0,0,'Données projet'!$E$11+1,1))</f>
        <v>302.00825291248458</v>
      </c>
      <c r="BJ11" s="59">
        <f t="shared" si="38"/>
        <v>307.35115839449355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7.7715686274509812</v>
      </c>
      <c r="BY11" s="12">
        <f>IF('Données projet'!$A$114&gt;35,BY10+BX11-CG10,IF(A11&lt;'Données projet'!$A$114,$BV$205^A11,IF(A11='Données projet'!$A$114,'Données projet'!$B$114,BY10+BX11-CG10)))</f>
        <v>62.17254901960785</v>
      </c>
      <c r="BZ11" s="13">
        <f>BY11*VLOOKUP('Données projet'!$B$12,Paramètres!$A$1:$I$89,3,0)*VLOOKUP('Données projet'!$B$12,Paramètres!$A$1:$I$89,5,0)</f>
        <v>29.096752941176472</v>
      </c>
      <c r="CA11" s="13">
        <f t="shared" si="39"/>
        <v>9.0574321312547941</v>
      </c>
      <c r="CB11" s="20">
        <f t="shared" si="10"/>
        <v>66.451872334484463</v>
      </c>
      <c r="CC11" s="59">
        <f t="shared" si="11"/>
        <v>332.89631677892891</v>
      </c>
      <c r="CD11" s="59">
        <f ca="1">AVERAGE(OFFSET($CC$3,0,0,'Données projet'!$E$12+1,1))-AVERAGE(OFFSET($H$3,0,0,'Données projet'!$E$12+1,1))</f>
        <v>337.10499990421835</v>
      </c>
      <c r="CE11" s="59">
        <f t="shared" si="40"/>
        <v>277.4254079562175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3.3603333333333336</v>
      </c>
      <c r="CT11" s="12">
        <f>IF('Données projet'!$A$140&gt;35,CT10+CS11-DB10,IF(A11&lt;'Données projet'!$A$140,$CQ$205^A11,IF(A11='Données projet'!$A$140,'Données projet'!$B$140,CT10+CS11-DB10)))</f>
        <v>26.882666666666669</v>
      </c>
      <c r="CU11" s="17">
        <f>CT11*VLOOKUP('Données projet'!$B$13,Paramètres!$A$1:$I$89,3,0)*VLOOKUP('Données projet'!$B$13,Paramètres!$A$1:$I$89,5,0)</f>
        <v>26.839654400000004</v>
      </c>
      <c r="CV11" s="13">
        <f t="shared" si="41"/>
        <v>8.433723349726522</v>
      </c>
      <c r="CW11" s="20">
        <f t="shared" si="13"/>
        <v>61.434466247440376</v>
      </c>
      <c r="CX11" s="59">
        <f t="shared" si="14"/>
        <v>327.87891069188481</v>
      </c>
      <c r="CY11" s="59">
        <f ca="1">AVERAGE(OFFSET($CX$3,0,0,'Données projet'!$E$13+1,1))-AVERAGE(OFFSET($H$3,0,0,'Données projet'!$E$13+1,1))</f>
        <v>525.74725170626471</v>
      </c>
      <c r="CZ11" s="59">
        <f t="shared" si="42"/>
        <v>259.19103598192197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4.5856818181818184</v>
      </c>
      <c r="DO11" s="12">
        <f>IF('Données projet'!$A$166&gt;35,DO10+DN11-DW10,IF(A11&lt;'Données projet'!$A$166,$DL$205^A11,IF(A11='Données projet'!$A$166,'Données projet'!$B$166,DO10+DN11-DW10)))</f>
        <v>36.685454545454547</v>
      </c>
      <c r="DP11" s="17">
        <f>DO11*VLOOKUP('Données projet'!$B$14,Paramètres!$A$1:$I$89,3,0)*VLOOKUP('Données projet'!$B$14,Paramètres!$A$1:$I$89,5,0)</f>
        <v>33.19299927272727</v>
      </c>
      <c r="DQ11" s="13">
        <f t="shared" si="43"/>
        <v>10.175335768620887</v>
      </c>
      <c r="DR11" s="20">
        <f t="shared" si="16"/>
        <v>75.53318353034804</v>
      </c>
      <c r="DS11" s="59">
        <f t="shared" si="17"/>
        <v>341.97762797479248</v>
      </c>
      <c r="DT11" s="59">
        <f ca="1">AVERAGE(OFFSET($DS$3,0,0,'Données projet'!$E$14+1,1))-AVERAGE(OFFSET($H$3,0,0,'Données projet'!$E$14+1,1))</f>
        <v>490.06222615476065</v>
      </c>
      <c r="DU11" s="59">
        <f t="shared" si="44"/>
        <v>310.43914804089906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3.3603333333333336</v>
      </c>
      <c r="EJ11" s="12">
        <f>IF('Données projet'!$A$192&gt;35,EJ10+EI11-ER10,IF(A11&lt;'Données projet'!$A$192,$EG$205^A11,IF(A11='Données projet'!$A$192,'Données projet'!$B$192,EJ10+EI11-ER10)))</f>
        <v>26.882666666666669</v>
      </c>
      <c r="EK11" s="17">
        <f>EJ11*VLOOKUP('Données projet'!$B$15,Paramètres!$A$1:$I$89,3,0)*VLOOKUP('Données projet'!$B$15,Paramètres!$A$1:$I$89,5,0)</f>
        <v>27.259024000000004</v>
      </c>
      <c r="EL11" s="13">
        <f t="shared" si="45"/>
        <v>8.5500561674742812</v>
      </c>
      <c r="EM11" s="20">
        <f t="shared" si="19"/>
        <v>62.367481291684378</v>
      </c>
      <c r="EN11" s="59">
        <f t="shared" si="20"/>
        <v>328.81192573612884</v>
      </c>
      <c r="EO11" s="59">
        <f ca="1">AVERAGE(OFFSET($EN$3,0,0,'Données projet'!$E$15+1,1))-AVERAGE(OFFSET($H$3,0,0,'Données projet'!$E$15+1,1))</f>
        <v>533.26035274112917</v>
      </c>
      <c r="EP11" s="59">
        <f t="shared" si="46"/>
        <v>262.58149402282521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1.1538461538461537</v>
      </c>
      <c r="FE11" s="12">
        <f>IF('Données projet'!$A$218&gt;35,FE10+FD11-FM10,IF(A11&lt;'Données projet'!$A$218,$FB$205^A11,IF(A11='Données projet'!$A$218,'Données projet'!$B$218,FE10+FD11-FM10)))</f>
        <v>7.0748677396189548</v>
      </c>
      <c r="FF11" s="17">
        <f>FE11*VLOOKUP('Données projet'!$B$16,Paramètres!$A$1:$I$89,3,0)*VLOOKUP('Données projet'!$B$16,Paramètres!$A$1:$I$89,5,0)</f>
        <v>7.3946517614497322</v>
      </c>
      <c r="FG11" s="13">
        <f t="shared" si="47"/>
        <v>2.6997762216625256</v>
      </c>
      <c r="FH11" s="20">
        <f t="shared" si="22"/>
        <v>17.581128737253849</v>
      </c>
      <c r="FI11" s="59">
        <f t="shared" si="23"/>
        <v>284.02557318169829</v>
      </c>
      <c r="FJ11" s="59">
        <f ca="1">AVERAGE(OFFSET($FI$3,0,0,'Données projet'!$E$16+1,1))-AVERAGE(OFFSET($H$3,0,0,'Données projet'!$E$16+1,1))</f>
        <v>239.26156489359892</v>
      </c>
      <c r="FK11" s="59">
        <f t="shared" si="48"/>
        <v>213.97034450798111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4.016578947368421</v>
      </c>
      <c r="N12" s="13">
        <f>IF('Données projet'!$A$36&gt;35,N11+M12-V11,IF(A12&lt;'Données projet'!$A$36,$K$205^A12,IF(A12='Données projet'!$A$36,'Données projet'!$B$36,N11+M12-V11)))</f>
        <v>36.149210526315798</v>
      </c>
      <c r="O12" s="13">
        <f>N12*VLOOKUP('Données projet'!$B$9,Paramètres!$A$1:$I$89,3,0)*VLOOKUP('Données projet'!$B$9,Paramètres!$A$1:$I$89,5,0)</f>
        <v>34.399588736842112</v>
      </c>
      <c r="P12" s="13">
        <f t="shared" si="33"/>
        <v>10.501480177330832</v>
      </c>
      <c r="Q12" s="20">
        <f t="shared" si="2"/>
        <v>78.202695025517883</v>
      </c>
      <c r="R12" s="59">
        <f t="shared" si="0"/>
        <v>345.86936169218455</v>
      </c>
      <c r="S12" s="59">
        <f ca="1">AVERAGE(OFFSET($R$3,0,0,'Données projet'!$E$9+1,1))-AVERAGE(OFFSET($H$3,0,0,'Données projet'!$E$9+1,1))</f>
        <v>449.28947235329758</v>
      </c>
      <c r="T12" s="59">
        <f t="shared" si="34"/>
        <v>289.36994109443964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5.8890909090909096</v>
      </c>
      <c r="AI12" s="13">
        <f>IF('Données projet'!$A$62&gt;35,AI11+AH12-AQ11,IF(A12&lt;'Données projet'!$A$62,$AF$205^A12,IF(A12='Données projet'!$A$62,'Données projet'!$B$62,AI11+AH12-AQ11)))</f>
        <v>7.3146349541476745</v>
      </c>
      <c r="AJ12" s="13">
        <f>AI12*VLOOKUP('Données projet'!$B$10,Paramètres!$A$1:$I$89,3,0)*VLOOKUP('Données projet'!$B$10,Paramètres!$A$1:$I$89,5,0)</f>
        <v>4.3741517025803098</v>
      </c>
      <c r="AK12" s="13">
        <f t="shared" si="35"/>
        <v>1.6976410288053578</v>
      </c>
      <c r="AL12" s="20">
        <f t="shared" si="4"/>
        <v>10.575039007163371</v>
      </c>
      <c r="AM12" s="59">
        <f t="shared" si="5"/>
        <v>278.24170567383004</v>
      </c>
      <c r="AN12" s="59">
        <f ca="1">AVERAGE(OFFSET($AM$3,0,0,'Données projet'!$E$10+1,1))-AVERAGE(OFFSET($H$3,0,0,'Données projet'!$E$10+1,1))</f>
        <v>349.71285006949597</v>
      </c>
      <c r="AO12" s="59">
        <f t="shared" si="36"/>
        <v>258.51550516456842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7.2723529411764707</v>
      </c>
      <c r="BD12" s="12">
        <f>IF('Données projet'!$A$88&gt;35,BD11+BC12-BL11,IF(A12&lt;'Données projet'!$A$88,$BA$205^A12,IF(A12='Données projet'!$A$88,'Données projet'!$B$88,BD11+BC12-BL11)))</f>
        <v>12.811352758986937</v>
      </c>
      <c r="BE12" s="13">
        <f>BD12*VLOOKUP('Données projet'!$B$11,Paramètres!$A$1:$I$89,3,0)*VLOOKUP('Données projet'!$B$11,Paramètres!$A$1:$I$89,5,0)</f>
        <v>7.6611889498741892</v>
      </c>
      <c r="BF12" s="13">
        <f t="shared" si="37"/>
        <v>2.7855833880858762</v>
      </c>
      <c r="BG12" s="20">
        <f t="shared" si="7"/>
        <v>18.194795155280449</v>
      </c>
      <c r="BH12" s="59">
        <f t="shared" si="8"/>
        <v>285.86146182194716</v>
      </c>
      <c r="BI12" s="59">
        <f ca="1">AVERAGE(OFFSET($BH$3,0,0,'Données projet'!$E$11+1,1))-AVERAGE(OFFSET($H$3,0,0,'Données projet'!$E$11+1,1))</f>
        <v>302.00825291248458</v>
      </c>
      <c r="BJ12" s="59">
        <f t="shared" si="38"/>
        <v>307.35115839449355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7.7715686274509812</v>
      </c>
      <c r="BY12" s="12">
        <f>IF('Données projet'!$A$114&gt;35,BY11+BX12-CG11,IF(A12&lt;'Données projet'!$A$114,$BV$205^A12,IF(A12='Données projet'!$A$114,'Données projet'!$B$114,BY11+BX12-CG11)))</f>
        <v>69.944117647058832</v>
      </c>
      <c r="BZ12" s="13">
        <f>BY12*VLOOKUP('Données projet'!$B$12,Paramètres!$A$1:$I$89,3,0)*VLOOKUP('Données projet'!$B$12,Paramètres!$A$1:$I$89,5,0)</f>
        <v>32.733847058823535</v>
      </c>
      <c r="CA12" s="13">
        <f t="shared" si="39"/>
        <v>10.050865407189132</v>
      </c>
      <c r="CB12" s="20">
        <f t="shared" si="10"/>
        <v>74.51670754497205</v>
      </c>
      <c r="CC12" s="59">
        <f t="shared" si="11"/>
        <v>342.18337421163875</v>
      </c>
      <c r="CD12" s="59">
        <f ca="1">AVERAGE(OFFSET($CC$3,0,0,'Données projet'!$E$12+1,1))-AVERAGE(OFFSET($H$3,0,0,'Données projet'!$E$12+1,1))</f>
        <v>337.10499990421835</v>
      </c>
      <c r="CE12" s="59">
        <f t="shared" si="40"/>
        <v>277.4254079562175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3.3603333333333336</v>
      </c>
      <c r="CT12" s="12">
        <f>IF('Données projet'!$A$140&gt;35,CT11+CS12-DB11,IF(A12&lt;'Données projet'!$A$140,$CQ$205^A12,IF(A12='Données projet'!$A$140,'Données projet'!$B$140,CT11+CS12-DB11)))</f>
        <v>30.243000000000002</v>
      </c>
      <c r="CU12" s="17">
        <f>CT12*VLOOKUP('Données projet'!$B$13,Paramètres!$A$1:$I$89,3,0)*VLOOKUP('Données projet'!$B$13,Paramètres!$A$1:$I$89,5,0)</f>
        <v>30.194611200000004</v>
      </c>
      <c r="CV12" s="13">
        <f t="shared" si="41"/>
        <v>9.3587472741930728</v>
      </c>
      <c r="CW12" s="20">
        <f t="shared" si="13"/>
        <v>68.888766009219609</v>
      </c>
      <c r="CX12" s="59">
        <f t="shared" si="14"/>
        <v>336.55543267588632</v>
      </c>
      <c r="CY12" s="59">
        <f ca="1">AVERAGE(OFFSET($CX$3,0,0,'Données projet'!$E$13+1,1))-AVERAGE(OFFSET($H$3,0,0,'Données projet'!$E$13+1,1))</f>
        <v>525.74725170626471</v>
      </c>
      <c r="CZ12" s="59">
        <f t="shared" si="42"/>
        <v>259.19103598192197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4.5856818181818184</v>
      </c>
      <c r="DO12" s="12">
        <f>IF('Données projet'!$A$166&gt;35,DO11+DN12-DW11,IF(A12&lt;'Données projet'!$A$166,$DL$205^A12,IF(A12='Données projet'!$A$166,'Données projet'!$B$166,DO11+DN12-DW11)))</f>
        <v>41.271136363636366</v>
      </c>
      <c r="DP12" s="17">
        <f>DO12*VLOOKUP('Données projet'!$B$14,Paramètres!$A$1:$I$89,3,0)*VLOOKUP('Données projet'!$B$14,Paramètres!$A$1:$I$89,5,0)</f>
        <v>37.342124181818185</v>
      </c>
      <c r="DQ12" s="13">
        <f t="shared" si="43"/>
        <v>11.291382458219708</v>
      </c>
      <c r="DR12" s="20">
        <f t="shared" si="16"/>
        <v>84.70335739806599</v>
      </c>
      <c r="DS12" s="59">
        <f t="shared" si="17"/>
        <v>352.37002406473266</v>
      </c>
      <c r="DT12" s="59">
        <f ca="1">AVERAGE(OFFSET($DS$3,0,0,'Données projet'!$E$14+1,1))-AVERAGE(OFFSET($H$3,0,0,'Données projet'!$E$14+1,1))</f>
        <v>490.06222615476065</v>
      </c>
      <c r="DU12" s="59">
        <f t="shared" si="44"/>
        <v>310.43914804089906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3.3603333333333336</v>
      </c>
      <c r="EJ12" s="12">
        <f>IF('Données projet'!$A$192&gt;35,EJ11+EI12-ER11,IF(A12&lt;'Données projet'!$A$192,$EG$205^A12,IF(A12='Données projet'!$A$192,'Données projet'!$B$192,EJ11+EI12-ER11)))</f>
        <v>30.243000000000002</v>
      </c>
      <c r="EK12" s="17">
        <f>EJ12*VLOOKUP('Données projet'!$B$15,Paramètres!$A$1:$I$89,3,0)*VLOOKUP('Données projet'!$B$15,Paramètres!$A$1:$I$89,5,0)</f>
        <v>30.666402000000005</v>
      </c>
      <c r="EL12" s="13">
        <f t="shared" si="45"/>
        <v>9.4878396567445336</v>
      </c>
      <c r="EM12" s="20">
        <f t="shared" si="19"/>
        <v>69.935304218830069</v>
      </c>
      <c r="EN12" s="59">
        <f t="shared" si="20"/>
        <v>337.60197088549677</v>
      </c>
      <c r="EO12" s="59">
        <f ca="1">AVERAGE(OFFSET($EN$3,0,0,'Données projet'!$E$15+1,1))-AVERAGE(OFFSET($H$3,0,0,'Données projet'!$E$15+1,1))</f>
        <v>533.26035274112917</v>
      </c>
      <c r="EP12" s="59">
        <f t="shared" si="46"/>
        <v>262.58149402282521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1.1538461538461537</v>
      </c>
      <c r="FE12" s="12">
        <f>IF('Données projet'!$A$218&gt;35,FE11+FD12-FM11,IF(A12&lt;'Données projet'!$A$218,$FB$205^A12,IF(A12='Données projet'!$A$218,'Données projet'!$B$218,FE11+FD12-FM11)))</f>
        <v>9.0351031705949865</v>
      </c>
      <c r="FF12" s="17">
        <f>FE12*VLOOKUP('Données projet'!$B$16,Paramètres!$A$1:$I$89,3,0)*VLOOKUP('Données projet'!$B$16,Paramètres!$A$1:$I$89,5,0)</f>
        <v>9.4434898339058808</v>
      </c>
      <c r="FG12" s="13">
        <f t="shared" si="47"/>
        <v>3.3510364902952992</v>
      </c>
      <c r="FH12" s="20">
        <f t="shared" si="22"/>
        <v>22.283800014650385</v>
      </c>
      <c r="FI12" s="59">
        <f t="shared" si="23"/>
        <v>289.9504666813171</v>
      </c>
      <c r="FJ12" s="59">
        <f ca="1">AVERAGE(OFFSET($FI$3,0,0,'Données projet'!$E$16+1,1))-AVERAGE(OFFSET($H$3,0,0,'Données projet'!$E$16+1,1))</f>
        <v>239.26156489359892</v>
      </c>
      <c r="FK12" s="59">
        <f t="shared" si="48"/>
        <v>213.97034450798111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4.016578947368421</v>
      </c>
      <c r="N13" s="13">
        <f>IF('Données projet'!$A$36&gt;35,N12+M13-V12,IF(A13&lt;'Données projet'!$A$36,$K$205^A13,IF(A13='Données projet'!$A$36,'Données projet'!$B$36,N12+M13-V12)))</f>
        <v>40.165789473684221</v>
      </c>
      <c r="O13" s="13">
        <f>N13*VLOOKUP('Données projet'!$B$9,Paramètres!$A$1:$I$89,3,0)*VLOOKUP('Données projet'!$B$9,Paramètres!$A$1:$I$89,5,0)</f>
        <v>38.221765263157906</v>
      </c>
      <c r="P13" s="13">
        <f t="shared" si="33"/>
        <v>11.52608546697418</v>
      </c>
      <c r="Q13" s="20">
        <f t="shared" si="2"/>
        <v>86.644173354980055</v>
      </c>
      <c r="R13" s="59">
        <f t="shared" si="0"/>
        <v>355.53306224386893</v>
      </c>
      <c r="S13" s="59">
        <f ca="1">AVERAGE(OFFSET($R$3,0,0,'Données projet'!$E$9+1,1))-AVERAGE(OFFSET($H$3,0,0,'Données projet'!$E$9+1,1))</f>
        <v>449.28947235329758</v>
      </c>
      <c r="T13" s="59">
        <f t="shared" si="34"/>
        <v>289.36994109443964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5.8890909090909096</v>
      </c>
      <c r="AI13" s="13">
        <f>IF('Données projet'!$A$62&gt;35,AI12+AH13-AQ12,IF(A13&lt;'Données projet'!$A$62,$AF$205^A13,IF(A13='Données projet'!$A$62,'Données projet'!$B$62,AI12+AH13-AQ12)))</f>
        <v>9.1246047943242932</v>
      </c>
      <c r="AJ13" s="13">
        <f>AI13*VLOOKUP('Données projet'!$B$10,Paramètres!$A$1:$I$89,3,0)*VLOOKUP('Données projet'!$B$10,Paramètres!$A$1:$I$89,5,0)</f>
        <v>5.456513667005928</v>
      </c>
      <c r="AK13" s="13">
        <f t="shared" si="35"/>
        <v>2.0639082042007839</v>
      </c>
      <c r="AL13" s="20">
        <f t="shared" si="4"/>
        <v>13.098068092351689</v>
      </c>
      <c r="AM13" s="59">
        <f t="shared" si="5"/>
        <v>281.98695698124055</v>
      </c>
      <c r="AN13" s="59">
        <f ca="1">AVERAGE(OFFSET($AM$3,0,0,'Données projet'!$E$10+1,1))-AVERAGE(OFFSET($H$3,0,0,'Données projet'!$E$10+1,1))</f>
        <v>349.71285006949597</v>
      </c>
      <c r="AO13" s="59">
        <f t="shared" si="36"/>
        <v>258.51550516456842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7.2723529411764707</v>
      </c>
      <c r="BD13" s="12">
        <f>IF('Données projet'!$A$88&gt;35,BD12+BC13-BL12,IF(A13&lt;'Données projet'!$A$88,$BA$205^A13,IF(A13='Données projet'!$A$88,'Données projet'!$B$88,BD12+BC13-BL12)))</f>
        <v>17.008307520421493</v>
      </c>
      <c r="BE13" s="13">
        <f>BD13*VLOOKUP('Données projet'!$B$11,Paramètres!$A$1:$I$89,3,0)*VLOOKUP('Données projet'!$B$11,Paramètres!$A$1:$I$89,5,0)</f>
        <v>10.170967897212053</v>
      </c>
      <c r="BF13" s="13">
        <f t="shared" si="37"/>
        <v>3.5781404089295137</v>
      </c>
      <c r="BG13" s="20">
        <f t="shared" si="7"/>
        <v>23.946363633196558</v>
      </c>
      <c r="BH13" s="59">
        <f t="shared" si="8"/>
        <v>292.8352525220854</v>
      </c>
      <c r="BI13" s="59">
        <f ca="1">AVERAGE(OFFSET($BH$3,0,0,'Données projet'!$E$11+1,1))-AVERAGE(OFFSET($H$3,0,0,'Données projet'!$E$11+1,1))</f>
        <v>302.00825291248458</v>
      </c>
      <c r="BJ13" s="59">
        <f t="shared" si="38"/>
        <v>307.35115839449355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7.7715686274509812</v>
      </c>
      <c r="BY13" s="12">
        <f>IF('Données projet'!$A$114&gt;35,BY12+BX13-CG12,IF(A13&lt;'Données projet'!$A$114,$BV$205^A13,IF(A13='Données projet'!$A$114,'Données projet'!$B$114,BY12+BX13-CG12)))</f>
        <v>77.715686274509807</v>
      </c>
      <c r="BZ13" s="13">
        <f>BY13*VLOOKUP('Données projet'!$B$12,Paramètres!$A$1:$I$89,3,0)*VLOOKUP('Données projet'!$B$12,Paramètres!$A$1:$I$89,5,0)</f>
        <v>36.370941176470588</v>
      </c>
      <c r="CA13" s="13">
        <f t="shared" si="39"/>
        <v>11.031505249173463</v>
      </c>
      <c r="CB13" s="20">
        <f t="shared" si="10"/>
        <v>82.559260857996719</v>
      </c>
      <c r="CC13" s="59">
        <f t="shared" si="11"/>
        <v>351.44814974688558</v>
      </c>
      <c r="CD13" s="59">
        <f ca="1">AVERAGE(OFFSET($CC$3,0,0,'Données projet'!$E$12+1,1))-AVERAGE(OFFSET($H$3,0,0,'Données projet'!$E$12+1,1))</f>
        <v>337.10499990421835</v>
      </c>
      <c r="CE13" s="59">
        <f t="shared" si="40"/>
        <v>277.4254079562175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3.3603333333333336</v>
      </c>
      <c r="CT13" s="12">
        <f>IF('Données projet'!$A$140&gt;35,CT12+CS13-DB12,IF(A13&lt;'Données projet'!$A$140,$CQ$205^A13,IF(A13='Données projet'!$A$140,'Données projet'!$B$140,CT12+CS13-DB12)))</f>
        <v>33.603333333333339</v>
      </c>
      <c r="CU13" s="17">
        <f>CT13*VLOOKUP('Données projet'!$B$13,Paramètres!$A$1:$I$89,3,0)*VLOOKUP('Données projet'!$B$13,Paramètres!$A$1:$I$89,5,0)</f>
        <v>33.549568000000008</v>
      </c>
      <c r="CV13" s="13">
        <f t="shared" si="41"/>
        <v>10.271858740353146</v>
      </c>
      <c r="CW13" s="20">
        <f t="shared" si="13"/>
        <v>76.322318239448407</v>
      </c>
      <c r="CX13" s="59">
        <f t="shared" si="14"/>
        <v>345.21120712833726</v>
      </c>
      <c r="CY13" s="59">
        <f ca="1">AVERAGE(OFFSET($CX$3,0,0,'Données projet'!$E$13+1,1))-AVERAGE(OFFSET($H$3,0,0,'Données projet'!$E$13+1,1))</f>
        <v>525.74725170626471</v>
      </c>
      <c r="CZ13" s="59">
        <f t="shared" si="42"/>
        <v>259.19103598192197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4.5856818181818184</v>
      </c>
      <c r="DO13" s="12">
        <f>IF('Données projet'!$A$166&gt;35,DO12+DN13-DW12,IF(A13&lt;'Données projet'!$A$166,$DL$205^A13,IF(A13='Données projet'!$A$166,'Données projet'!$B$166,DO12+DN13-DW12)))</f>
        <v>45.856818181818184</v>
      </c>
      <c r="DP13" s="17">
        <f>DO13*VLOOKUP('Données projet'!$B$14,Paramètres!$A$1:$I$89,3,0)*VLOOKUP('Données projet'!$B$14,Paramètres!$A$1:$I$89,5,0)</f>
        <v>41.491249090909093</v>
      </c>
      <c r="DQ13" s="13">
        <f t="shared" si="43"/>
        <v>12.393056698299885</v>
      </c>
      <c r="DR13" s="20">
        <f t="shared" si="16"/>
        <v>93.848499249538975</v>
      </c>
      <c r="DS13" s="59">
        <f t="shared" si="17"/>
        <v>362.73738813842783</v>
      </c>
      <c r="DT13" s="59">
        <f ca="1">AVERAGE(OFFSET($DS$3,0,0,'Données projet'!$E$14+1,1))-AVERAGE(OFFSET($H$3,0,0,'Données projet'!$E$14+1,1))</f>
        <v>490.06222615476065</v>
      </c>
      <c r="DU13" s="59">
        <f t="shared" si="44"/>
        <v>310.43914804089906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3.3603333333333336</v>
      </c>
      <c r="EJ13" s="12">
        <f>IF('Données projet'!$A$192&gt;35,EJ12+EI13-ER12,IF(A13&lt;'Données projet'!$A$192,$EG$205^A13,IF(A13='Données projet'!$A$192,'Données projet'!$B$192,EJ12+EI13-ER12)))</f>
        <v>33.603333333333339</v>
      </c>
      <c r="EK13" s="17">
        <f>EJ13*VLOOKUP('Données projet'!$B$15,Paramètres!$A$1:$I$89,3,0)*VLOOKUP('Données projet'!$B$15,Paramètres!$A$1:$I$89,5,0)</f>
        <v>34.073780000000006</v>
      </c>
      <c r="EL13" s="13">
        <f t="shared" si="45"/>
        <v>10.413546370029898</v>
      </c>
      <c r="EM13" s="20">
        <f t="shared" si="19"/>
        <v>77.482093427802084</v>
      </c>
      <c r="EN13" s="59">
        <f t="shared" si="20"/>
        <v>346.37098231669097</v>
      </c>
      <c r="EO13" s="59">
        <f ca="1">AVERAGE(OFFSET($EN$3,0,0,'Données projet'!$E$15+1,1))-AVERAGE(OFFSET($H$3,0,0,'Données projet'!$E$15+1,1))</f>
        <v>533.26035274112917</v>
      </c>
      <c r="EP13" s="59">
        <f t="shared" si="46"/>
        <v>262.58149402282521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11.538461538461538</v>
      </c>
      <c r="FC13" s="12">
        <f>VLOOKUP(A13,'Données projet'!$A$217:$I$237,9,0)</f>
        <v>1.1538461538461537</v>
      </c>
      <c r="FD13" s="12">
        <f t="array" ref="FD13">INDEX(FC:FC,MIN(IF(ISNUMBER(FC13:FC209),ROW(FC13:FC209),"")))</f>
        <v>1.1538461538461537</v>
      </c>
      <c r="FE13" s="12">
        <f>IF('Données projet'!$A$218&gt;35,FE12+FD13-FM12,IF(A13&lt;'Données projet'!$A$218,$FB$205^A13,IF(A13='Données projet'!$A$218,'Données projet'!$B$218,FE12+FD13-FM12)))</f>
        <v>11.538461538461538</v>
      </c>
      <c r="FF13" s="17">
        <f>FE13*VLOOKUP('Données projet'!$B$16,Paramètres!$A$1:$I$89,3,0)*VLOOKUP('Données projet'!$B$16,Paramètres!$A$1:$I$89,5,0)</f>
        <v>12.06</v>
      </c>
      <c r="FG13" s="13">
        <f t="shared" si="47"/>
        <v>4.1593986454090377</v>
      </c>
      <c r="FH13" s="20">
        <f t="shared" si="22"/>
        <v>28.248785974087401</v>
      </c>
      <c r="FI13" s="59">
        <f t="shared" si="23"/>
        <v>297.13767486297627</v>
      </c>
      <c r="FJ13" s="59">
        <f ca="1">AVERAGE(OFFSET($FI$3,0,0,'Données projet'!$E$16+1,1))-AVERAGE(OFFSET($H$3,0,0,'Données projet'!$E$16+1,1))</f>
        <v>239.26156489359892</v>
      </c>
      <c r="FK13" s="59">
        <f t="shared" si="48"/>
        <v>213.97034450798111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0.215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4.016578947368421</v>
      </c>
      <c r="N14" s="13">
        <f>IF('Données projet'!$A$36&gt;35,N13+M14-V13,IF(A14&lt;'Données projet'!$A$36,$K$205^A14,IF(A14='Données projet'!$A$36,'Données projet'!$B$36,N13+M14-V13)))</f>
        <v>44.182368421052644</v>
      </c>
      <c r="O14" s="13">
        <f>N14*VLOOKUP('Données projet'!$B$9,Paramètres!$A$1:$I$89,3,0)*VLOOKUP('Données projet'!$B$9,Paramètres!$A$1:$I$89,5,0)</f>
        <v>42.043941789473699</v>
      </c>
      <c r="P14" s="13">
        <f t="shared" si="33"/>
        <v>12.538812616073887</v>
      </c>
      <c r="Q14" s="20">
        <f t="shared" si="2"/>
        <v>95.064963922995389</v>
      </c>
      <c r="R14" s="59">
        <f t="shared" si="0"/>
        <v>365.17607503410653</v>
      </c>
      <c r="S14" s="59">
        <f ca="1">AVERAGE(OFFSET($R$3,0,0,'Données projet'!$E$9+1,1))-AVERAGE(OFFSET($H$3,0,0,'Données projet'!$E$9+1,1))</f>
        <v>449.28947235329758</v>
      </c>
      <c r="T14" s="59">
        <f t="shared" si="34"/>
        <v>289.36994109443964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5.8890909090909096</v>
      </c>
      <c r="AI14" s="13">
        <f>IF('Données projet'!$A$62&gt;35,AI13+AH14-AQ13,IF(A14&lt;'Données projet'!$A$62,$AF$205^A14,IF(A14='Données projet'!$A$62,'Données projet'!$B$62,AI13+AH14-AQ13)))</f>
        <v>11.382442620105763</v>
      </c>
      <c r="AJ14" s="13">
        <f>AI14*VLOOKUP('Données projet'!$B$10,Paramètres!$A$1:$I$89,3,0)*VLOOKUP('Données projet'!$B$10,Paramètres!$A$1:$I$89,5,0)</f>
        <v>6.8067006868232474</v>
      </c>
      <c r="AK14" s="13">
        <f t="shared" si="35"/>
        <v>2.5091977650686839</v>
      </c>
      <c r="AL14" s="20">
        <f t="shared" si="4"/>
        <v>16.225189803711778</v>
      </c>
      <c r="AM14" s="59">
        <f t="shared" si="5"/>
        <v>286.33630091482291</v>
      </c>
      <c r="AN14" s="59">
        <f ca="1">AVERAGE(OFFSET($AM$3,0,0,'Données projet'!$E$10+1,1))-AVERAGE(OFFSET($H$3,0,0,'Données projet'!$E$10+1,1))</f>
        <v>349.71285006949597</v>
      </c>
      <c r="AO14" s="59">
        <f t="shared" si="36"/>
        <v>258.51550516456842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7.2723529411764707</v>
      </c>
      <c r="BD14" s="12">
        <f>IF('Données projet'!$A$88&gt;35,BD13+BC14-BL13,IF(A14&lt;'Données projet'!$A$88,$BA$205^A14,IF(A14='Données projet'!$A$88,'Données projet'!$B$88,BD13+BC14-BL13)))</f>
        <v>22.580170115626522</v>
      </c>
      <c r="BE14" s="13">
        <f>BD14*VLOOKUP('Données projet'!$B$11,Paramètres!$A$1:$I$89,3,0)*VLOOKUP('Données projet'!$B$11,Paramètres!$A$1:$I$89,5,0)</f>
        <v>13.502941729144661</v>
      </c>
      <c r="BF14" s="13">
        <f t="shared" si="37"/>
        <v>4.5961965600361916</v>
      </c>
      <c r="BG14" s="20">
        <f t="shared" si="7"/>
        <v>31.522665853656651</v>
      </c>
      <c r="BH14" s="59">
        <f t="shared" si="8"/>
        <v>301.63377696476778</v>
      </c>
      <c r="BI14" s="59">
        <f ca="1">AVERAGE(OFFSET($BH$3,0,0,'Données projet'!$E$11+1,1))-AVERAGE(OFFSET($H$3,0,0,'Données projet'!$E$11+1,1))</f>
        <v>302.00825291248458</v>
      </c>
      <c r="BJ14" s="59">
        <f t="shared" si="38"/>
        <v>307.35115839449355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7.7715686274509812</v>
      </c>
      <c r="BY14" s="12">
        <f>IF('Données projet'!$A$114&gt;35,BY13+BX14-CG13,IF(A14&lt;'Données projet'!$A$114,$BV$205^A14,IF(A14='Données projet'!$A$114,'Données projet'!$B$114,BY13+BX14-CG13)))</f>
        <v>85.487254901960782</v>
      </c>
      <c r="BZ14" s="13">
        <f>BY14*VLOOKUP('Données projet'!$B$12,Paramètres!$A$1:$I$89,3,0)*VLOOKUP('Données projet'!$B$12,Paramètres!$A$1:$I$89,5,0)</f>
        <v>40.008035294117647</v>
      </c>
      <c r="CA14" s="13">
        <f t="shared" si="39"/>
        <v>12.000776637389773</v>
      </c>
      <c r="CB14" s="20">
        <f t="shared" si="10"/>
        <v>90.582014114042082</v>
      </c>
      <c r="CC14" s="59">
        <f t="shared" si="11"/>
        <v>360.69312522515321</v>
      </c>
      <c r="CD14" s="59">
        <f ca="1">AVERAGE(OFFSET($CC$3,0,0,'Données projet'!$E$12+1,1))-AVERAGE(OFFSET($H$3,0,0,'Données projet'!$E$12+1,1))</f>
        <v>337.10499990421835</v>
      </c>
      <c r="CE14" s="59">
        <f t="shared" si="40"/>
        <v>277.4254079562175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3.3603333333333336</v>
      </c>
      <c r="CT14" s="12">
        <f>IF('Données projet'!$A$140&gt;35,CT13+CS14-DB13,IF(A14&lt;'Données projet'!$A$140,$CQ$205^A14,IF(A14='Données projet'!$A$140,'Données projet'!$B$140,CT13+CS14-DB13)))</f>
        <v>36.963666666666676</v>
      </c>
      <c r="CU14" s="17">
        <f>CT14*VLOOKUP('Données projet'!$B$13,Paramètres!$A$1:$I$89,3,0)*VLOOKUP('Données projet'!$B$13,Paramètres!$A$1:$I$89,5,0)</f>
        <v>36.904524800000011</v>
      </c>
      <c r="CV14" s="13">
        <f t="shared" si="41"/>
        <v>11.174384602050024</v>
      </c>
      <c r="CW14" s="20">
        <f t="shared" si="13"/>
        <v>83.73743387523713</v>
      </c>
      <c r="CX14" s="59">
        <f t="shared" si="14"/>
        <v>353.84854498634826</v>
      </c>
      <c r="CY14" s="59">
        <f ca="1">AVERAGE(OFFSET($CX$3,0,0,'Données projet'!$E$13+1,1))-AVERAGE(OFFSET($H$3,0,0,'Données projet'!$E$13+1,1))</f>
        <v>525.74725170626471</v>
      </c>
      <c r="CZ14" s="59">
        <f t="shared" si="42"/>
        <v>259.19103598192197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4.5856818181818184</v>
      </c>
      <c r="DO14" s="12">
        <f>IF('Données projet'!$A$166&gt;35,DO13+DN14-DW13,IF(A14&lt;'Données projet'!$A$166,$DL$205^A14,IF(A14='Données projet'!$A$166,'Données projet'!$B$166,DO13+DN14-DW13)))</f>
        <v>50.442500000000003</v>
      </c>
      <c r="DP14" s="17">
        <f>DO14*VLOOKUP('Données projet'!$B$14,Paramètres!$A$1:$I$89,3,0)*VLOOKUP('Données projet'!$B$14,Paramètres!$A$1:$I$89,5,0)</f>
        <v>45.640374000000001</v>
      </c>
      <c r="DQ14" s="13">
        <f t="shared" si="43"/>
        <v>13.481959345661139</v>
      </c>
      <c r="DR14" s="20">
        <f t="shared" si="16"/>
        <v>102.97139724369315</v>
      </c>
      <c r="DS14" s="59">
        <f t="shared" si="17"/>
        <v>373.0825083548043</v>
      </c>
      <c r="DT14" s="59">
        <f ca="1">AVERAGE(OFFSET($DS$3,0,0,'Données projet'!$E$14+1,1))-AVERAGE(OFFSET($H$3,0,0,'Données projet'!$E$14+1,1))</f>
        <v>490.06222615476065</v>
      </c>
      <c r="DU14" s="59">
        <f t="shared" si="44"/>
        <v>310.43914804089906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3.3603333333333336</v>
      </c>
      <c r="EJ14" s="12">
        <f>IF('Données projet'!$A$192&gt;35,EJ13+EI14-ER13,IF(A14&lt;'Données projet'!$A$192,$EG$205^A14,IF(A14='Données projet'!$A$192,'Données projet'!$B$192,EJ13+EI14-ER13)))</f>
        <v>36.963666666666676</v>
      </c>
      <c r="EK14" s="17">
        <f>EJ14*VLOOKUP('Données projet'!$B$15,Paramètres!$A$1:$I$89,3,0)*VLOOKUP('Données projet'!$B$15,Paramètres!$A$1:$I$89,5,0)</f>
        <v>37.481158000000008</v>
      </c>
      <c r="EL14" s="13">
        <f t="shared" si="45"/>
        <v>11.32852146348689</v>
      </c>
      <c r="EM14" s="20">
        <f t="shared" si="19"/>
        <v>85.01019173223969</v>
      </c>
      <c r="EN14" s="59">
        <f t="shared" si="20"/>
        <v>355.1213028433508</v>
      </c>
      <c r="EO14" s="59">
        <f ca="1">AVERAGE(OFFSET($EN$3,0,0,'Données projet'!$E$15+1,1))-AVERAGE(OFFSET($H$3,0,0,'Données projet'!$E$15+1,1))</f>
        <v>533.26035274112917</v>
      </c>
      <c r="EP14" s="59">
        <f t="shared" si="46"/>
        <v>262.58149402282521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3.7179487179487181</v>
      </c>
      <c r="FE14" s="12">
        <f>IF('Données projet'!$A$218&gt;35,FE13+FD14-FM13,IF(A14&lt;'Données projet'!$A$218,$FB$205^A14,IF(A14='Données projet'!$A$218,'Données projet'!$B$218,FE13+FD14-FM13)))</f>
        <v>15.256410256410255</v>
      </c>
      <c r="FF14" s="17">
        <f>FE14*VLOOKUP('Données projet'!$B$16,Paramètres!$A$1:$I$89,3,0)*VLOOKUP('Données projet'!$B$16,Paramètres!$A$1:$I$89,5,0)</f>
        <v>15.946000000000002</v>
      </c>
      <c r="FG14" s="13">
        <f t="shared" si="47"/>
        <v>5.3237194363648275</v>
      </c>
      <c r="FH14" s="20">
        <f t="shared" si="22"/>
        <v>37.044761351668747</v>
      </c>
      <c r="FI14" s="59">
        <f t="shared" si="23"/>
        <v>307.15587246277988</v>
      </c>
      <c r="FJ14" s="59">
        <f ca="1">AVERAGE(OFFSET($FI$3,0,0,'Données projet'!$E$16+1,1))-AVERAGE(OFFSET($H$3,0,0,'Données projet'!$E$16+1,1))</f>
        <v>239.26156489359892</v>
      </c>
      <c r="FK14" s="59">
        <f t="shared" si="48"/>
        <v>213.97034450798111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4.016578947368421</v>
      </c>
      <c r="N15" s="13">
        <f>IF('Données projet'!$A$36&gt;35,N14+M15-V14,IF(A15&lt;'Données projet'!$A$36,$K$205^A15,IF(A15='Données projet'!$A$36,'Données projet'!$B$36,N14+M15-V14)))</f>
        <v>48.198947368421067</v>
      </c>
      <c r="O15" s="13">
        <f>N15*VLOOKUP('Données projet'!$B$9,Paramètres!$A$1:$I$89,3,0)*VLOOKUP('Données projet'!$B$9,Paramètres!$A$1:$I$89,5,0)</f>
        <v>45.866118315789485</v>
      </c>
      <c r="P15" s="13">
        <f t="shared" si="33"/>
        <v>13.540864261844654</v>
      </c>
      <c r="Q15" s="20">
        <f t="shared" si="2"/>
        <v>103.4671613227128</v>
      </c>
      <c r="R15" s="59">
        <f t="shared" si="0"/>
        <v>374.80049465604611</v>
      </c>
      <c r="S15" s="59">
        <f ca="1">AVERAGE(OFFSET($R$3,0,0,'Données projet'!$E$9+1,1))-AVERAGE(OFFSET($H$3,0,0,'Données projet'!$E$9+1,1))</f>
        <v>449.28947235329758</v>
      </c>
      <c r="T15" s="59">
        <f t="shared" si="34"/>
        <v>289.36994109443964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5.8890909090909096</v>
      </c>
      <c r="AI15" s="13">
        <f>IF('Données projet'!$A$62&gt;35,AI14+AH15-AQ14,IF(A15&lt;'Données projet'!$A$62,$AF$205^A15,IF(A15='Données projet'!$A$62,'Données projet'!$B$62,AI14+AH15-AQ14)))</f>
        <v>14.198971124819497</v>
      </c>
      <c r="AJ15" s="13">
        <f>AI15*VLOOKUP('Données projet'!$B$10,Paramètres!$A$1:$I$89,3,0)*VLOOKUP('Données projet'!$B$10,Paramètres!$A$1:$I$89,5,0)</f>
        <v>8.49098473264206</v>
      </c>
      <c r="AK15" s="13">
        <f t="shared" si="35"/>
        <v>3.0505588433685857</v>
      </c>
      <c r="AL15" s="20">
        <f t="shared" si="4"/>
        <v>20.10152172821854</v>
      </c>
      <c r="AM15" s="59">
        <f t="shared" si="5"/>
        <v>291.43485506155184</v>
      </c>
      <c r="AN15" s="59">
        <f ca="1">AVERAGE(OFFSET($AM$3,0,0,'Données projet'!$E$10+1,1))-AVERAGE(OFFSET($H$3,0,0,'Données projet'!$E$10+1,1))</f>
        <v>349.71285006949597</v>
      </c>
      <c r="AO15" s="59">
        <f t="shared" si="36"/>
        <v>258.51550516456842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7.2723529411764707</v>
      </c>
      <c r="BD15" s="12">
        <f>IF('Données projet'!$A$88&gt;35,BD14+BC15-BL14,IF(A15&lt;'Données projet'!$A$88,$BA$205^A15,IF(A15='Données projet'!$A$88,'Données projet'!$B$88,BD14+BC15-BL14)))</f>
        <v>29.977355585701336</v>
      </c>
      <c r="BE15" s="13">
        <f>BD15*VLOOKUP('Données projet'!$B$11,Paramètres!$A$1:$I$89,3,0)*VLOOKUP('Données projet'!$B$11,Paramètres!$A$1:$I$89,5,0)</f>
        <v>17.9264586402494</v>
      </c>
      <c r="BF15" s="13">
        <f t="shared" si="37"/>
        <v>5.9039110834693549</v>
      </c>
      <c r="BG15" s="20">
        <f t="shared" si="7"/>
        <v>41.504560602143492</v>
      </c>
      <c r="BH15" s="59">
        <f t="shared" si="8"/>
        <v>312.83789393547681</v>
      </c>
      <c r="BI15" s="59">
        <f ca="1">AVERAGE(OFFSET($BH$3,0,0,'Données projet'!$E$11+1,1))-AVERAGE(OFFSET($H$3,0,0,'Données projet'!$E$11+1,1))</f>
        <v>302.00825291248458</v>
      </c>
      <c r="BJ15" s="59">
        <f t="shared" si="38"/>
        <v>307.35115839449355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7.7715686274509812</v>
      </c>
      <c r="BY15" s="12">
        <f>IF('Données projet'!$A$114&gt;35,BY14+BX15-CG14,IF(A15&lt;'Données projet'!$A$114,$BV$205^A15,IF(A15='Données projet'!$A$114,'Données projet'!$B$114,BY14+BX15-CG14)))</f>
        <v>93.258823529411757</v>
      </c>
      <c r="BZ15" s="13">
        <f>BY15*VLOOKUP('Données projet'!$B$12,Paramètres!$A$1:$I$89,3,0)*VLOOKUP('Données projet'!$B$12,Paramètres!$A$1:$I$89,5,0)</f>
        <v>43.6451294117647</v>
      </c>
      <c r="CA15" s="13">
        <f t="shared" si="39"/>
        <v>12.959830604318677</v>
      </c>
      <c r="CB15" s="20">
        <f t="shared" si="10"/>
        <v>98.586972028011871</v>
      </c>
      <c r="CC15" s="59">
        <f t="shared" si="11"/>
        <v>369.92030536134519</v>
      </c>
      <c r="CD15" s="59">
        <f ca="1">AVERAGE(OFFSET($CC$3,0,0,'Données projet'!$E$12+1,1))-AVERAGE(OFFSET($H$3,0,0,'Données projet'!$E$12+1,1))</f>
        <v>337.10499990421835</v>
      </c>
      <c r="CE15" s="59">
        <f t="shared" si="40"/>
        <v>277.4254079562175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3.3603333333333336</v>
      </c>
      <c r="CT15" s="12">
        <f>IF('Données projet'!$A$140&gt;35,CT14+CS15-DB14,IF(A15&lt;'Données projet'!$A$140,$CQ$205^A15,IF(A15='Données projet'!$A$140,'Données projet'!$B$140,CT14+CS15-DB14)))</f>
        <v>40.324000000000012</v>
      </c>
      <c r="CU15" s="17">
        <f>CT15*VLOOKUP('Données projet'!$B$13,Paramètres!$A$1:$I$89,3,0)*VLOOKUP('Données projet'!$B$13,Paramètres!$A$1:$I$89,5,0)</f>
        <v>40.259481600000015</v>
      </c>
      <c r="CV15" s="13">
        <f t="shared" si="41"/>
        <v>12.067396629887941</v>
      </c>
      <c r="CW15" s="20">
        <f t="shared" si="13"/>
        <v>91.135979583721522</v>
      </c>
      <c r="CX15" s="59">
        <f t="shared" si="14"/>
        <v>362.46931291705482</v>
      </c>
      <c r="CY15" s="59">
        <f ca="1">AVERAGE(OFFSET($CX$3,0,0,'Données projet'!$E$13+1,1))-AVERAGE(OFFSET($H$3,0,0,'Données projet'!$E$13+1,1))</f>
        <v>525.74725170626471</v>
      </c>
      <c r="CZ15" s="59">
        <f t="shared" si="42"/>
        <v>259.19103598192197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4.5856818181818184</v>
      </c>
      <c r="DO15" s="12">
        <f>IF('Données projet'!$A$166&gt;35,DO14+DN15-DW14,IF(A15&lt;'Données projet'!$A$166,$DL$205^A15,IF(A15='Données projet'!$A$166,'Données projet'!$B$166,DO14+DN15-DW14)))</f>
        <v>55.028181818181821</v>
      </c>
      <c r="DP15" s="17">
        <f>DO15*VLOOKUP('Données projet'!$B$14,Paramètres!$A$1:$I$89,3,0)*VLOOKUP('Données projet'!$B$14,Paramètres!$A$1:$I$89,5,0)</f>
        <v>49.789498909090909</v>
      </c>
      <c r="DQ15" s="13">
        <f t="shared" si="43"/>
        <v>14.559383497706923</v>
      </c>
      <c r="DR15" s="20">
        <f t="shared" si="16"/>
        <v>112.07430352517288</v>
      </c>
      <c r="DS15" s="59">
        <f t="shared" si="17"/>
        <v>383.40763685850618</v>
      </c>
      <c r="DT15" s="59">
        <f ca="1">AVERAGE(OFFSET($DS$3,0,0,'Données projet'!$E$14+1,1))-AVERAGE(OFFSET($H$3,0,0,'Données projet'!$E$14+1,1))</f>
        <v>490.06222615476065</v>
      </c>
      <c r="DU15" s="59">
        <f t="shared" si="44"/>
        <v>310.43914804089906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3.3603333333333336</v>
      </c>
      <c r="EJ15" s="12">
        <f>IF('Données projet'!$A$192&gt;35,EJ14+EI15-ER14,IF(A15&lt;'Données projet'!$A$192,$EG$205^A15,IF(A15='Données projet'!$A$192,'Données projet'!$B$192,EJ14+EI15-ER14)))</f>
        <v>40.324000000000012</v>
      </c>
      <c r="EK15" s="17">
        <f>EJ15*VLOOKUP('Données projet'!$B$15,Paramètres!$A$1:$I$89,3,0)*VLOOKUP('Données projet'!$B$15,Paramètres!$A$1:$I$89,5,0)</f>
        <v>40.888536000000016</v>
      </c>
      <c r="EL15" s="13">
        <f t="shared" si="45"/>
        <v>12.2338514914741</v>
      </c>
      <c r="EM15" s="20">
        <f t="shared" si="19"/>
        <v>92.52149154765074</v>
      </c>
      <c r="EN15" s="59">
        <f t="shared" si="20"/>
        <v>363.85482488098404</v>
      </c>
      <c r="EO15" s="59">
        <f ca="1">AVERAGE(OFFSET($EN$3,0,0,'Données projet'!$E$15+1,1))-AVERAGE(OFFSET($H$3,0,0,'Données projet'!$E$15+1,1))</f>
        <v>533.26035274112917</v>
      </c>
      <c r="EP15" s="59">
        <f t="shared" si="46"/>
        <v>262.58149402282521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3.7179487179487181</v>
      </c>
      <c r="FE15" s="12">
        <f>IF('Données projet'!$A$218&gt;35,FE14+FD15-FM14,IF(A15&lt;'Données projet'!$A$218,$FB$205^A15,IF(A15='Données projet'!$A$218,'Données projet'!$B$218,FE14+FD15-FM14)))</f>
        <v>18.974358974358974</v>
      </c>
      <c r="FF15" s="17">
        <f>FE15*VLOOKUP('Données projet'!$B$16,Paramètres!$A$1:$I$89,3,0)*VLOOKUP('Données projet'!$B$16,Paramètres!$A$1:$I$89,5,0)</f>
        <v>19.832000000000001</v>
      </c>
      <c r="FG15" s="13">
        <f t="shared" si="47"/>
        <v>6.4551318352154752</v>
      </c>
      <c r="FH15" s="20">
        <f t="shared" si="22"/>
        <v>45.783421279666953</v>
      </c>
      <c r="FI15" s="59">
        <f t="shared" si="23"/>
        <v>317.11675461300024</v>
      </c>
      <c r="FJ15" s="59">
        <f ca="1">AVERAGE(OFFSET($FI$3,0,0,'Données projet'!$E$16+1,1))-AVERAGE(OFFSET($H$3,0,0,'Données projet'!$E$16+1,1))</f>
        <v>239.26156489359892</v>
      </c>
      <c r="FK15" s="59">
        <f t="shared" si="48"/>
        <v>213.97034450798111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4.016578947368421</v>
      </c>
      <c r="N16" s="13">
        <f>IF('Données projet'!$A$36&gt;35,N15+M16-V15,IF(A16&lt;'Données projet'!$A$36,$K$205^A16,IF(A16='Données projet'!$A$36,'Données projet'!$B$36,N15+M16-V15)))</f>
        <v>52.215526315789489</v>
      </c>
      <c r="O16" s="13">
        <f>N16*VLOOKUP('Données projet'!$B$9,Paramètres!$A$1:$I$89,3,0)*VLOOKUP('Données projet'!$B$9,Paramètres!$A$1:$I$89,5,0)</f>
        <v>49.688294842105279</v>
      </c>
      <c r="P16" s="13">
        <f t="shared" si="33"/>
        <v>14.533231172057361</v>
      </c>
      <c r="Q16" s="20">
        <f t="shared" si="2"/>
        <v>111.85249114133325</v>
      </c>
      <c r="R16" s="59">
        <f t="shared" si="0"/>
        <v>384.40804669688879</v>
      </c>
      <c r="S16" s="59">
        <f ca="1">AVERAGE(OFFSET($R$3,0,0,'Données projet'!$E$9+1,1))-AVERAGE(OFFSET($H$3,0,0,'Données projet'!$E$9+1,1))</f>
        <v>449.28947235329758</v>
      </c>
      <c r="T16" s="59">
        <f t="shared" si="34"/>
        <v>289.36994109443964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5.8890909090909096</v>
      </c>
      <c r="AI16" s="13">
        <f>IF('Données projet'!$A$62&gt;35,AI15+AH16-AQ15,IF(A16&lt;'Données projet'!$A$62,$AF$205^A16,IF(A16='Données projet'!$A$62,'Données projet'!$B$62,AI15+AH16-AQ15)))</f>
        <v>17.712435523051596</v>
      </c>
      <c r="AJ16" s="13">
        <f>AI16*VLOOKUP('Données projet'!$B$10,Paramètres!$A$1:$I$89,3,0)*VLOOKUP('Données projet'!$B$10,Paramètres!$A$1:$I$89,5,0)</f>
        <v>10.592036442784856</v>
      </c>
      <c r="AK16" s="13">
        <f t="shared" si="35"/>
        <v>3.708718932562717</v>
      </c>
      <c r="AL16" s="20">
        <f t="shared" si="4"/>
        <v>24.907148945397026</v>
      </c>
      <c r="AM16" s="59">
        <f t="shared" si="5"/>
        <v>297.46270450095255</v>
      </c>
      <c r="AN16" s="59">
        <f ca="1">AVERAGE(OFFSET($AM$3,0,0,'Données projet'!$E$10+1,1))-AVERAGE(OFFSET($H$3,0,0,'Données projet'!$E$10+1,1))</f>
        <v>349.71285006949597</v>
      </c>
      <c r="AO16" s="59">
        <f t="shared" si="36"/>
        <v>258.51550516456842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7.2723529411764707</v>
      </c>
      <c r="BD16" s="12">
        <f>IF('Données projet'!$A$88&gt;35,BD15+BC16-BL15,IF(A16&lt;'Données projet'!$A$88,$BA$205^A16,IF(A16='Données projet'!$A$88,'Données projet'!$B$88,BD15+BC16-BL15)))</f>
        <v>39.797833378131948</v>
      </c>
      <c r="BE16" s="13">
        <f>BD16*VLOOKUP('Données projet'!$B$11,Paramètres!$A$1:$I$89,3,0)*VLOOKUP('Données projet'!$B$11,Paramètres!$A$1:$I$89,5,0)</f>
        <v>23.799104360122907</v>
      </c>
      <c r="BF16" s="13">
        <f t="shared" si="37"/>
        <v>7.583697874147882</v>
      </c>
      <c r="BG16" s="20">
        <f t="shared" si="7"/>
        <v>54.658380558021626</v>
      </c>
      <c r="BH16" s="59">
        <f t="shared" si="8"/>
        <v>327.21393611357718</v>
      </c>
      <c r="BI16" s="59">
        <f ca="1">AVERAGE(OFFSET($BH$3,0,0,'Données projet'!$E$11+1,1))-AVERAGE(OFFSET($H$3,0,0,'Données projet'!$E$11+1,1))</f>
        <v>302.00825291248458</v>
      </c>
      <c r="BJ16" s="59">
        <f t="shared" si="38"/>
        <v>307.35115839449355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7.7715686274509812</v>
      </c>
      <c r="BY16" s="12">
        <f>IF('Données projet'!$A$114&gt;35,BY15+BX16-CG15,IF(A16&lt;'Données projet'!$A$114,$BV$205^A16,IF(A16='Données projet'!$A$114,'Données projet'!$B$114,BY15+BX16-CG15)))</f>
        <v>101.03039215686273</v>
      </c>
      <c r="BZ16" s="13">
        <f>BY16*VLOOKUP('Données projet'!$B$12,Paramètres!$A$1:$I$89,3,0)*VLOOKUP('Données projet'!$B$12,Paramètres!$A$1:$I$89,5,0)</f>
        <v>47.282223529411759</v>
      </c>
      <c r="CA16" s="13">
        <f t="shared" si="39"/>
        <v>13.909615404239247</v>
      </c>
      <c r="CB16" s="20">
        <f t="shared" si="10"/>
        <v>106.5757861427755</v>
      </c>
      <c r="CC16" s="59">
        <f t="shared" si="11"/>
        <v>379.13134169833103</v>
      </c>
      <c r="CD16" s="59">
        <f ca="1">AVERAGE(OFFSET($CC$3,0,0,'Données projet'!$E$12+1,1))-AVERAGE(OFFSET($H$3,0,0,'Données projet'!$E$12+1,1))</f>
        <v>337.10499990421835</v>
      </c>
      <c r="CE16" s="59">
        <f t="shared" si="40"/>
        <v>277.4254079562175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3.3603333333333336</v>
      </c>
      <c r="CT16" s="12">
        <f>IF('Données projet'!$A$140&gt;35,CT15+CS16-DB15,IF(A16&lt;'Données projet'!$A$140,$CQ$205^A16,IF(A16='Données projet'!$A$140,'Données projet'!$B$140,CT15+CS16-DB15)))</f>
        <v>43.684333333333349</v>
      </c>
      <c r="CU16" s="17">
        <f>CT16*VLOOKUP('Données projet'!$B$13,Paramètres!$A$1:$I$89,3,0)*VLOOKUP('Données projet'!$B$13,Paramètres!$A$1:$I$89,5,0)</f>
        <v>43.614438400000019</v>
      </c>
      <c r="CV16" s="13">
        <f t="shared" si="41"/>
        <v>12.951777779890081</v>
      </c>
      <c r="CW16" s="20">
        <f t="shared" si="13"/>
        <v>98.519493179975257</v>
      </c>
      <c r="CX16" s="59">
        <f t="shared" si="14"/>
        <v>371.0750487355308</v>
      </c>
      <c r="CY16" s="59">
        <f ca="1">AVERAGE(OFFSET($CX$3,0,0,'Données projet'!$E$13+1,1))-AVERAGE(OFFSET($H$3,0,0,'Données projet'!$E$13+1,1))</f>
        <v>525.74725170626471</v>
      </c>
      <c r="CZ16" s="59">
        <f t="shared" si="42"/>
        <v>259.19103598192197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4.5856818181818184</v>
      </c>
      <c r="DO16" s="12">
        <f>IF('Données projet'!$A$166&gt;35,DO15+DN16-DW15,IF(A16&lt;'Données projet'!$A$166,$DL$205^A16,IF(A16='Données projet'!$A$166,'Données projet'!$B$166,DO15+DN16-DW15)))</f>
        <v>59.613863636363639</v>
      </c>
      <c r="DP16" s="17">
        <f>DO16*VLOOKUP('Données projet'!$B$14,Paramètres!$A$1:$I$89,3,0)*VLOOKUP('Données projet'!$B$14,Paramètres!$A$1:$I$89,5,0)</f>
        <v>53.938623818181817</v>
      </c>
      <c r="DQ16" s="13">
        <f t="shared" si="43"/>
        <v>15.62639444596179</v>
      </c>
      <c r="DR16" s="20">
        <f t="shared" si="16"/>
        <v>121.15907347671678</v>
      </c>
      <c r="DS16" s="59">
        <f t="shared" si="17"/>
        <v>393.71462903227234</v>
      </c>
      <c r="DT16" s="59">
        <f ca="1">AVERAGE(OFFSET($DS$3,0,0,'Données projet'!$E$14+1,1))-AVERAGE(OFFSET($H$3,0,0,'Données projet'!$E$14+1,1))</f>
        <v>490.06222615476065</v>
      </c>
      <c r="DU16" s="59">
        <f t="shared" si="44"/>
        <v>310.43914804089906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3.3603333333333336</v>
      </c>
      <c r="EJ16" s="12">
        <f>IF('Données projet'!$A$192&gt;35,EJ15+EI16-ER15,IF(A16&lt;'Données projet'!$A$192,$EG$205^A16,IF(A16='Données projet'!$A$192,'Données projet'!$B$192,EJ15+EI16-ER15)))</f>
        <v>43.684333333333349</v>
      </c>
      <c r="EK16" s="17">
        <f>EJ16*VLOOKUP('Données projet'!$B$15,Paramètres!$A$1:$I$89,3,0)*VLOOKUP('Données projet'!$B$15,Paramètres!$A$1:$I$89,5,0)</f>
        <v>44.295914000000018</v>
      </c>
      <c r="EL16" s="13">
        <f t="shared" si="45"/>
        <v>13.130431589304674</v>
      </c>
      <c r="EM16" s="20">
        <f t="shared" si="19"/>
        <v>100.01755190137233</v>
      </c>
      <c r="EN16" s="59">
        <f t="shared" si="20"/>
        <v>372.57310745692786</v>
      </c>
      <c r="EO16" s="59">
        <f ca="1">AVERAGE(OFFSET($EN$3,0,0,'Données projet'!$E$15+1,1))-AVERAGE(OFFSET($H$3,0,0,'Données projet'!$E$15+1,1))</f>
        <v>533.26035274112917</v>
      </c>
      <c r="EP16" s="59">
        <f t="shared" si="46"/>
        <v>262.58149402282521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3.7179487179487181</v>
      </c>
      <c r="FE16" s="12">
        <f>IF('Données projet'!$A$218&gt;35,FE15+FD16-FM15,IF(A16&lt;'Données projet'!$A$218,$FB$205^A16,IF(A16='Données projet'!$A$218,'Données projet'!$B$218,FE15+FD16-FM15)))</f>
        <v>22.692307692307693</v>
      </c>
      <c r="FF16" s="17">
        <f>FE16*VLOOKUP('Données projet'!$B$16,Paramètres!$A$1:$I$89,3,0)*VLOOKUP('Données projet'!$B$16,Paramètres!$A$1:$I$89,5,0)</f>
        <v>23.718000000000004</v>
      </c>
      <c r="FG16" s="13">
        <f t="shared" si="47"/>
        <v>7.5608573241730994</v>
      </c>
      <c r="FH16" s="20">
        <f t="shared" si="22"/>
        <v>54.477343172934816</v>
      </c>
      <c r="FI16" s="59">
        <f t="shared" si="23"/>
        <v>327.03289872849035</v>
      </c>
      <c r="FJ16" s="59">
        <f ca="1">AVERAGE(OFFSET($FI$3,0,0,'Données projet'!$E$16+1,1))-AVERAGE(OFFSET($H$3,0,0,'Données projet'!$E$16+1,1))</f>
        <v>239.26156489359892</v>
      </c>
      <c r="FK16" s="59">
        <f t="shared" si="48"/>
        <v>213.97034450798111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4.016578947368421</v>
      </c>
      <c r="N17" s="13">
        <f>IF('Données projet'!$A$36&gt;35,N16+M17-V16,IF(A17&lt;'Données projet'!$A$36,$K$205^A17,IF(A17='Données projet'!$A$36,'Données projet'!$B$36,N16+M17-V16)))</f>
        <v>56.232105263157912</v>
      </c>
      <c r="O17" s="13">
        <f>N17*VLOOKUP('Données projet'!$B$9,Paramètres!$A$1:$I$89,3,0)*VLOOKUP('Données projet'!$B$9,Paramètres!$A$1:$I$89,5,0)</f>
        <v>53.510471368421072</v>
      </c>
      <c r="P17" s="13">
        <f t="shared" si="33"/>
        <v>15.516743029905101</v>
      </c>
      <c r="Q17" s="20">
        <f t="shared" si="2"/>
        <v>120.22239841041811</v>
      </c>
      <c r="R17" s="59">
        <f t="shared" si="0"/>
        <v>394.00017618819589</v>
      </c>
      <c r="S17" s="59">
        <f ca="1">AVERAGE(OFFSET($R$3,0,0,'Données projet'!$E$9+1,1))-AVERAGE(OFFSET($H$3,0,0,'Données projet'!$E$9+1,1))</f>
        <v>449.28947235329758</v>
      </c>
      <c r="T17" s="59">
        <f t="shared" si="34"/>
        <v>289.36994109443964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5.8890909090909096</v>
      </c>
      <c r="AI17" s="13">
        <f>IF('Données projet'!$A$62&gt;35,AI16+AH17-AQ16,IF(A17&lt;'Données projet'!$A$62,$AF$205^A17,IF(A17='Données projet'!$A$62,'Données projet'!$B$62,AI16+AH17-AQ16)))</f>
        <v>22.095289116397044</v>
      </c>
      <c r="AJ17" s="13">
        <f>AI17*VLOOKUP('Données projet'!$B$10,Paramètres!$A$1:$I$89,3,0)*VLOOKUP('Données projet'!$B$10,Paramètres!$A$1:$I$89,5,0)</f>
        <v>13.212982891605433</v>
      </c>
      <c r="AK17" s="13">
        <f t="shared" si="35"/>
        <v>4.508877496544403</v>
      </c>
      <c r="AL17" s="20">
        <f t="shared" si="4"/>
        <v>30.86557350936096</v>
      </c>
      <c r="AM17" s="59">
        <f t="shared" si="5"/>
        <v>304.64335128713873</v>
      </c>
      <c r="AN17" s="59">
        <f ca="1">AVERAGE(OFFSET($AM$3,0,0,'Données projet'!$E$10+1,1))-AVERAGE(OFFSET($H$3,0,0,'Données projet'!$E$10+1,1))</f>
        <v>349.71285006949597</v>
      </c>
      <c r="AO17" s="59">
        <f t="shared" si="36"/>
        <v>258.51550516456842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7.2723529411764707</v>
      </c>
      <c r="BD17" s="12">
        <f>IF('Données projet'!$A$88&gt;35,BD16+BC17-BL16,IF(A17&lt;'Données projet'!$A$88,$BA$205^A17,IF(A17='Données projet'!$A$88,'Données projet'!$B$88,BD16+BC17-BL16)))</f>
        <v>52.835465658919915</v>
      </c>
      <c r="BE17" s="13">
        <f>BD17*VLOOKUP('Données projet'!$B$11,Paramètres!$A$1:$I$89,3,0)*VLOOKUP('Données projet'!$B$11,Paramètres!$A$1:$I$89,5,0)</f>
        <v>31.595608464034111</v>
      </c>
      <c r="BF17" s="13">
        <f t="shared" si="37"/>
        <v>9.7414193122567614</v>
      </c>
      <c r="BG17" s="20">
        <f t="shared" si="7"/>
        <v>71.995323377039924</v>
      </c>
      <c r="BH17" s="59">
        <f t="shared" si="8"/>
        <v>345.77310115481771</v>
      </c>
      <c r="BI17" s="59">
        <f ca="1">AVERAGE(OFFSET($BH$3,0,0,'Données projet'!$E$11+1,1))-AVERAGE(OFFSET($H$3,0,0,'Données projet'!$E$11+1,1))</f>
        <v>302.00825291248458</v>
      </c>
      <c r="BJ17" s="59">
        <f t="shared" si="38"/>
        <v>307.35115839449355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7.7715686274509812</v>
      </c>
      <c r="BY17" s="12">
        <f>IF('Données projet'!$A$114&gt;35,BY16+BX17-CG16,IF(A17&lt;'Données projet'!$A$114,$BV$205^A17,IF(A17='Données projet'!$A$114,'Données projet'!$B$114,BY16+BX17-CG16)))</f>
        <v>108.80196078431371</v>
      </c>
      <c r="BZ17" s="13">
        <f>BY17*VLOOKUP('Données projet'!$B$12,Paramètres!$A$1:$I$89,3,0)*VLOOKUP('Données projet'!$B$12,Paramètres!$A$1:$I$89,5,0)</f>
        <v>50.919317647058811</v>
      </c>
      <c r="CA17" s="13">
        <f t="shared" si="39"/>
        <v>14.850925118934597</v>
      </c>
      <c r="CB17" s="20">
        <f t="shared" si="10"/>
        <v>114.54983948410518</v>
      </c>
      <c r="CC17" s="59">
        <f t="shared" si="11"/>
        <v>388.32761726188295</v>
      </c>
      <c r="CD17" s="59">
        <f ca="1">AVERAGE(OFFSET($CC$3,0,0,'Données projet'!$E$12+1,1))-AVERAGE(OFFSET($H$3,0,0,'Données projet'!$E$12+1,1))</f>
        <v>337.10499990421835</v>
      </c>
      <c r="CE17" s="59">
        <f t="shared" si="40"/>
        <v>277.4254079562175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3.3603333333333336</v>
      </c>
      <c r="CT17" s="12">
        <f>IF('Données projet'!$A$140&gt;35,CT16+CS17-DB16,IF(A17&lt;'Données projet'!$A$140,$CQ$205^A17,IF(A17='Données projet'!$A$140,'Données projet'!$B$140,CT16+CS17-DB16)))</f>
        <v>47.044666666666686</v>
      </c>
      <c r="CU17" s="17">
        <f>CT17*VLOOKUP('Données projet'!$B$13,Paramètres!$A$1:$I$89,3,0)*VLOOKUP('Données projet'!$B$13,Paramètres!$A$1:$I$89,5,0)</f>
        <v>46.969395200000022</v>
      </c>
      <c r="CV17" s="13">
        <f t="shared" si="41"/>
        <v>13.828267452140132</v>
      </c>
      <c r="CW17" s="20">
        <f t="shared" si="13"/>
        <v>105.88926245247744</v>
      </c>
      <c r="CX17" s="59">
        <f t="shared" si="14"/>
        <v>379.66704023025522</v>
      </c>
      <c r="CY17" s="59">
        <f ca="1">AVERAGE(OFFSET($CX$3,0,0,'Données projet'!$E$13+1,1))-AVERAGE(OFFSET($H$3,0,0,'Données projet'!$E$13+1,1))</f>
        <v>525.74725170626471</v>
      </c>
      <c r="CZ17" s="59">
        <f t="shared" si="42"/>
        <v>259.19103598192197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4.5856818181818184</v>
      </c>
      <c r="DO17" s="12">
        <f>IF('Données projet'!$A$166&gt;35,DO16+DN17-DW16,IF(A17&lt;'Données projet'!$A$166,$DL$205^A17,IF(A17='Données projet'!$A$166,'Données projet'!$B$166,DO16+DN17-DW16)))</f>
        <v>64.199545454545458</v>
      </c>
      <c r="DP17" s="17">
        <f>DO17*VLOOKUP('Données projet'!$B$14,Paramètres!$A$1:$I$89,3,0)*VLOOKUP('Données projet'!$B$14,Paramètres!$A$1:$I$89,5,0)</f>
        <v>58.087748727272725</v>
      </c>
      <c r="DQ17" s="13">
        <f t="shared" si="43"/>
        <v>16.683884280882914</v>
      </c>
      <c r="DR17" s="20">
        <f t="shared" si="16"/>
        <v>130.22726082253777</v>
      </c>
      <c r="DS17" s="59">
        <f t="shared" si="17"/>
        <v>404.00503860031552</v>
      </c>
      <c r="DT17" s="59">
        <f ca="1">AVERAGE(OFFSET($DS$3,0,0,'Données projet'!$E$14+1,1))-AVERAGE(OFFSET($H$3,0,0,'Données projet'!$E$14+1,1))</f>
        <v>490.06222615476065</v>
      </c>
      <c r="DU17" s="59">
        <f t="shared" si="44"/>
        <v>310.43914804089906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3.3603333333333336</v>
      </c>
      <c r="EJ17" s="12">
        <f>IF('Données projet'!$A$192&gt;35,EJ16+EI17-ER16,IF(A17&lt;'Données projet'!$A$192,$EG$205^A17,IF(A17='Données projet'!$A$192,'Données projet'!$B$192,EJ16+EI17-ER16)))</f>
        <v>47.044666666666686</v>
      </c>
      <c r="EK17" s="17">
        <f>EJ17*VLOOKUP('Données projet'!$B$15,Paramètres!$A$1:$I$89,3,0)*VLOOKUP('Données projet'!$B$15,Paramètres!$A$1:$I$89,5,0)</f>
        <v>47.703292000000019</v>
      </c>
      <c r="EL17" s="13">
        <f t="shared" si="45"/>
        <v>14.019011356175028</v>
      </c>
      <c r="EM17" s="20">
        <f t="shared" si="19"/>
        <v>107.49967834533821</v>
      </c>
      <c r="EN17" s="59">
        <f t="shared" si="20"/>
        <v>381.277456123116</v>
      </c>
      <c r="EO17" s="59">
        <f ca="1">AVERAGE(OFFSET($EN$3,0,0,'Données projet'!$E$15+1,1))-AVERAGE(OFFSET($H$3,0,0,'Données projet'!$E$15+1,1))</f>
        <v>533.26035274112917</v>
      </c>
      <c r="EP17" s="59">
        <f t="shared" si="46"/>
        <v>262.58149402282521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3.7179487179487181</v>
      </c>
      <c r="FE17" s="12">
        <f>IF('Données projet'!$A$218&gt;35,FE16+FD17-FM16,IF(A17&lt;'Données projet'!$A$218,$FB$205^A17,IF(A17='Données projet'!$A$218,'Données projet'!$B$218,FE16+FD17-FM16)))</f>
        <v>26.410256410256412</v>
      </c>
      <c r="FF17" s="17">
        <f>FE17*VLOOKUP('Données projet'!$B$16,Paramètres!$A$1:$I$89,3,0)*VLOOKUP('Données projet'!$B$16,Paramètres!$A$1:$I$89,5,0)</f>
        <v>27.604000000000006</v>
      </c>
      <c r="FG17" s="13">
        <f t="shared" si="47"/>
        <v>8.6455960616159544</v>
      </c>
      <c r="FH17" s="20">
        <f t="shared" si="22"/>
        <v>63.134713140647797</v>
      </c>
      <c r="FI17" s="59">
        <f t="shared" si="23"/>
        <v>336.91249091842559</v>
      </c>
      <c r="FJ17" s="59">
        <f ca="1">AVERAGE(OFFSET($FI$3,0,0,'Données projet'!$E$16+1,1))-AVERAGE(OFFSET($H$3,0,0,'Données projet'!$E$16+1,1))</f>
        <v>239.26156489359892</v>
      </c>
      <c r="FK17" s="59">
        <f t="shared" si="48"/>
        <v>213.97034450798111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4.016578947368421</v>
      </c>
      <c r="N18" s="13">
        <f>IF('Données projet'!$A$36&gt;35,N17+M18-V17,IF(A18&lt;'Données projet'!$A$36,$K$205^A18,IF(A18='Données projet'!$A$36,'Données projet'!$B$36,N17+M18-V17)))</f>
        <v>60.248684210526335</v>
      </c>
      <c r="O18" s="13">
        <f>N18*VLOOKUP('Données projet'!$B$9,Paramètres!$A$1:$I$89,3,0)*VLOOKUP('Données projet'!$B$9,Paramètres!$A$1:$I$89,5,0)</f>
        <v>57.332647894736859</v>
      </c>
      <c r="P18" s="13">
        <f t="shared" si="33"/>
        <v>16.492104276158738</v>
      </c>
      <c r="Q18" s="20">
        <f t="shared" si="2"/>
        <v>128.57811003097649</v>
      </c>
      <c r="R18" s="59">
        <f t="shared" si="0"/>
        <v>403.57811003097652</v>
      </c>
      <c r="S18" s="59">
        <f ca="1">AVERAGE(OFFSET($R$3,0,0,'Données projet'!$E$9+1,1))-AVERAGE(OFFSET($H$3,0,0,'Données projet'!$E$9+1,1))</f>
        <v>449.28947235329758</v>
      </c>
      <c r="T18" s="59">
        <f t="shared" si="34"/>
        <v>289.36994109443964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5.8890909090909096</v>
      </c>
      <c r="AI18" s="13">
        <f>IF('Données projet'!$A$62&gt;35,AI17+AH18-AQ17,IF(A18&lt;'Données projet'!$A$62,$AF$205^A18,IF(A18='Données projet'!$A$62,'Données projet'!$B$62,AI17+AH18-AQ17)))</f>
        <v>27.562657913521289</v>
      </c>
      <c r="AJ18" s="13">
        <f>AI18*VLOOKUP('Données projet'!$B$10,Paramètres!$A$1:$I$89,3,0)*VLOOKUP('Données projet'!$B$10,Paramètres!$A$1:$I$89,5,0)</f>
        <v>16.482469432285733</v>
      </c>
      <c r="AK18" s="13">
        <f t="shared" si="35"/>
        <v>5.4816708002179473</v>
      </c>
      <c r="AL18" s="20">
        <f t="shared" si="4"/>
        <v>38.254210904943911</v>
      </c>
      <c r="AM18" s="59">
        <f t="shared" si="5"/>
        <v>313.25421090494393</v>
      </c>
      <c r="AN18" s="59">
        <f ca="1">AVERAGE(OFFSET($AM$3,0,0,'Données projet'!$E$10+1,1))-AVERAGE(OFFSET($H$3,0,0,'Données projet'!$E$10+1,1))</f>
        <v>349.71285006949597</v>
      </c>
      <c r="AO18" s="59">
        <f t="shared" si="36"/>
        <v>258.51550516456842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7.2723529411764707</v>
      </c>
      <c r="BD18" s="12">
        <f>IF('Données projet'!$A$88&gt;35,BD17+BC18-BL17,IF(A18&lt;'Données projet'!$A$88,$BA$205^A18,IF(A18='Données projet'!$A$88,'Données projet'!$B$88,BD17+BC18-BL17)))</f>
        <v>70.144181088230326</v>
      </c>
      <c r="BE18" s="13">
        <f>BD18*VLOOKUP('Données projet'!$B$11,Paramètres!$A$1:$I$89,3,0)*VLOOKUP('Données projet'!$B$11,Paramètres!$A$1:$I$89,5,0)</f>
        <v>41.946220290761737</v>
      </c>
      <c r="BF18" s="13">
        <f t="shared" si="37"/>
        <v>12.51305785014169</v>
      </c>
      <c r="BG18" s="20">
        <f t="shared" si="7"/>
        <v>94.849909428740133</v>
      </c>
      <c r="BH18" s="59">
        <f t="shared" si="8"/>
        <v>369.84990942874015</v>
      </c>
      <c r="BI18" s="59">
        <f ca="1">AVERAGE(OFFSET($BH$3,0,0,'Données projet'!$E$11+1,1))-AVERAGE(OFFSET($H$3,0,0,'Données projet'!$E$11+1,1))</f>
        <v>302.00825291248458</v>
      </c>
      <c r="BJ18" s="59">
        <f t="shared" si="38"/>
        <v>307.35115839449355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7.7715686274509812</v>
      </c>
      <c r="BY18" s="12">
        <f>IF('Données projet'!$A$114&gt;35,BY17+BX18-CG17,IF(A18&lt;'Données projet'!$A$114,$BV$205^A18,IF(A18='Données projet'!$A$114,'Données projet'!$B$114,BY17+BX18-CG17)))</f>
        <v>116.57352941176468</v>
      </c>
      <c r="BZ18" s="13">
        <f>BY18*VLOOKUP('Données projet'!$B$12,Paramètres!$A$1:$I$89,3,0)*VLOOKUP('Données projet'!$B$12,Paramètres!$A$1:$I$89,5,0)</f>
        <v>54.556411764705871</v>
      </c>
      <c r="CA18" s="13">
        <f t="shared" si="39"/>
        <v>15.784433961873273</v>
      </c>
      <c r="CB18" s="20">
        <f t="shared" si="10"/>
        <v>122.51030630712535</v>
      </c>
      <c r="CC18" s="59">
        <f t="shared" si="11"/>
        <v>397.51030630712535</v>
      </c>
      <c r="CD18" s="59">
        <f ca="1">AVERAGE(OFFSET($CC$3,0,0,'Données projet'!$E$12+1,1))-AVERAGE(OFFSET($H$3,0,0,'Données projet'!$E$12+1,1))</f>
        <v>337.10499990421835</v>
      </c>
      <c r="CE18" s="59">
        <f t="shared" si="40"/>
        <v>277.4254079562175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3.3603333333333336</v>
      </c>
      <c r="CT18" s="12">
        <f>IF('Données projet'!$A$140&gt;35,CT17+CS18-DB17,IF(A18&lt;'Données projet'!$A$140,$CQ$205^A18,IF(A18='Données projet'!$A$140,'Données projet'!$B$140,CT17+CS18-DB17)))</f>
        <v>50.405000000000022</v>
      </c>
      <c r="CU18" s="17">
        <f>CT18*VLOOKUP('Données projet'!$B$13,Paramètres!$A$1:$I$89,3,0)*VLOOKUP('Données projet'!$B$13,Paramètres!$A$1:$I$89,5,0)</f>
        <v>50.324352000000026</v>
      </c>
      <c r="CV18" s="13">
        <f t="shared" si="41"/>
        <v>14.697493432724697</v>
      </c>
      <c r="CW18" s="20">
        <f t="shared" si="13"/>
        <v>113.24638079532888</v>
      </c>
      <c r="CX18" s="59">
        <f t="shared" si="14"/>
        <v>388.24638079532889</v>
      </c>
      <c r="CY18" s="59">
        <f ca="1">AVERAGE(OFFSET($CX$3,0,0,'Données projet'!$E$13+1,1))-AVERAGE(OFFSET($H$3,0,0,'Données projet'!$E$13+1,1))</f>
        <v>525.74725170626471</v>
      </c>
      <c r="CZ18" s="59">
        <f t="shared" si="42"/>
        <v>259.19103598192197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4.5856818181818184</v>
      </c>
      <c r="DO18" s="12">
        <f>IF('Données projet'!$A$166&gt;35,DO17+DN18-DW17,IF(A18&lt;'Données projet'!$A$166,$DL$205^A18,IF(A18='Données projet'!$A$166,'Données projet'!$B$166,DO17+DN18-DW17)))</f>
        <v>68.785227272727269</v>
      </c>
      <c r="DP18" s="17">
        <f>DO18*VLOOKUP('Données projet'!$B$14,Paramètres!$A$1:$I$89,3,0)*VLOOKUP('Données projet'!$B$14,Paramètres!$A$1:$I$89,5,0)</f>
        <v>62.236873636363626</v>
      </c>
      <c r="DQ18" s="13">
        <f t="shared" si="43"/>
        <v>17.732610429997528</v>
      </c>
      <c r="DR18" s="20">
        <f t="shared" si="16"/>
        <v>139.28018474891235</v>
      </c>
      <c r="DS18" s="59">
        <f t="shared" si="17"/>
        <v>414.28018474891235</v>
      </c>
      <c r="DT18" s="59">
        <f ca="1">AVERAGE(OFFSET($DS$3,0,0,'Données projet'!$E$14+1,1))-AVERAGE(OFFSET($H$3,0,0,'Données projet'!$E$14+1,1))</f>
        <v>490.06222615476065</v>
      </c>
      <c r="DU18" s="59">
        <f t="shared" si="44"/>
        <v>310.43914804089906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3.3603333333333336</v>
      </c>
      <c r="EJ18" s="12">
        <f>IF('Données projet'!$A$192&gt;35,EJ17+EI18-ER17,IF(A18&lt;'Données projet'!$A$192,$EG$205^A18,IF(A18='Données projet'!$A$192,'Données projet'!$B$192,EJ17+EI18-ER17)))</f>
        <v>50.405000000000022</v>
      </c>
      <c r="EK18" s="17">
        <f>EJ18*VLOOKUP('Données projet'!$B$15,Paramètres!$A$1:$I$89,3,0)*VLOOKUP('Données projet'!$B$15,Paramètres!$A$1:$I$89,5,0)</f>
        <v>51.11067000000002</v>
      </c>
      <c r="EL18" s="13">
        <f t="shared" si="45"/>
        <v>14.900227237706996</v>
      </c>
      <c r="EM18" s="20">
        <f t="shared" si="19"/>
        <v>114.96897935567303</v>
      </c>
      <c r="EN18" s="59">
        <f t="shared" si="20"/>
        <v>389.96897935567301</v>
      </c>
      <c r="EO18" s="59">
        <f ca="1">AVERAGE(OFFSET($EN$3,0,0,'Données projet'!$E$15+1,1))-AVERAGE(OFFSET($H$3,0,0,'Données projet'!$E$15+1,1))</f>
        <v>533.26035274112917</v>
      </c>
      <c r="EP18" s="59">
        <f t="shared" si="46"/>
        <v>262.58149402282521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30.128205128205128</v>
      </c>
      <c r="FC18" s="12">
        <f>VLOOKUP(A18,'Données projet'!$A$217:$I$237,9,0)</f>
        <v>3.7179487179487181</v>
      </c>
      <c r="FD18" s="12">
        <f t="array" ref="FD18">INDEX(FC:FC,MIN(IF(ISNUMBER(FC18:FC214),ROW(FC18:FC214),"")))</f>
        <v>3.7179487179487181</v>
      </c>
      <c r="FE18" s="12">
        <f>IF('Données projet'!$A$218&gt;35,FE17+FD18-FM17,IF(A18&lt;'Données projet'!$A$218,$FB$205^A18,IF(A18='Données projet'!$A$218,'Données projet'!$B$218,FE17+FD18-FM17)))</f>
        <v>30.128205128205131</v>
      </c>
      <c r="FF18" s="17">
        <f>FE18*VLOOKUP('Données projet'!$B$16,Paramètres!$A$1:$I$89,3,0)*VLOOKUP('Données projet'!$B$16,Paramètres!$A$1:$I$89,5,0)</f>
        <v>31.490000000000006</v>
      </c>
      <c r="FG18" s="13">
        <f t="shared" si="47"/>
        <v>9.7126430402655597</v>
      </c>
      <c r="FH18" s="20">
        <f t="shared" si="22"/>
        <v>71.761269961795847</v>
      </c>
      <c r="FI18" s="59">
        <f t="shared" si="23"/>
        <v>346.76126996179585</v>
      </c>
      <c r="FJ18" s="59">
        <f ca="1">AVERAGE(OFFSET($FI$3,0,0,'Données projet'!$E$16+1,1))-AVERAGE(OFFSET($H$3,0,0,'Données projet'!$E$16+1,1))</f>
        <v>239.26156489359892</v>
      </c>
      <c r="FK18" s="59">
        <f t="shared" si="48"/>
        <v>213.97034450798111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0.215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4.016578947368421</v>
      </c>
      <c r="N19" s="13">
        <f>IF('Données projet'!$A$36&gt;35,N18+M19-V18,IF(A19&lt;'Données projet'!$A$36,$K$205^A19,IF(A19='Données projet'!$A$36,'Données projet'!$B$36,N18+M19-V18)))</f>
        <v>64.265263157894751</v>
      </c>
      <c r="O19" s="13">
        <f>N19*VLOOKUP('Données projet'!$B$9,Paramètres!$A$1:$I$89,3,0)*VLOOKUP('Données projet'!$B$9,Paramètres!$A$1:$I$89,5,0)</f>
        <v>61.154824421052645</v>
      </c>
      <c r="P19" s="13">
        <f t="shared" si="33"/>
        <v>17.459920112357459</v>
      </c>
      <c r="Q19" s="20">
        <f t="shared" si="2"/>
        <v>136.92068006235593</v>
      </c>
      <c r="R19" s="59">
        <f t="shared" si="0"/>
        <v>413.14290228457816</v>
      </c>
      <c r="S19" s="59">
        <f ca="1">AVERAGE(OFFSET($R$3,0,0,'Données projet'!$E$9+1,1))-AVERAGE(OFFSET($H$3,0,0,'Données projet'!$E$9+1,1))</f>
        <v>449.28947235329758</v>
      </c>
      <c r="T19" s="59">
        <f t="shared" si="34"/>
        <v>289.36994109443964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5.8890909090909096</v>
      </c>
      <c r="AI19" s="13">
        <f>IF('Données projet'!$A$62&gt;35,AI18+AH19-AQ18,IF(A19&lt;'Données projet'!$A$62,$AF$205^A19,IF(A19='Données projet'!$A$62,'Données projet'!$B$62,AI18+AH19-AQ18)))</f>
        <v>34.382899778126003</v>
      </c>
      <c r="AJ19" s="13">
        <f>AI19*VLOOKUP('Données projet'!$B$10,Paramètres!$A$1:$I$89,3,0)*VLOOKUP('Données projet'!$B$10,Paramètres!$A$1:$I$89,5,0)</f>
        <v>20.560974067319354</v>
      </c>
      <c r="AK19" s="13">
        <f t="shared" si="35"/>
        <v>6.6643449029146105</v>
      </c>
      <c r="AL19" s="20">
        <f t="shared" si="4"/>
        <v>47.417430539824153</v>
      </c>
      <c r="AM19" s="59">
        <f t="shared" si="5"/>
        <v>323.63965276204635</v>
      </c>
      <c r="AN19" s="59">
        <f ca="1">AVERAGE(OFFSET($AM$3,0,0,'Données projet'!$E$10+1,1))-AVERAGE(OFFSET($H$3,0,0,'Données projet'!$E$10+1,1))</f>
        <v>349.71285006949597</v>
      </c>
      <c r="AO19" s="59">
        <f t="shared" si="36"/>
        <v>258.51550516456842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7.2723529411764707</v>
      </c>
      <c r="BD19" s="12">
        <f>IF('Données projet'!$A$88&gt;35,BD18+BC19-BL18,IF(A19&lt;'Données projet'!$A$88,$BA$205^A19,IF(A19='Données projet'!$A$88,'Données projet'!$B$88,BD18+BC19-BL18)))</f>
        <v>93.123171702524758</v>
      </c>
      <c r="BE19" s="13">
        <f>BD19*VLOOKUP('Données projet'!$B$11,Paramètres!$A$1:$I$89,3,0)*VLOOKUP('Données projet'!$B$11,Paramètres!$A$1:$I$89,5,0)</f>
        <v>55.687656678109811</v>
      </c>
      <c r="BF19" s="13">
        <f t="shared" si="37"/>
        <v>16.073285805897523</v>
      </c>
      <c r="BG19" s="20">
        <f t="shared" si="7"/>
        <v>124.98364149297942</v>
      </c>
      <c r="BH19" s="59">
        <f t="shared" si="8"/>
        <v>401.20586371520164</v>
      </c>
      <c r="BI19" s="59">
        <f ca="1">AVERAGE(OFFSET($BH$3,0,0,'Données projet'!$E$11+1,1))-AVERAGE(OFFSET($H$3,0,0,'Données projet'!$E$11+1,1))</f>
        <v>302.00825291248458</v>
      </c>
      <c r="BJ19" s="59">
        <f t="shared" si="38"/>
        <v>307.35115839449355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7.7715686274509812</v>
      </c>
      <c r="BY19" s="12">
        <f>IF('Données projet'!$A$114&gt;35,BY18+BX19-CG18,IF(A19&lt;'Données projet'!$A$114,$BV$205^A19,IF(A19='Données projet'!$A$114,'Données projet'!$B$114,BY18+BX19-CG18)))</f>
        <v>124.34509803921566</v>
      </c>
      <c r="BZ19" s="13">
        <f>BY19*VLOOKUP('Données projet'!$B$12,Paramètres!$A$1:$I$89,3,0)*VLOOKUP('Données projet'!$B$12,Paramètres!$A$1:$I$89,5,0)</f>
        <v>58.193505882352923</v>
      </c>
      <c r="CA19" s="13">
        <f t="shared" si="39"/>
        <v>16.710721165612199</v>
      </c>
      <c r="CB19" s="20">
        <f t="shared" si="10"/>
        <v>130.45819544187259</v>
      </c>
      <c r="CC19" s="59">
        <f t="shared" si="11"/>
        <v>406.68041766409482</v>
      </c>
      <c r="CD19" s="59">
        <f ca="1">AVERAGE(OFFSET($CC$3,0,0,'Données projet'!$E$12+1,1))-AVERAGE(OFFSET($H$3,0,0,'Données projet'!$E$12+1,1))</f>
        <v>337.10499990421835</v>
      </c>
      <c r="CE19" s="59">
        <f t="shared" si="40"/>
        <v>277.4254079562175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3.3603333333333336</v>
      </c>
      <c r="CT19" s="12">
        <f>IF('Données projet'!$A$140&gt;35,CT18+CS19-DB18,IF(A19&lt;'Données projet'!$A$140,$CQ$205^A19,IF(A19='Données projet'!$A$140,'Données projet'!$B$140,CT18+CS19-DB18)))</f>
        <v>53.765333333333359</v>
      </c>
      <c r="CU19" s="17">
        <f>CT19*VLOOKUP('Données projet'!$B$13,Paramètres!$A$1:$I$89,3,0)*VLOOKUP('Données projet'!$B$13,Paramètres!$A$1:$I$89,5,0)</f>
        <v>53.679308800000037</v>
      </c>
      <c r="CV19" s="13">
        <f t="shared" si="41"/>
        <v>15.559995067351208</v>
      </c>
      <c r="CW19" s="20">
        <f t="shared" si="13"/>
        <v>120.59178756897008</v>
      </c>
      <c r="CX19" s="59">
        <f t="shared" si="14"/>
        <v>396.81400979119229</v>
      </c>
      <c r="CY19" s="59">
        <f ca="1">AVERAGE(OFFSET($CX$3,0,0,'Données projet'!$E$13+1,1))-AVERAGE(OFFSET($H$3,0,0,'Données projet'!$E$13+1,1))</f>
        <v>525.74725170626471</v>
      </c>
      <c r="CZ19" s="59">
        <f t="shared" si="42"/>
        <v>259.19103598192197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4.5856818181818184</v>
      </c>
      <c r="DO19" s="12">
        <f>IF('Données projet'!$A$166&gt;35,DO18+DN19-DW18,IF(A19&lt;'Données projet'!$A$166,$DL$205^A19,IF(A19='Données projet'!$A$166,'Données projet'!$B$166,DO18+DN19-DW18)))</f>
        <v>73.370909090909095</v>
      </c>
      <c r="DP19" s="17">
        <f>DO19*VLOOKUP('Données projet'!$B$14,Paramètres!$A$1:$I$89,3,0)*VLOOKUP('Données projet'!$B$14,Paramètres!$A$1:$I$89,5,0)</f>
        <v>66.385998545454541</v>
      </c>
      <c r="DQ19" s="13">
        <f t="shared" si="43"/>
        <v>18.773223617006281</v>
      </c>
      <c r="DR19" s="20">
        <f t="shared" si="16"/>
        <v>148.31897859961927</v>
      </c>
      <c r="DS19" s="59">
        <f t="shared" si="17"/>
        <v>424.54120082184147</v>
      </c>
      <c r="DT19" s="59">
        <f ca="1">AVERAGE(OFFSET($DS$3,0,0,'Données projet'!$E$14+1,1))-AVERAGE(OFFSET($H$3,0,0,'Données projet'!$E$14+1,1))</f>
        <v>490.06222615476065</v>
      </c>
      <c r="DU19" s="59">
        <f t="shared" si="44"/>
        <v>310.43914804089906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3.3603333333333336</v>
      </c>
      <c r="EJ19" s="12">
        <f>IF('Données projet'!$A$192&gt;35,EJ18+EI19-ER18,IF(A19&lt;'Données projet'!$A$192,$EG$205^A19,IF(A19='Données projet'!$A$192,'Données projet'!$B$192,EJ18+EI19-ER18)))</f>
        <v>53.765333333333359</v>
      </c>
      <c r="EK19" s="17">
        <f>EJ19*VLOOKUP('Données projet'!$B$15,Paramètres!$A$1:$I$89,3,0)*VLOOKUP('Données projet'!$B$15,Paramètres!$A$1:$I$89,5,0)</f>
        <v>54.518048000000029</v>
      </c>
      <c r="EL19" s="13">
        <f t="shared" si="45"/>
        <v>15.774626019217196</v>
      </c>
      <c r="EM19" s="20">
        <f t="shared" si="19"/>
        <v>122.42640725013666</v>
      </c>
      <c r="EN19" s="59">
        <f t="shared" si="20"/>
        <v>398.64862947235889</v>
      </c>
      <c r="EO19" s="59">
        <f ca="1">AVERAGE(OFFSET($EN$3,0,0,'Données projet'!$E$15+1,1))-AVERAGE(OFFSET($H$3,0,0,'Données projet'!$E$15+1,1))</f>
        <v>533.26035274112917</v>
      </c>
      <c r="EP19" s="59">
        <f t="shared" si="46"/>
        <v>262.58149402282521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5.128205128205126</v>
      </c>
      <c r="FE19" s="12">
        <f>IF('Données projet'!$A$218&gt;35,FE18+FD19-FM18,IF(A19&lt;'Données projet'!$A$218,$FB$205^A19,IF(A19='Données projet'!$A$218,'Données projet'!$B$218,FE18+FD19-FM18)))</f>
        <v>35.256410256410255</v>
      </c>
      <c r="FF19" s="17">
        <f>FE19*VLOOKUP('Données projet'!$B$16,Paramètres!$A$1:$I$89,3,0)*VLOOKUP('Données projet'!$B$16,Paramètres!$A$1:$I$89,5,0)</f>
        <v>36.85</v>
      </c>
      <c r="FG19" s="13">
        <f t="shared" si="47"/>
        <v>11.159795413106259</v>
      </c>
      <c r="FH19" s="20">
        <f t="shared" si="22"/>
        <v>83.617060344493396</v>
      </c>
      <c r="FI19" s="59">
        <f t="shared" si="23"/>
        <v>359.83928256671561</v>
      </c>
      <c r="FJ19" s="59">
        <f ca="1">AVERAGE(OFFSET($FI$3,0,0,'Données projet'!$E$16+1,1))-AVERAGE(OFFSET($H$3,0,0,'Données projet'!$E$16+1,1))</f>
        <v>239.26156489359892</v>
      </c>
      <c r="FK19" s="59">
        <f t="shared" si="48"/>
        <v>213.97034450798111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4.016578947368421</v>
      </c>
      <c r="N20" s="13">
        <f>IF('Données projet'!$A$36&gt;35,N19+M20-V19,IF(A20&lt;'Données projet'!$A$36,$K$205^A20,IF(A20='Données projet'!$A$36,'Données projet'!$B$36,N19+M20-V19)))</f>
        <v>68.281842105263166</v>
      </c>
      <c r="O20" s="13">
        <f>N20*VLOOKUP('Données projet'!$B$9,Paramètres!$A$1:$I$89,3,0)*VLOOKUP('Données projet'!$B$9,Paramètres!$A$1:$I$89,5,0)</f>
        <v>64.977000947368424</v>
      </c>
      <c r="P20" s="13">
        <f t="shared" si="33"/>
        <v>18.420715814085391</v>
      </c>
      <c r="Q20" s="20">
        <f t="shared" si="2"/>
        <v>145.25102335953207</v>
      </c>
      <c r="R20" s="59">
        <f t="shared" si="0"/>
        <v>422.6954678039765</v>
      </c>
      <c r="S20" s="59">
        <f ca="1">AVERAGE(OFFSET($R$3,0,0,'Données projet'!$E$9+1,1))-AVERAGE(OFFSET($H$3,0,0,'Données projet'!$E$9+1,1))</f>
        <v>449.28947235329758</v>
      </c>
      <c r="T20" s="59">
        <f t="shared" si="34"/>
        <v>289.36994109443964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5.8890909090909096</v>
      </c>
      <c r="AI20" s="13">
        <f>IF('Données projet'!$A$62&gt;35,AI19+AH20-AQ19,IF(A20&lt;'Données projet'!$A$62,$AF$205^A20,IF(A20='Données projet'!$A$62,'Données projet'!$B$62,AI19+AH20-AQ19)))</f>
        <v>42.890776385274457</v>
      </c>
      <c r="AJ20" s="13">
        <f>AI20*VLOOKUP('Données projet'!$B$10,Paramètres!$A$1:$I$89,3,0)*VLOOKUP('Données projet'!$B$10,Paramètres!$A$1:$I$89,5,0)</f>
        <v>25.648684278394128</v>
      </c>
      <c r="AK20" s="13">
        <f t="shared" si="35"/>
        <v>8.1021817259143134</v>
      </c>
      <c r="AL20" s="20">
        <f t="shared" si="4"/>
        <v>58.782758290837201</v>
      </c>
      <c r="AM20" s="59">
        <f t="shared" si="5"/>
        <v>336.22720273528165</v>
      </c>
      <c r="AN20" s="59">
        <f ca="1">AVERAGE(OFFSET($AM$3,0,0,'Données projet'!$E$10+1,1))-AVERAGE(OFFSET($H$3,0,0,'Données projet'!$E$10+1,1))</f>
        <v>349.71285006949597</v>
      </c>
      <c r="AO20" s="59">
        <f t="shared" si="36"/>
        <v>258.51550516456842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>
        <f>VLOOKUP(A20,'Données projet'!$A$87:$I$107,2,0)</f>
        <v>123.63</v>
      </c>
      <c r="BB20" s="12">
        <f>VLOOKUP(A20,'Données projet'!$A$87:$I$107,9,0)</f>
        <v>7.2723529411764707</v>
      </c>
      <c r="BC20" s="12">
        <f t="array" ref="BC20">INDEX(BB:BB,MIN(IF(ISNUMBER(BB20:BB216),ROW(BB20:BB216),"")))</f>
        <v>7.2723529411764707</v>
      </c>
      <c r="BD20" s="12">
        <f>IF('Données projet'!$A$88&gt;35,BD19+BC20-BL19,IF(A20&lt;'Données projet'!$A$88,$BA$205^A20,IF(A20='Données projet'!$A$88,'Données projet'!$B$88,BD19+BC20-BL19)))</f>
        <v>123.63</v>
      </c>
      <c r="BE20" s="13">
        <f>BD20*VLOOKUP('Données projet'!$B$11,Paramètres!$A$1:$I$89,3,0)*VLOOKUP('Données projet'!$B$11,Paramètres!$A$1:$I$89,5,0)</f>
        <v>73.93074</v>
      </c>
      <c r="BF20" s="13">
        <f t="shared" si="37"/>
        <v>20.646473443351134</v>
      </c>
      <c r="BG20" s="20">
        <f t="shared" si="7"/>
        <v>164.72198008050322</v>
      </c>
      <c r="BH20" s="59">
        <f t="shared" si="8"/>
        <v>442.16642452494767</v>
      </c>
      <c r="BI20" s="59">
        <f ca="1">AVERAGE(OFFSET($BH$3,0,0,'Données projet'!$E$11+1,1))-AVERAGE(OFFSET($H$3,0,0,'Données projet'!$E$11+1,1))</f>
        <v>302.00825291248458</v>
      </c>
      <c r="BJ20" s="59">
        <f t="shared" si="38"/>
        <v>307.35115839449355</v>
      </c>
      <c r="BK20" s="15">
        <f>IF(ISNA(VLOOKUP(A20,'Données projet'!$A$87:$I$107,3,0)),0,VLOOKUP(A20,'Données projet'!$A$87:$I$107,3,0))</f>
        <v>1</v>
      </c>
      <c r="BL20" s="15">
        <f>IF(ISNA(VLOOKUP(A20,'Données projet'!$A$87:$I$107,4,0)),0,VLOOKUP(A20,'Données projet'!$A$87:$I$107,4,0))</f>
        <v>41.179999999999993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0.22500000000000001</v>
      </c>
      <c r="BO20" s="16">
        <f>IF(ISNA(VLOOKUP(A20,'Données projet'!$A$87:$I$107,7,0)),0%,VLOOKUP(A20,'Données projet'!$A$87:$I$107,7,0))</f>
        <v>0.5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7.3212467235098906</v>
      </c>
      <c r="BR20" s="21">
        <f>EXP(-LN(2)/2)*BR19+(1-EXP(-LN(2)/2))/(LN(2)/2)*BL20*BO20*VLOOKUP('Données projet'!$B$11,Paramètres!$A$1:$I$89,3,0)*0.475*44/12</f>
        <v>13.940972477629819</v>
      </c>
      <c r="BS20" s="22">
        <f t="shared" si="9"/>
        <v>21.262219201139708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7.7715686274509812</v>
      </c>
      <c r="BY20" s="12">
        <f>IF('Données projet'!$A$114&gt;35,BY19+BX20-CG19,IF(A20&lt;'Données projet'!$A$114,$BV$205^A20,IF(A20='Données projet'!$A$114,'Données projet'!$B$114,BY19+BX20-CG19)))</f>
        <v>132.11666666666665</v>
      </c>
      <c r="BZ20" s="13">
        <f>BY20*VLOOKUP('Données projet'!$B$12,Paramètres!$A$1:$I$89,3,0)*VLOOKUP('Données projet'!$B$12,Paramètres!$A$1:$I$89,5,0)</f>
        <v>61.83059999999999</v>
      </c>
      <c r="CA20" s="13">
        <f t="shared" si="39"/>
        <v>17.630289466347477</v>
      </c>
      <c r="CB20" s="20">
        <f t="shared" si="10"/>
        <v>138.39438248722183</v>
      </c>
      <c r="CC20" s="59">
        <f t="shared" si="11"/>
        <v>415.83882693166629</v>
      </c>
      <c r="CD20" s="59">
        <f ca="1">AVERAGE(OFFSET($CC$3,0,0,'Données projet'!$E$12+1,1))-AVERAGE(OFFSET($H$3,0,0,'Données projet'!$E$12+1,1))</f>
        <v>337.10499990421835</v>
      </c>
      <c r="CE20" s="59">
        <f t="shared" si="40"/>
        <v>277.4254079562175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3.3603333333333336</v>
      </c>
      <c r="CT20" s="12">
        <f>IF('Données projet'!$A$140&gt;35,CT19+CS20-DB19,IF(A20&lt;'Données projet'!$A$140,$CQ$205^A20,IF(A20='Données projet'!$A$140,'Données projet'!$B$140,CT19+CS20-DB19)))</f>
        <v>57.125666666666696</v>
      </c>
      <c r="CU20" s="17">
        <f>CT20*VLOOKUP('Données projet'!$B$13,Paramètres!$A$1:$I$89,3,0)*VLOOKUP('Données projet'!$B$13,Paramètres!$A$1:$I$89,5,0)</f>
        <v>57.034265600000033</v>
      </c>
      <c r="CV20" s="13">
        <f t="shared" si="41"/>
        <v>16.41624047302394</v>
      </c>
      <c r="CW20" s="20">
        <f t="shared" si="13"/>
        <v>127.92629807718343</v>
      </c>
      <c r="CX20" s="59">
        <f t="shared" si="14"/>
        <v>405.3707425216279</v>
      </c>
      <c r="CY20" s="59">
        <f ca="1">AVERAGE(OFFSET($CX$3,0,0,'Données projet'!$E$13+1,1))-AVERAGE(OFFSET($H$3,0,0,'Données projet'!$E$13+1,1))</f>
        <v>525.74725170626471</v>
      </c>
      <c r="CZ20" s="59">
        <f t="shared" si="42"/>
        <v>259.19103598192197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4.5856818181818184</v>
      </c>
      <c r="DO20" s="12">
        <f>IF('Données projet'!$A$166&gt;35,DO19+DN20-DW19,IF(A20&lt;'Données projet'!$A$166,$DL$205^A20,IF(A20='Données projet'!$A$166,'Données projet'!$B$166,DO19+DN20-DW19)))</f>
        <v>77.95659090909092</v>
      </c>
      <c r="DP20" s="17">
        <f>DO20*VLOOKUP('Données projet'!$B$14,Paramètres!$A$1:$I$89,3,0)*VLOOKUP('Données projet'!$B$14,Paramètres!$A$1:$I$89,5,0)</f>
        <v>70.53512345454547</v>
      </c>
      <c r="DQ20" s="13">
        <f t="shared" si="43"/>
        <v>19.806288627769469</v>
      </c>
      <c r="DR20" s="20">
        <f t="shared" si="16"/>
        <v>157.3446260433652</v>
      </c>
      <c r="DS20" s="59">
        <f t="shared" si="17"/>
        <v>434.78907048780968</v>
      </c>
      <c r="DT20" s="59">
        <f ca="1">AVERAGE(OFFSET($DS$3,0,0,'Données projet'!$E$14+1,1))-AVERAGE(OFFSET($H$3,0,0,'Données projet'!$E$14+1,1))</f>
        <v>490.06222615476065</v>
      </c>
      <c r="DU20" s="59">
        <f t="shared" si="44"/>
        <v>310.43914804089906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3.3603333333333336</v>
      </c>
      <c r="EJ20" s="12">
        <f>IF('Données projet'!$A$192&gt;35,EJ19+EI20-ER19,IF(A20&lt;'Données projet'!$A$192,$EG$205^A20,IF(A20='Données projet'!$A$192,'Données projet'!$B$192,EJ19+EI20-ER19)))</f>
        <v>57.125666666666696</v>
      </c>
      <c r="EK20" s="17">
        <f>EJ20*VLOOKUP('Données projet'!$B$15,Paramètres!$A$1:$I$89,3,0)*VLOOKUP('Données projet'!$B$15,Paramètres!$A$1:$I$89,5,0)</f>
        <v>57.925426000000037</v>
      </c>
      <c r="EL20" s="13">
        <f t="shared" si="45"/>
        <v>16.64268227480698</v>
      </c>
      <c r="EM20" s="20">
        <f t="shared" si="19"/>
        <v>129.87278857862222</v>
      </c>
      <c r="EN20" s="59">
        <f t="shared" si="20"/>
        <v>407.31723302306671</v>
      </c>
      <c r="EO20" s="59">
        <f ca="1">AVERAGE(OFFSET($EN$3,0,0,'Données projet'!$E$15+1,1))-AVERAGE(OFFSET($H$3,0,0,'Données projet'!$E$15+1,1))</f>
        <v>533.26035274112917</v>
      </c>
      <c r="EP20" s="59">
        <f t="shared" si="46"/>
        <v>262.58149402282521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5.128205128205126</v>
      </c>
      <c r="FE20" s="12">
        <f>IF('Données projet'!$A$218&gt;35,FE19+FD20-FM19,IF(A20&lt;'Données projet'!$A$218,$FB$205^A20,IF(A20='Données projet'!$A$218,'Données projet'!$B$218,FE19+FD20-FM19)))</f>
        <v>40.38461538461538</v>
      </c>
      <c r="FF20" s="17">
        <f>FE20*VLOOKUP('Données projet'!$B$16,Paramètres!$A$1:$I$89,3,0)*VLOOKUP('Données projet'!$B$16,Paramètres!$A$1:$I$89,5,0)</f>
        <v>42.21</v>
      </c>
      <c r="FG20" s="13">
        <f t="shared" si="47"/>
        <v>12.582561739030865</v>
      </c>
      <c r="FH20" s="20">
        <f t="shared" si="22"/>
        <v>95.430378362145419</v>
      </c>
      <c r="FI20" s="59">
        <f t="shared" si="23"/>
        <v>372.87482280658986</v>
      </c>
      <c r="FJ20" s="59">
        <f ca="1">AVERAGE(OFFSET($FI$3,0,0,'Données projet'!$E$16+1,1))-AVERAGE(OFFSET($H$3,0,0,'Données projet'!$E$16+1,1))</f>
        <v>239.26156489359892</v>
      </c>
      <c r="FK20" s="59">
        <f t="shared" si="48"/>
        <v>213.97034450798111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4.016578947368421</v>
      </c>
      <c r="N21" s="13">
        <f>IF('Données projet'!$A$36&gt;35,N20+M21-V20,IF(A21&lt;'Données projet'!$A$36,$K$205^A21,IF(A21='Données projet'!$A$36,'Données projet'!$B$36,N20+M21-V20)))</f>
        <v>72.298421052631582</v>
      </c>
      <c r="O21" s="13">
        <f>N21*VLOOKUP('Données projet'!$B$9,Paramètres!$A$1:$I$89,3,0)*VLOOKUP('Données projet'!$B$9,Paramètres!$A$1:$I$89,5,0)</f>
        <v>68.79917747368421</v>
      </c>
      <c r="P21" s="13">
        <f t="shared" si="33"/>
        <v>19.37495136883436</v>
      </c>
      <c r="Q21" s="20">
        <f t="shared" si="2"/>
        <v>153.56994106738651</v>
      </c>
      <c r="R21" s="59">
        <f t="shared" si="0"/>
        <v>432.23660773405322</v>
      </c>
      <c r="S21" s="59">
        <f ca="1">AVERAGE(OFFSET($R$3,0,0,'Données projet'!$E$9+1,1))-AVERAGE(OFFSET($H$3,0,0,'Données projet'!$E$9+1,1))</f>
        <v>449.28947235329758</v>
      </c>
      <c r="T21" s="59">
        <f t="shared" si="34"/>
        <v>289.36994109443964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5.8890909090909096</v>
      </c>
      <c r="AI21" s="13">
        <f>IF('Données projet'!$A$62&gt;35,AI20+AH21-AQ20,IF(A21&lt;'Données projet'!$A$62,$AF$205^A21,IF(A21='Données projet'!$A$62,'Données projet'!$B$62,AI20+AH21-AQ20)))</f>
        <v>53.503884512438958</v>
      </c>
      <c r="AJ21" s="13">
        <f>AI21*VLOOKUP('Données projet'!$B$10,Paramètres!$A$1:$I$89,3,0)*VLOOKUP('Données projet'!$B$10,Paramètres!$A$1:$I$89,5,0)</f>
        <v>31.995322938438498</v>
      </c>
      <c r="AK21" s="13">
        <f t="shared" si="35"/>
        <v>9.8502327949788757</v>
      </c>
      <c r="AL21" s="20">
        <f t="shared" si="4"/>
        <v>72.881009569035243</v>
      </c>
      <c r="AM21" s="59">
        <f t="shared" si="5"/>
        <v>351.54767623570194</v>
      </c>
      <c r="AN21" s="59">
        <f ca="1">AVERAGE(OFFSET($AM$3,0,0,'Données projet'!$E$10+1,1))-AVERAGE(OFFSET($H$3,0,0,'Données projet'!$E$10+1,1))</f>
        <v>349.71285006949597</v>
      </c>
      <c r="AO21" s="59">
        <f t="shared" si="36"/>
        <v>258.51550516456842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17.793333333333333</v>
      </c>
      <c r="BD21" s="12">
        <f>IF('Données projet'!$A$88&gt;35,BD20+BC21-BL20,IF(A21&lt;'Données projet'!$A$88,$BA$205^A21,IF(A21='Données projet'!$A$88,'Données projet'!$B$88,BD20+BC21-BL20)))</f>
        <v>100.24333333333333</v>
      </c>
      <c r="BE21" s="13">
        <f>BD21*VLOOKUP('Données projet'!$B$11,Paramètres!$A$1:$I$89,3,0)*VLOOKUP('Données projet'!$B$11,Paramètres!$A$1:$I$89,5,0)</f>
        <v>59.945513333333338</v>
      </c>
      <c r="BF21" s="13">
        <f t="shared" si="37"/>
        <v>17.15449234531231</v>
      </c>
      <c r="BG21" s="20">
        <f t="shared" si="7"/>
        <v>134.28250989030781</v>
      </c>
      <c r="BH21" s="59">
        <f t="shared" si="8"/>
        <v>412.94917655697452</v>
      </c>
      <c r="BI21" s="59">
        <f ca="1">AVERAGE(OFFSET($BH$3,0,0,'Données projet'!$E$11+1,1))-AVERAGE(OFFSET($H$3,0,0,'Données projet'!$E$11+1,1))</f>
        <v>302.00825291248458</v>
      </c>
      <c r="BJ21" s="59">
        <f t="shared" si="38"/>
        <v>307.35115839449355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7.1210468468478805</v>
      </c>
      <c r="BR21" s="21">
        <f>EXP(-LN(2)/2)*BR20+(1-EXP(-LN(2)/2))/(LN(2)/2)*BL21*BO21*VLOOKUP('Données projet'!$B$11,Paramètres!$A$1:$I$89,3,0)*0.475*44/12</f>
        <v>9.8577561752670704</v>
      </c>
      <c r="BS21" s="22">
        <f t="shared" si="9"/>
        <v>16.978803022114953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7.7715686274509812</v>
      </c>
      <c r="BY21" s="12">
        <f>IF('Données projet'!$A$114&gt;35,BY20+BX21-CG20,IF(A21&lt;'Données projet'!$A$114,$BV$205^A21,IF(A21='Données projet'!$A$114,'Données projet'!$B$114,BY20+BX21-CG20)))</f>
        <v>139.88823529411764</v>
      </c>
      <c r="BZ21" s="13">
        <f>BY21*VLOOKUP('Données projet'!$B$12,Paramètres!$A$1:$I$89,3,0)*VLOOKUP('Données projet'!$B$12,Paramètres!$A$1:$I$89,5,0)</f>
        <v>65.467694117647056</v>
      </c>
      <c r="CA21" s="13">
        <f t="shared" si="39"/>
        <v>18.543579113671662</v>
      </c>
      <c r="CB21" s="20">
        <f t="shared" si="10"/>
        <v>146.31963421121341</v>
      </c>
      <c r="CC21" s="59">
        <f t="shared" si="11"/>
        <v>424.98630087788013</v>
      </c>
      <c r="CD21" s="59">
        <f ca="1">AVERAGE(OFFSET($CC$3,0,0,'Données projet'!$E$12+1,1))-AVERAGE(OFFSET($H$3,0,0,'Données projet'!$E$12+1,1))</f>
        <v>337.10499990421835</v>
      </c>
      <c r="CE21" s="59">
        <f t="shared" si="40"/>
        <v>277.4254079562175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3.3603333333333336</v>
      </c>
      <c r="CT21" s="12">
        <f>IF('Données projet'!$A$140&gt;35,CT20+CS21-DB20,IF(A21&lt;'Données projet'!$A$140,$CQ$205^A21,IF(A21='Données projet'!$A$140,'Données projet'!$B$140,CT20+CS21-DB20)))</f>
        <v>60.486000000000033</v>
      </c>
      <c r="CU21" s="17">
        <f>CT21*VLOOKUP('Données projet'!$B$13,Paramètres!$A$1:$I$89,3,0)*VLOOKUP('Données projet'!$B$13,Paramètres!$A$1:$I$89,5,0)</f>
        <v>60.38922240000003</v>
      </c>
      <c r="CV21" s="13">
        <f t="shared" si="41"/>
        <v>17.266639583067761</v>
      </c>
      <c r="CW21" s="20">
        <f t="shared" si="13"/>
        <v>135.2506262871764</v>
      </c>
      <c r="CX21" s="59">
        <f t="shared" si="14"/>
        <v>413.91729295384312</v>
      </c>
      <c r="CY21" s="59">
        <f ca="1">AVERAGE(OFFSET($CX$3,0,0,'Données projet'!$E$13+1,1))-AVERAGE(OFFSET($H$3,0,0,'Données projet'!$E$13+1,1))</f>
        <v>525.74725170626471</v>
      </c>
      <c r="CZ21" s="59">
        <f t="shared" si="42"/>
        <v>259.19103598192197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4.5856818181818184</v>
      </c>
      <c r="DO21" s="12">
        <f>IF('Données projet'!$A$166&gt;35,DO20+DN21-DW20,IF(A21&lt;'Données projet'!$A$166,$DL$205^A21,IF(A21='Données projet'!$A$166,'Données projet'!$B$166,DO20+DN21-DW20)))</f>
        <v>82.542272727272746</v>
      </c>
      <c r="DP21" s="17">
        <f>DO21*VLOOKUP('Données projet'!$B$14,Paramètres!$A$1:$I$89,3,0)*VLOOKUP('Données projet'!$B$14,Paramètres!$A$1:$I$89,5,0)</f>
        <v>74.684248363636371</v>
      </c>
      <c r="DQ21" s="13">
        <f t="shared" si="43"/>
        <v>20.832300049203276</v>
      </c>
      <c r="DR21" s="20">
        <f t="shared" si="16"/>
        <v>166.35798848569573</v>
      </c>
      <c r="DS21" s="59">
        <f t="shared" si="17"/>
        <v>445.02465515236241</v>
      </c>
      <c r="DT21" s="59">
        <f ca="1">AVERAGE(OFFSET($DS$3,0,0,'Données projet'!$E$14+1,1))-AVERAGE(OFFSET($H$3,0,0,'Données projet'!$E$14+1,1))</f>
        <v>490.06222615476065</v>
      </c>
      <c r="DU21" s="59">
        <f t="shared" si="44"/>
        <v>310.43914804089906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3.3603333333333336</v>
      </c>
      <c r="EJ21" s="12">
        <f>IF('Données projet'!$A$192&gt;35,EJ20+EI21-ER20,IF(A21&lt;'Données projet'!$A$192,$EG$205^A21,IF(A21='Données projet'!$A$192,'Données projet'!$B$192,EJ20+EI21-ER20)))</f>
        <v>60.486000000000033</v>
      </c>
      <c r="EK21" s="17">
        <f>EJ21*VLOOKUP('Données projet'!$B$15,Paramètres!$A$1:$I$89,3,0)*VLOOKUP('Données projet'!$B$15,Paramètres!$A$1:$I$89,5,0)</f>
        <v>61.332804000000031</v>
      </c>
      <c r="EL21" s="13">
        <f t="shared" si="45"/>
        <v>17.504811592326099</v>
      </c>
      <c r="EM21" s="20">
        <f t="shared" si="19"/>
        <v>137.30884715663467</v>
      </c>
      <c r="EN21" s="59">
        <f t="shared" si="20"/>
        <v>415.97551382330136</v>
      </c>
      <c r="EO21" s="59">
        <f ca="1">AVERAGE(OFFSET($EN$3,0,0,'Données projet'!$E$15+1,1))-AVERAGE(OFFSET($H$3,0,0,'Données projet'!$E$15+1,1))</f>
        <v>533.26035274112917</v>
      </c>
      <c r="EP21" s="59">
        <f t="shared" si="46"/>
        <v>262.58149402282521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5.128205128205126</v>
      </c>
      <c r="FE21" s="12">
        <f>IF('Données projet'!$A$218&gt;35,FE20+FD21-FM20,IF(A21&lt;'Données projet'!$A$218,$FB$205^A21,IF(A21='Données projet'!$A$218,'Données projet'!$B$218,FE20+FD21-FM20)))</f>
        <v>45.512820512820504</v>
      </c>
      <c r="FF21" s="17">
        <f>FE21*VLOOKUP('Données projet'!$B$16,Paramètres!$A$1:$I$89,3,0)*VLOOKUP('Données projet'!$B$16,Paramètres!$A$1:$I$89,5,0)</f>
        <v>47.57</v>
      </c>
      <c r="FG21" s="13">
        <f t="shared" si="47"/>
        <v>13.984393551590529</v>
      </c>
      <c r="FH21" s="20">
        <f t="shared" si="22"/>
        <v>107.20723543568683</v>
      </c>
      <c r="FI21" s="59">
        <f t="shared" si="23"/>
        <v>385.8739021023535</v>
      </c>
      <c r="FJ21" s="59">
        <f ca="1">AVERAGE(OFFSET($FI$3,0,0,'Données projet'!$E$16+1,1))-AVERAGE(OFFSET($H$3,0,0,'Données projet'!$E$16+1,1))</f>
        <v>239.26156489359892</v>
      </c>
      <c r="FK21" s="59">
        <f t="shared" si="48"/>
        <v>213.97034450798111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4.016578947368421</v>
      </c>
      <c r="N22" s="13">
        <f>IF('Données projet'!$A$36&gt;35,N21+M22-V21,IF(A22&lt;'Données projet'!$A$36,$K$205^A22,IF(A22='Données projet'!$A$36,'Données projet'!$B$36,N21+M22-V21)))</f>
        <v>76.314999999999998</v>
      </c>
      <c r="O22" s="13">
        <f>N22*VLOOKUP('Données projet'!$B$9,Paramètres!$A$1:$I$89,3,0)*VLOOKUP('Données projet'!$B$9,Paramètres!$A$1:$I$89,5,0)</f>
        <v>72.621353999999997</v>
      </c>
      <c r="P22" s="13">
        <f t="shared" si="33"/>
        <v>20.323032767751659</v>
      </c>
      <c r="Q22" s="20">
        <f t="shared" si="2"/>
        <v>161.87814028716744</v>
      </c>
      <c r="R22" s="59">
        <f t="shared" si="0"/>
        <v>441.76702917605633</v>
      </c>
      <c r="S22" s="59">
        <f ca="1">AVERAGE(OFFSET($R$3,0,0,'Données projet'!$E$9+1,1))-AVERAGE(OFFSET($H$3,0,0,'Données projet'!$E$9+1,1))</f>
        <v>449.28947235329758</v>
      </c>
      <c r="T22" s="59">
        <f t="shared" si="34"/>
        <v>289.36994109443964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5.8890909090909096</v>
      </c>
      <c r="AI22" s="13">
        <f>IF('Données projet'!$A$62&gt;35,AI21+AH22-AQ21,IF(A22&lt;'Données projet'!$A$62,$AF$205^A22,IF(A22='Données projet'!$A$62,'Données projet'!$B$62,AI21+AH22-AQ21)))</f>
        <v>66.743153171347927</v>
      </c>
      <c r="AJ22" s="13">
        <f>AI22*VLOOKUP('Données projet'!$B$10,Paramètres!$A$1:$I$89,3,0)*VLOOKUP('Données projet'!$B$10,Paramètres!$A$1:$I$89,5,0)</f>
        <v>39.912405596466066</v>
      </c>
      <c r="AK22" s="13">
        <f t="shared" si="35"/>
        <v>11.975427038984135</v>
      </c>
      <c r="AL22" s="20">
        <f t="shared" si="4"/>
        <v>90.371308506742437</v>
      </c>
      <c r="AM22" s="59">
        <f t="shared" si="5"/>
        <v>370.26019739563128</v>
      </c>
      <c r="AN22" s="59">
        <f ca="1">AVERAGE(OFFSET($AM$3,0,0,'Données projet'!$E$10+1,1))-AVERAGE(OFFSET($H$3,0,0,'Données projet'!$E$10+1,1))</f>
        <v>349.71285006949597</v>
      </c>
      <c r="AO22" s="59">
        <f t="shared" si="36"/>
        <v>258.51550516456842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17.793333333333333</v>
      </c>
      <c r="BD22" s="12">
        <f>IF('Données projet'!$A$88&gt;35,BD21+BC22-BL21,IF(A22&lt;'Données projet'!$A$88,$BA$205^A22,IF(A22='Données projet'!$A$88,'Données projet'!$B$88,BD21+BC22-BL21)))</f>
        <v>118.03666666666666</v>
      </c>
      <c r="BE22" s="13">
        <f>BD22*VLOOKUP('Données projet'!$B$11,Paramètres!$A$1:$I$89,3,0)*VLOOKUP('Données projet'!$B$11,Paramètres!$A$1:$I$89,5,0)</f>
        <v>70.585926666666666</v>
      </c>
      <c r="BF22" s="13">
        <f t="shared" si="37"/>
        <v>19.818893148924182</v>
      </c>
      <c r="BG22" s="20">
        <f t="shared" si="7"/>
        <v>157.45506117882073</v>
      </c>
      <c r="BH22" s="59">
        <f t="shared" si="8"/>
        <v>437.34395006770956</v>
      </c>
      <c r="BI22" s="59">
        <f ca="1">AVERAGE(OFFSET($BH$3,0,0,'Données projet'!$E$11+1,1))-AVERAGE(OFFSET($H$3,0,0,'Données projet'!$E$11+1,1))</f>
        <v>302.00825291248458</v>
      </c>
      <c r="BJ22" s="59">
        <f t="shared" si="38"/>
        <v>307.35115839449355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6.9263214463412472</v>
      </c>
      <c r="BR22" s="21">
        <f>EXP(-LN(2)/2)*BR21+(1-EXP(-LN(2)/2))/(LN(2)/2)*BL22*BO22*VLOOKUP('Données projet'!$B$11,Paramètres!$A$1:$I$89,3,0)*0.475*44/12</f>
        <v>6.9704862388149103</v>
      </c>
      <c r="BS22" s="22">
        <f t="shared" si="9"/>
        <v>13.896807685156158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7.7715686274509812</v>
      </c>
      <c r="BY22" s="12">
        <f>IF('Données projet'!$A$114&gt;35,BY21+BX22-CG21,IF(A22&lt;'Données projet'!$A$114,$BV$205^A22,IF(A22='Données projet'!$A$114,'Données projet'!$B$114,BY21+BX22-CG21)))</f>
        <v>147.65980392156862</v>
      </c>
      <c r="BZ22" s="13">
        <f>BY22*VLOOKUP('Données projet'!$B$12,Paramètres!$A$1:$I$89,3,0)*VLOOKUP('Données projet'!$B$12,Paramètres!$A$1:$I$89,5,0)</f>
        <v>69.104788235294123</v>
      </c>
      <c r="CA22" s="13">
        <f t="shared" si="39"/>
        <v>19.450978677796666</v>
      </c>
      <c r="CB22" s="20">
        <f t="shared" si="10"/>
        <v>154.23462737363312</v>
      </c>
      <c r="CC22" s="59">
        <f t="shared" si="11"/>
        <v>434.123516262522</v>
      </c>
      <c r="CD22" s="59">
        <f ca="1">AVERAGE(OFFSET($CC$3,0,0,'Données projet'!$E$12+1,1))-AVERAGE(OFFSET($H$3,0,0,'Données projet'!$E$12+1,1))</f>
        <v>337.10499990421835</v>
      </c>
      <c r="CE22" s="59">
        <f t="shared" si="40"/>
        <v>277.4254079562175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3.3603333333333336</v>
      </c>
      <c r="CT22" s="12">
        <f>IF('Données projet'!$A$140&gt;35,CT21+CS22-DB21,IF(A22&lt;'Données projet'!$A$140,$CQ$205^A22,IF(A22='Données projet'!$A$140,'Données projet'!$B$140,CT21+CS22-DB21)))</f>
        <v>63.846333333333369</v>
      </c>
      <c r="CU22" s="17">
        <f>CT22*VLOOKUP('Données projet'!$B$13,Paramètres!$A$1:$I$89,3,0)*VLOOKUP('Données projet'!$B$13,Paramètres!$A$1:$I$89,5,0)</f>
        <v>63.74417920000004</v>
      </c>
      <c r="CV22" s="13">
        <f t="shared" si="41"/>
        <v>18.111554210148999</v>
      </c>
      <c r="CW22" s="20">
        <f t="shared" si="13"/>
        <v>142.56540235600957</v>
      </c>
      <c r="CX22" s="59">
        <f t="shared" si="14"/>
        <v>422.4542912448984</v>
      </c>
      <c r="CY22" s="59">
        <f ca="1">AVERAGE(OFFSET($CX$3,0,0,'Données projet'!$E$13+1,1))-AVERAGE(OFFSET($H$3,0,0,'Données projet'!$E$13+1,1))</f>
        <v>525.74725170626471</v>
      </c>
      <c r="CZ22" s="59">
        <f t="shared" si="42"/>
        <v>259.19103598192197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4.5856818181818184</v>
      </c>
      <c r="DO22" s="12">
        <f>IF('Données projet'!$A$166&gt;35,DO21+DN22-DW21,IF(A22&lt;'Données projet'!$A$166,$DL$205^A22,IF(A22='Données projet'!$A$166,'Données projet'!$B$166,DO21+DN22-DW21)))</f>
        <v>87.127954545454571</v>
      </c>
      <c r="DP22" s="17">
        <f>DO22*VLOOKUP('Données projet'!$B$14,Paramètres!$A$1:$I$89,3,0)*VLOOKUP('Données projet'!$B$14,Paramètres!$A$1:$I$89,5,0)</f>
        <v>78.833373272727286</v>
      </c>
      <c r="DQ22" s="13">
        <f t="shared" si="43"/>
        <v>21.851694410372286</v>
      </c>
      <c r="DR22" s="20">
        <f t="shared" si="16"/>
        <v>175.35982621473178</v>
      </c>
      <c r="DS22" s="59">
        <f t="shared" si="17"/>
        <v>455.24871510362061</v>
      </c>
      <c r="DT22" s="59">
        <f ca="1">AVERAGE(OFFSET($DS$3,0,0,'Données projet'!$E$14+1,1))-AVERAGE(OFFSET($H$3,0,0,'Données projet'!$E$14+1,1))</f>
        <v>490.06222615476065</v>
      </c>
      <c r="DU22" s="59">
        <f t="shared" si="44"/>
        <v>310.43914804089906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3.3603333333333336</v>
      </c>
      <c r="EJ22" s="12">
        <f>IF('Données projet'!$A$192&gt;35,EJ21+EI22-ER21,IF(A22&lt;'Données projet'!$A$192,$EG$205^A22,IF(A22='Données projet'!$A$192,'Données projet'!$B$192,EJ21+EI22-ER21)))</f>
        <v>63.846333333333369</v>
      </c>
      <c r="EK22" s="17">
        <f>EJ22*VLOOKUP('Données projet'!$B$15,Paramètres!$A$1:$I$89,3,0)*VLOOKUP('Données projet'!$B$15,Paramètres!$A$1:$I$89,5,0)</f>
        <v>64.740182000000047</v>
      </c>
      <c r="EL22" s="13">
        <f t="shared" si="45"/>
        <v>18.361380775200633</v>
      </c>
      <c r="EM22" s="20">
        <f t="shared" si="19"/>
        <v>144.73522183347453</v>
      </c>
      <c r="EN22" s="59">
        <f t="shared" si="20"/>
        <v>424.62411072236341</v>
      </c>
      <c r="EO22" s="59">
        <f ca="1">AVERAGE(OFFSET($EN$3,0,0,'Données projet'!$E$15+1,1))-AVERAGE(OFFSET($H$3,0,0,'Données projet'!$E$15+1,1))</f>
        <v>533.26035274112917</v>
      </c>
      <c r="EP22" s="59">
        <f t="shared" si="46"/>
        <v>262.58149402282521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5.128205128205126</v>
      </c>
      <c r="FE22" s="12">
        <f>IF('Données projet'!$A$218&gt;35,FE21+FD22-FM21,IF(A22&lt;'Données projet'!$A$218,$FB$205^A22,IF(A22='Données projet'!$A$218,'Données projet'!$B$218,FE21+FD22-FM21)))</f>
        <v>50.641025641025628</v>
      </c>
      <c r="FF22" s="17">
        <f>FE22*VLOOKUP('Données projet'!$B$16,Paramètres!$A$1:$I$89,3,0)*VLOOKUP('Données projet'!$B$16,Paramètres!$A$1:$I$89,5,0)</f>
        <v>52.929999999999993</v>
      </c>
      <c r="FG22" s="13">
        <f t="shared" si="47"/>
        <v>15.3679188437793</v>
      </c>
      <c r="FH22" s="20">
        <f t="shared" si="22"/>
        <v>118.9522086529156</v>
      </c>
      <c r="FI22" s="59">
        <f t="shared" si="23"/>
        <v>398.84109754180446</v>
      </c>
      <c r="FJ22" s="59">
        <f ca="1">AVERAGE(OFFSET($FI$3,0,0,'Données projet'!$E$16+1,1))-AVERAGE(OFFSET($H$3,0,0,'Données projet'!$E$16+1,1))</f>
        <v>239.26156489359892</v>
      </c>
      <c r="FK22" s="59">
        <f t="shared" si="48"/>
        <v>213.97034450798111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4.016578947368421</v>
      </c>
      <c r="N23" s="13">
        <f>IF('Données projet'!$A$36&gt;35,N22+M23-V22,IF(A23&lt;'Données projet'!$A$36,$K$205^A23,IF(A23='Données projet'!$A$36,'Données projet'!$B$36,N22+M23-V22)))</f>
        <v>80.331578947368413</v>
      </c>
      <c r="O23" s="13">
        <f>N23*VLOOKUP('Données projet'!$B$9,Paramètres!$A$1:$I$89,3,0)*VLOOKUP('Données projet'!$B$9,Paramètres!$A$1:$I$89,5,0)</f>
        <v>76.443530526315783</v>
      </c>
      <c r="P23" s="13">
        <f t="shared" si="33"/>
        <v>21.265320852361398</v>
      </c>
      <c r="Q23" s="20">
        <f t="shared" si="2"/>
        <v>170.17624948452939</v>
      </c>
      <c r="R23" s="59">
        <f t="shared" si="0"/>
        <v>451.28736059564051</v>
      </c>
      <c r="S23" s="59">
        <f ca="1">AVERAGE(OFFSET($R$3,0,0,'Données projet'!$E$9+1,1))-AVERAGE(OFFSET($H$3,0,0,'Données projet'!$E$9+1,1))</f>
        <v>449.28947235329758</v>
      </c>
      <c r="T23" s="59">
        <f t="shared" si="34"/>
        <v>289.36994109443964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5.8890909090909096</v>
      </c>
      <c r="AI23" s="13">
        <f>IF('Données projet'!$A$62&gt;35,AI22+AH23-AQ22,IF(A23&lt;'Données projet'!$A$62,$AF$205^A23,IF(A23='Données projet'!$A$62,'Données projet'!$B$62,AI22+AH23-AQ22)))</f>
        <v>83.25841265260587</v>
      </c>
      <c r="AJ23" s="13">
        <f>AI23*VLOOKUP('Données projet'!$B$10,Paramètres!$A$1:$I$89,3,0)*VLOOKUP('Données projet'!$B$10,Paramètres!$A$1:$I$89,5,0)</f>
        <v>49.788530766258319</v>
      </c>
      <c r="AK23" s="13">
        <f t="shared" si="35"/>
        <v>14.559133347501747</v>
      </c>
      <c r="AL23" s="20">
        <f t="shared" si="4"/>
        <v>112.07218166479875</v>
      </c>
      <c r="AM23" s="59">
        <f t="shared" si="5"/>
        <v>393.18329277590988</v>
      </c>
      <c r="AN23" s="59">
        <f ca="1">AVERAGE(OFFSET($AM$3,0,0,'Données projet'!$E$10+1,1))-AVERAGE(OFFSET($H$3,0,0,'Données projet'!$E$10+1,1))</f>
        <v>349.71285006949597</v>
      </c>
      <c r="AO23" s="59">
        <f t="shared" si="36"/>
        <v>258.51550516456842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17.793333333333333</v>
      </c>
      <c r="BD23" s="12">
        <f>IF('Données projet'!$A$88&gt;35,BD22+BC23-BL22,IF(A23&lt;'Données projet'!$A$88,$BA$205^A23,IF(A23='Données projet'!$A$88,'Données projet'!$B$88,BD22+BC23-BL22)))</f>
        <v>135.82999999999998</v>
      </c>
      <c r="BE23" s="13">
        <f>BD23*VLOOKUP('Données projet'!$B$11,Paramètres!$A$1:$I$89,3,0)*VLOOKUP('Données projet'!$B$11,Paramètres!$A$1:$I$89,5,0)</f>
        <v>81.226339999999993</v>
      </c>
      <c r="BF23" s="13">
        <f t="shared" si="37"/>
        <v>22.43676463604092</v>
      </c>
      <c r="BG23" s="20">
        <f t="shared" si="7"/>
        <v>180.54657390777126</v>
      </c>
      <c r="BH23" s="59">
        <f t="shared" si="8"/>
        <v>461.65768501888238</v>
      </c>
      <c r="BI23" s="59">
        <f ca="1">AVERAGE(OFFSET($BH$3,0,0,'Données projet'!$E$11+1,1))-AVERAGE(OFFSET($H$3,0,0,'Données projet'!$E$11+1,1))</f>
        <v>302.00825291248458</v>
      </c>
      <c r="BJ23" s="59">
        <f t="shared" si="38"/>
        <v>307.35115839449355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6.7369208221516317</v>
      </c>
      <c r="BR23" s="21">
        <f>EXP(-LN(2)/2)*BR22+(1-EXP(-LN(2)/2))/(LN(2)/2)*BL23*BO23*VLOOKUP('Données projet'!$B$11,Paramètres!$A$1:$I$89,3,0)*0.475*44/12</f>
        <v>4.9288780876335361</v>
      </c>
      <c r="BS23" s="22">
        <f t="shared" si="9"/>
        <v>11.665798909785167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7.7715686274509812</v>
      </c>
      <c r="BY23" s="12">
        <f>IF('Données projet'!$A$114&gt;35,BY22+BX23-CG22,IF(A23&lt;'Données projet'!$A$114,$BV$205^A23,IF(A23='Données projet'!$A$114,'Données projet'!$B$114,BY22+BX23-CG22)))</f>
        <v>155.43137254901961</v>
      </c>
      <c r="BZ23" s="13">
        <f>BY23*VLOOKUP('Données projet'!$B$12,Paramètres!$A$1:$I$89,3,0)*VLOOKUP('Données projet'!$B$12,Paramètres!$A$1:$I$89,5,0)</f>
        <v>72.741882352941175</v>
      </c>
      <c r="CA23" s="13">
        <f t="shared" si="39"/>
        <v>20.352833516665445</v>
      </c>
      <c r="CB23" s="20">
        <f t="shared" si="10"/>
        <v>162.13996347289819</v>
      </c>
      <c r="CC23" s="59">
        <f t="shared" si="11"/>
        <v>443.2510745840093</v>
      </c>
      <c r="CD23" s="59">
        <f ca="1">AVERAGE(OFFSET($CC$3,0,0,'Données projet'!$E$12+1,1))-AVERAGE(OFFSET($H$3,0,0,'Données projet'!$E$12+1,1))</f>
        <v>337.10499990421835</v>
      </c>
      <c r="CE23" s="59">
        <f t="shared" si="40"/>
        <v>277.4254079562175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3.3603333333333336</v>
      </c>
      <c r="CT23" s="12">
        <f>IF('Données projet'!$A$140&gt;35,CT22+CS23-DB22,IF(A23&lt;'Données projet'!$A$140,$CQ$205^A23,IF(A23='Données projet'!$A$140,'Données projet'!$B$140,CT22+CS23-DB22)))</f>
        <v>67.206666666666706</v>
      </c>
      <c r="CU23" s="17">
        <f>CT23*VLOOKUP('Données projet'!$B$13,Paramètres!$A$1:$I$89,3,0)*VLOOKUP('Données projet'!$B$13,Paramètres!$A$1:$I$89,5,0)</f>
        <v>67.099136000000044</v>
      </c>
      <c r="CV23" s="13">
        <f t="shared" si="41"/>
        <v>18.95130593032863</v>
      </c>
      <c r="CW23" s="20">
        <f t="shared" si="13"/>
        <v>149.87118636198909</v>
      </c>
      <c r="CX23" s="59">
        <f t="shared" si="14"/>
        <v>430.98229747310023</v>
      </c>
      <c r="CY23" s="59">
        <f ca="1">AVERAGE(OFFSET($CX$3,0,0,'Données projet'!$E$13+1,1))-AVERAGE(OFFSET($H$3,0,0,'Données projet'!$E$13+1,1))</f>
        <v>525.74725170626471</v>
      </c>
      <c r="CZ23" s="59">
        <f t="shared" si="42"/>
        <v>259.19103598192197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4.5856818181818184</v>
      </c>
      <c r="DO23" s="12">
        <f>IF('Données projet'!$A$166&gt;35,DO22+DN23-DW22,IF(A23&lt;'Données projet'!$A$166,$DL$205^A23,IF(A23='Données projet'!$A$166,'Données projet'!$B$166,DO22+DN23-DW22)))</f>
        <v>91.713636363636397</v>
      </c>
      <c r="DP23" s="17">
        <f>DO23*VLOOKUP('Données projet'!$B$14,Paramètres!$A$1:$I$89,3,0)*VLOOKUP('Données projet'!$B$14,Paramètres!$A$1:$I$89,5,0)</f>
        <v>82.982498181818215</v>
      </c>
      <c r="DQ23" s="13">
        <f t="shared" si="43"/>
        <v>22.86485969464519</v>
      </c>
      <c r="DR23" s="20">
        <f t="shared" si="16"/>
        <v>184.35081496817375</v>
      </c>
      <c r="DS23" s="59">
        <f t="shared" si="17"/>
        <v>465.46192607928492</v>
      </c>
      <c r="DT23" s="59">
        <f ca="1">AVERAGE(OFFSET($DS$3,0,0,'Données projet'!$E$14+1,1))-AVERAGE(OFFSET($H$3,0,0,'Données projet'!$E$14+1,1))</f>
        <v>490.06222615476065</v>
      </c>
      <c r="DU23" s="59">
        <f t="shared" si="44"/>
        <v>310.43914804089906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3.3603333333333336</v>
      </c>
      <c r="EJ23" s="12">
        <f>IF('Données projet'!$A$192&gt;35,EJ22+EI23-ER22,IF(A23&lt;'Données projet'!$A$192,$EG$205^A23,IF(A23='Données projet'!$A$192,'Données projet'!$B$192,EJ22+EI23-ER22)))</f>
        <v>67.206666666666706</v>
      </c>
      <c r="EK23" s="17">
        <f>EJ23*VLOOKUP('Données projet'!$B$15,Paramètres!$A$1:$I$89,3,0)*VLOOKUP('Données projet'!$B$15,Paramètres!$A$1:$I$89,5,0)</f>
        <v>68.147560000000055</v>
      </c>
      <c r="EL23" s="13">
        <f t="shared" si="45"/>
        <v>19.212715835236935</v>
      </c>
      <c r="EM23" s="20">
        <f t="shared" si="19"/>
        <v>152.15248041303775</v>
      </c>
      <c r="EN23" s="59">
        <f t="shared" si="20"/>
        <v>433.26359152414886</v>
      </c>
      <c r="EO23" s="59">
        <f ca="1">AVERAGE(OFFSET($EN$3,0,0,'Données projet'!$E$15+1,1))-AVERAGE(OFFSET($H$3,0,0,'Données projet'!$E$15+1,1))</f>
        <v>533.26035274112917</v>
      </c>
      <c r="EP23" s="59">
        <f t="shared" si="46"/>
        <v>262.58149402282521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55.769230769230759</v>
      </c>
      <c r="FC23" s="12">
        <f>VLOOKUP(A23,'Données projet'!$A$217:$I$237,9,0)</f>
        <v>5.128205128205126</v>
      </c>
      <c r="FD23" s="12">
        <f t="array" ref="FD23">INDEX(FC:FC,MIN(IF(ISNUMBER(FC23:FC219),ROW(FC23:FC219),"")))</f>
        <v>5.128205128205126</v>
      </c>
      <c r="FE23" s="12">
        <f>IF('Données projet'!$A$218&gt;35,FE22+FD23-FM22,IF(A23&lt;'Données projet'!$A$218,$FB$205^A23,IF(A23='Données projet'!$A$218,'Données projet'!$B$218,FE22+FD23-FM22)))</f>
        <v>55.769230769230752</v>
      </c>
      <c r="FF23" s="17">
        <f>FE23*VLOOKUP('Données projet'!$B$16,Paramètres!$A$1:$I$89,3,0)*VLOOKUP('Données projet'!$B$16,Paramètres!$A$1:$I$89,5,0)</f>
        <v>58.289999999999985</v>
      </c>
      <c r="FG23" s="13">
        <f t="shared" si="47"/>
        <v>16.735202513714196</v>
      </c>
      <c r="FH23" s="20">
        <f t="shared" si="22"/>
        <v>130.66889437805216</v>
      </c>
      <c r="FI23" s="59">
        <f t="shared" si="23"/>
        <v>411.78000548916327</v>
      </c>
      <c r="FJ23" s="59">
        <f ca="1">AVERAGE(OFFSET($FI$3,0,0,'Données projet'!$E$16+1,1))-AVERAGE(OFFSET($H$3,0,0,'Données projet'!$E$16+1,1))</f>
        <v>239.26156489359892</v>
      </c>
      <c r="FK23" s="59">
        <f t="shared" si="48"/>
        <v>213.97034450798111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18.589743589743588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0.215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4.5998642253939837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4.5998642253939837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4.016578947368421</v>
      </c>
      <c r="N24" s="13">
        <f>IF('Données projet'!$A$36&gt;35,N23+M24-V23,IF(A24&lt;'Données projet'!$A$36,$K$205^A24,IF(A24='Données projet'!$A$36,'Données projet'!$B$36,N23+M24-V23)))</f>
        <v>84.348157894736829</v>
      </c>
      <c r="O24" s="13">
        <f>N24*VLOOKUP('Données projet'!$B$9,Paramètres!$A$1:$I$89,3,0)*VLOOKUP('Données projet'!$B$9,Paramètres!$A$1:$I$89,5,0)</f>
        <v>80.265707052631569</v>
      </c>
      <c r="P24" s="13">
        <f t="shared" si="33"/>
        <v>22.202138341659698</v>
      </c>
      <c r="Q24" s="20">
        <f t="shared" si="2"/>
        <v>178.46483072839058</v>
      </c>
      <c r="R24" s="59">
        <f t="shared" si="0"/>
        <v>460.79816406172392</v>
      </c>
      <c r="S24" s="59">
        <f ca="1">AVERAGE(OFFSET($R$3,0,0,'Données projet'!$E$9+1,1))-AVERAGE(OFFSET($H$3,0,0,'Données projet'!$E$9+1,1))</f>
        <v>449.28947235329758</v>
      </c>
      <c r="T24" s="59">
        <f t="shared" si="34"/>
        <v>289.36994109443964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5.8890909090909096</v>
      </c>
      <c r="AI24" s="13">
        <f>IF('Données projet'!$A$62&gt;35,AI23+AH24-AQ23,IF(A24&lt;'Données projet'!$A$62,$AF$205^A24,IF(A24='Données projet'!$A$62,'Données projet'!$B$62,AI23+AH24-AQ23)))</f>
        <v>103.86029050253822</v>
      </c>
      <c r="AJ24" s="13">
        <f>AI24*VLOOKUP('Données projet'!$B$10,Paramètres!$A$1:$I$89,3,0)*VLOOKUP('Données projet'!$B$10,Paramètres!$A$1:$I$89,5,0)</f>
        <v>62.108453720517858</v>
      </c>
      <c r="AK24" s="13">
        <f t="shared" si="35"/>
        <v>17.700276001875135</v>
      </c>
      <c r="AL24" s="20">
        <f t="shared" si="4"/>
        <v>139.00020426650113</v>
      </c>
      <c r="AM24" s="59">
        <f t="shared" si="5"/>
        <v>421.33353759983447</v>
      </c>
      <c r="AN24" s="59">
        <f ca="1">AVERAGE(OFFSET($AM$3,0,0,'Données projet'!$E$10+1,1))-AVERAGE(OFFSET($H$3,0,0,'Données projet'!$E$10+1,1))</f>
        <v>349.71285006949597</v>
      </c>
      <c r="AO24" s="59">
        <f t="shared" si="36"/>
        <v>258.51550516456842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17.793333333333333</v>
      </c>
      <c r="BD24" s="12">
        <f>IF('Données projet'!$A$88&gt;35,BD23+BC24-BL23,IF(A24&lt;'Données projet'!$A$88,$BA$205^A24,IF(A24='Données projet'!$A$88,'Données projet'!$B$88,BD23+BC24-BL23)))</f>
        <v>153.62333333333331</v>
      </c>
      <c r="BE24" s="13">
        <f>BD24*VLOOKUP('Données projet'!$B$11,Paramètres!$A$1:$I$89,3,0)*VLOOKUP('Données projet'!$B$11,Paramètres!$A$1:$I$89,5,0)</f>
        <v>91.866753333333321</v>
      </c>
      <c r="BF24" s="13">
        <f t="shared" si="37"/>
        <v>25.014901610216608</v>
      </c>
      <c r="BG24" s="20">
        <f t="shared" si="7"/>
        <v>203.56888236001612</v>
      </c>
      <c r="BH24" s="59">
        <f t="shared" si="8"/>
        <v>485.90221569334943</v>
      </c>
      <c r="BI24" s="59">
        <f ca="1">AVERAGE(OFFSET($BH$3,0,0,'Données projet'!$E$11+1,1))-AVERAGE(OFFSET($H$3,0,0,'Données projet'!$E$11+1,1))</f>
        <v>302.00825291248458</v>
      </c>
      <c r="BJ24" s="59">
        <f t="shared" si="38"/>
        <v>307.35115839449355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6.5526993679906269</v>
      </c>
      <c r="BR24" s="21">
        <f>EXP(-LN(2)/2)*BR23+(1-EXP(-LN(2)/2))/(LN(2)/2)*BL24*BO24*VLOOKUP('Données projet'!$B$11,Paramètres!$A$1:$I$89,3,0)*0.475*44/12</f>
        <v>3.485243119407456</v>
      </c>
      <c r="BS24" s="22">
        <f t="shared" si="9"/>
        <v>10.037942487398084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7.7715686274509812</v>
      </c>
      <c r="BY24" s="12">
        <f>IF('Données projet'!$A$114&gt;35,BY23+BX24-CG23,IF(A24&lt;'Données projet'!$A$114,$BV$205^A24,IF(A24='Données projet'!$A$114,'Données projet'!$B$114,BY23+BX24-CG23)))</f>
        <v>163.2029411764706</v>
      </c>
      <c r="BZ24" s="13">
        <f>BY24*VLOOKUP('Données projet'!$B$12,Paramètres!$A$1:$I$89,3,0)*VLOOKUP('Données projet'!$B$12,Paramètres!$A$1:$I$89,5,0)</f>
        <v>76.378976470588242</v>
      </c>
      <c r="CA24" s="13">
        <f t="shared" si="39"/>
        <v>21.249452501517116</v>
      </c>
      <c r="CB24" s="20">
        <f t="shared" si="10"/>
        <v>170.03618045975017</v>
      </c>
      <c r="CC24" s="59">
        <f t="shared" si="11"/>
        <v>452.36951379308346</v>
      </c>
      <c r="CD24" s="59">
        <f ca="1">AVERAGE(OFFSET($CC$3,0,0,'Données projet'!$E$12+1,1))-AVERAGE(OFFSET($H$3,0,0,'Données projet'!$E$12+1,1))</f>
        <v>337.10499990421835</v>
      </c>
      <c r="CE24" s="59">
        <f t="shared" si="40"/>
        <v>277.4254079562175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3.3603333333333336</v>
      </c>
      <c r="CT24" s="12">
        <f>IF('Données projet'!$A$140&gt;35,CT23+CS24-DB23,IF(A24&lt;'Données projet'!$A$140,$CQ$205^A24,IF(A24='Données projet'!$A$140,'Données projet'!$B$140,CT23+CS24-DB23)))</f>
        <v>70.567000000000036</v>
      </c>
      <c r="CU24" s="17">
        <f>CT24*VLOOKUP('Données projet'!$B$13,Paramètres!$A$1:$I$89,3,0)*VLOOKUP('Données projet'!$B$13,Paramètres!$A$1:$I$89,5,0)</f>
        <v>70.454092800000041</v>
      </c>
      <c r="CV24" s="13">
        <f t="shared" si="41"/>
        <v>19.786182345494655</v>
      </c>
      <c r="CW24" s="20">
        <f t="shared" si="13"/>
        <v>157.16847921173658</v>
      </c>
      <c r="CX24" s="59">
        <f t="shared" si="14"/>
        <v>439.50181254506992</v>
      </c>
      <c r="CY24" s="59">
        <f ca="1">AVERAGE(OFFSET($CX$3,0,0,'Données projet'!$E$13+1,1))-AVERAGE(OFFSET($H$3,0,0,'Données projet'!$E$13+1,1))</f>
        <v>525.74725170626471</v>
      </c>
      <c r="CZ24" s="59">
        <f t="shared" si="42"/>
        <v>259.19103598192197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4.5856818181818184</v>
      </c>
      <c r="DO24" s="12">
        <f>IF('Données projet'!$A$166&gt;35,DO23+DN24-DW23,IF(A24&lt;'Données projet'!$A$166,$DL$205^A24,IF(A24='Données projet'!$A$166,'Données projet'!$B$166,DO23+DN24-DW23)))</f>
        <v>96.299318181818222</v>
      </c>
      <c r="DP24" s="17">
        <f>DO24*VLOOKUP('Données projet'!$B$14,Paramètres!$A$1:$I$89,3,0)*VLOOKUP('Données projet'!$B$14,Paramètres!$A$1:$I$89,5,0)</f>
        <v>87.13162309090913</v>
      </c>
      <c r="DQ24" s="13">
        <f t="shared" si="43"/>
        <v>23.872142895355385</v>
      </c>
      <c r="DR24" s="20">
        <f t="shared" si="16"/>
        <v>193.33155909274402</v>
      </c>
      <c r="DS24" s="59">
        <f t="shared" si="17"/>
        <v>475.66489242607736</v>
      </c>
      <c r="DT24" s="59">
        <f ca="1">AVERAGE(OFFSET($DS$3,0,0,'Données projet'!$E$14+1,1))-AVERAGE(OFFSET($H$3,0,0,'Données projet'!$E$14+1,1))</f>
        <v>490.06222615476065</v>
      </c>
      <c r="DU24" s="59">
        <f t="shared" si="44"/>
        <v>310.43914804089906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3.3603333333333336</v>
      </c>
      <c r="EJ24" s="12">
        <f>IF('Données projet'!$A$192&gt;35,EJ23+EI24-ER23,IF(A24&lt;'Données projet'!$A$192,$EG$205^A24,IF(A24='Données projet'!$A$192,'Données projet'!$B$192,EJ23+EI24-ER23)))</f>
        <v>70.567000000000036</v>
      </c>
      <c r="EK24" s="17">
        <f>EJ24*VLOOKUP('Données projet'!$B$15,Paramètres!$A$1:$I$89,3,0)*VLOOKUP('Données projet'!$B$15,Paramètres!$A$1:$I$89,5,0)</f>
        <v>71.55493800000005</v>
      </c>
      <c r="EL24" s="13">
        <f t="shared" si="45"/>
        <v>20.059108341436531</v>
      </c>
      <c r="EM24" s="20">
        <f t="shared" si="19"/>
        <v>159.56113071133535</v>
      </c>
      <c r="EN24" s="59">
        <f t="shared" si="20"/>
        <v>441.89446404466867</v>
      </c>
      <c r="EO24" s="59">
        <f ca="1">AVERAGE(OFFSET($EN$3,0,0,'Données projet'!$E$15+1,1))-AVERAGE(OFFSET($H$3,0,0,'Données projet'!$E$15+1,1))</f>
        <v>533.26035274112917</v>
      </c>
      <c r="EP24" s="59">
        <f t="shared" si="46"/>
        <v>262.58149402282521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5.1282051282051295</v>
      </c>
      <c r="FE24" s="12">
        <f>IF('Données projet'!$A$218&gt;35,FE23+FD24-FM23,IF(A24&lt;'Données projet'!$A$218,$FB$205^A24,IF(A24='Données projet'!$A$218,'Données projet'!$B$218,FE23+FD24-FM23)))</f>
        <v>42.307692307692292</v>
      </c>
      <c r="FF24" s="17">
        <f>FE24*VLOOKUP('Données projet'!$B$16,Paramètres!$A$1:$I$89,3,0)*VLOOKUP('Données projet'!$B$16,Paramètres!$A$1:$I$89,5,0)</f>
        <v>44.219999999999985</v>
      </c>
      <c r="FG24" s="13">
        <f t="shared" si="47"/>
        <v>13.110546100999768</v>
      </c>
      <c r="FH24" s="20">
        <f t="shared" si="22"/>
        <v>99.850701125907904</v>
      </c>
      <c r="FI24" s="59">
        <f t="shared" si="23"/>
        <v>382.18403445924122</v>
      </c>
      <c r="FJ24" s="59">
        <f ca="1">AVERAGE(OFFSET($FI$3,0,0,'Données projet'!$E$16+1,1))-AVERAGE(OFFSET($H$3,0,0,'Données projet'!$E$16+1,1))</f>
        <v>239.26156489359892</v>
      </c>
      <c r="FK24" s="59">
        <f t="shared" si="48"/>
        <v>213.97034450798111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4.474080696254239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4.474080696254239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4.016578947368421</v>
      </c>
      <c r="N25" s="13">
        <f>IF('Données projet'!$A$36&gt;35,N24+M25-V24,IF(A25&lt;'Données projet'!$A$36,$K$205^A25,IF(A25='Données projet'!$A$36,'Données projet'!$B$36,N24+M25-V24)))</f>
        <v>88.364736842105245</v>
      </c>
      <c r="O25" s="13">
        <f>N25*VLOOKUP('Données projet'!$B$9,Paramètres!$A$1:$I$89,3,0)*VLOOKUP('Données projet'!$B$9,Paramètres!$A$1:$I$89,5,0)</f>
        <v>84.087883578947356</v>
      </c>
      <c r="P25" s="13">
        <f t="shared" si="33"/>
        <v>23.133775482791631</v>
      </c>
      <c r="Q25" s="20">
        <f t="shared" si="2"/>
        <v>186.74438953252874</v>
      </c>
      <c r="R25" s="59">
        <f t="shared" si="0"/>
        <v>470.29994508808431</v>
      </c>
      <c r="S25" s="59">
        <f ca="1">AVERAGE(OFFSET($R$3,0,0,'Données projet'!$E$9+1,1))-AVERAGE(OFFSET($H$3,0,0,'Données projet'!$E$9+1,1))</f>
        <v>449.28947235329758</v>
      </c>
      <c r="T25" s="59">
        <f t="shared" si="34"/>
        <v>289.36994109443964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129.56</v>
      </c>
      <c r="AG25" s="12">
        <f>VLOOKUP(A25,'Données projet'!$A$61:$I$81,9,0)</f>
        <v>5.8890909090909096</v>
      </c>
      <c r="AH25" s="12">
        <f t="array" ref="AH25">INDEX(AG:AG,MIN(IF(ISNUMBER(AG25:AG221),ROW(AG25:AG221),"")))</f>
        <v>5.8890909090909096</v>
      </c>
      <c r="AI25" s="13">
        <f>IF('Données projet'!$A$62&gt;35,AI24+AH25-AQ24,IF(A25&lt;'Données projet'!$A$62,$AF$205^A25,IF(A25='Données projet'!$A$62,'Données projet'!$B$62,AI24+AH25-AQ24)))</f>
        <v>129.56</v>
      </c>
      <c r="AJ25" s="13">
        <f>AI25*VLOOKUP('Données projet'!$B$10,Paramètres!$A$1:$I$89,3,0)*VLOOKUP('Données projet'!$B$10,Paramètres!$A$1:$I$89,5,0)</f>
        <v>77.476880000000008</v>
      </c>
      <c r="AK25" s="13">
        <f t="shared" si="35"/>
        <v>21.519122262611628</v>
      </c>
      <c r="AL25" s="20">
        <f t="shared" si="4"/>
        <v>172.4180372740486</v>
      </c>
      <c r="AM25" s="59">
        <f t="shared" si="5"/>
        <v>455.97359282960417</v>
      </c>
      <c r="AN25" s="59">
        <f ca="1">AVERAGE(OFFSET($AM$3,0,0,'Données projet'!$E$10+1,1))-AVERAGE(OFFSET($H$3,0,0,'Données projet'!$E$10+1,1))</f>
        <v>349.71285006949597</v>
      </c>
      <c r="AO25" s="59">
        <f t="shared" si="36"/>
        <v>258.51550516456842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52.620000000000005</v>
      </c>
      <c r="AR25" s="16">
        <f>IF(ISNA(VLOOKUP(A25,'Données projet'!$A$61:$I$81,5,0)),0%,VLOOKUP(A25,'Données projet'!$A$61:$I$81,5,0)*VLOOKUP('Données projet'!$B$10,Paramètres!$A$1:$I$89,7,0))</f>
        <v>0.1125</v>
      </c>
      <c r="AS25" s="16">
        <f>IF(ISNA(VLOOKUP(A25,'Données projet'!$A$61:$I$81,6,0)),0%,VLOOKUP(A25,'Données projet'!$A$61:$I$81,6,0)*VLOOKUP('Données projet'!$B$10,Paramètres!$A$1:$I$89,7,0))</f>
        <v>0.16650000000000001</v>
      </c>
      <c r="AT25" s="16">
        <f>IF(ISNA(VLOOKUP(A25,'Données projet'!$A$61:$I$81,7,0)),0%,VLOOKUP(A25,'Données projet'!$A$61:$I$81,7,0))</f>
        <v>0.38</v>
      </c>
      <c r="AU25" s="21">
        <f>EXP(-LN(2)/35)*AU24+(1-EXP(-LN(2)/35))/(LN(2)/35)*AQ25*AR25*VLOOKUP('Données projet'!$B$10,Paramètres!$A$1:$I$89,3,0)*0.475*44/12</f>
        <v>4.6960521011827554</v>
      </c>
      <c r="AV25" s="21">
        <f>EXP(-LN(2)/25)*AV24+(1-EXP(-LN(2)/25))/(LN(2)/25)*Calculateur!AQ25*Calculateur!AS25*VLOOKUP('Données projet'!$B$10,Paramètres!$A$1:$I$89,3,0)*0.475*44/12</f>
        <v>6.9227916929919147</v>
      </c>
      <c r="AW25" s="21">
        <f>EXP(-LN(2)/2)*AW24+(1-EXP(-LN(2)/2))/(LN(2)/2)*AQ25*AT25*VLOOKUP('Données projet'!$B$10,Paramètres!$A$1:$I$89,3,0)*0.475*44/12</f>
        <v>13.538519148795281</v>
      </c>
      <c r="AX25" s="21">
        <f t="shared" si="6"/>
        <v>25.15736294296995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17.793333333333333</v>
      </c>
      <c r="BD25" s="12">
        <f>IF('Données projet'!$A$88&gt;35,BD24+BC25-BL24,IF(A25&lt;'Données projet'!$A$88,$BA$205^A25,IF(A25='Données projet'!$A$88,'Données projet'!$B$88,BD24+BC25-BL24)))</f>
        <v>171.41666666666663</v>
      </c>
      <c r="BE25" s="13">
        <f>BD25*VLOOKUP('Données projet'!$B$11,Paramètres!$A$1:$I$89,3,0)*VLOOKUP('Données projet'!$B$11,Paramètres!$A$1:$I$89,5,0)</f>
        <v>102.50716666666666</v>
      </c>
      <c r="BF25" s="13">
        <f t="shared" si="37"/>
        <v>27.558431899391174</v>
      </c>
      <c r="BG25" s="20">
        <f t="shared" si="7"/>
        <v>226.53091750255075</v>
      </c>
      <c r="BH25" s="59">
        <f t="shared" si="8"/>
        <v>510.08647305810632</v>
      </c>
      <c r="BI25" s="59">
        <f ca="1">AVERAGE(OFFSET($BH$3,0,0,'Données projet'!$E$11+1,1))-AVERAGE(OFFSET($H$3,0,0,'Données projet'!$E$11+1,1))</f>
        <v>302.00825291248458</v>
      </c>
      <c r="BJ25" s="59">
        <f t="shared" si="38"/>
        <v>307.35115839449355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6.3735154591814398</v>
      </c>
      <c r="BR25" s="21">
        <f>EXP(-LN(2)/2)*BR24+(1-EXP(-LN(2)/2))/(LN(2)/2)*BL25*BO25*VLOOKUP('Données projet'!$B$11,Paramètres!$A$1:$I$89,3,0)*0.475*44/12</f>
        <v>2.4644390438167685</v>
      </c>
      <c r="BS25" s="22">
        <f t="shared" si="9"/>
        <v>8.8379545029982083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7.7715686274509812</v>
      </c>
      <c r="BY25" s="12">
        <f>IF('Données projet'!$A$114&gt;35,BY24+BX25-CG24,IF(A25&lt;'Données projet'!$A$114,$BV$205^A25,IF(A25='Données projet'!$A$114,'Données projet'!$B$114,BY24+BX25-CG24)))</f>
        <v>170.97450980392159</v>
      </c>
      <c r="BZ25" s="13">
        <f>BY25*VLOOKUP('Données projet'!$B$12,Paramètres!$A$1:$I$89,3,0)*VLOOKUP('Données projet'!$B$12,Paramètres!$A$1:$I$89,5,0)</f>
        <v>80.016070588235308</v>
      </c>
      <c r="CA25" s="13">
        <f t="shared" si="39"/>
        <v>22.14111342509517</v>
      </c>
      <c r="CB25" s="20">
        <f t="shared" si="10"/>
        <v>177.92376215655057</v>
      </c>
      <c r="CC25" s="59">
        <f t="shared" si="11"/>
        <v>461.47931771210608</v>
      </c>
      <c r="CD25" s="59">
        <f ca="1">AVERAGE(OFFSET($CC$3,0,0,'Données projet'!$E$12+1,1))-AVERAGE(OFFSET($H$3,0,0,'Données projet'!$E$12+1,1))</f>
        <v>337.10499990421835</v>
      </c>
      <c r="CE25" s="59">
        <f t="shared" si="40"/>
        <v>277.4254079562175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3.3603333333333336</v>
      </c>
      <c r="CT25" s="12">
        <f>IF('Données projet'!$A$140&gt;35,CT24+CS25-DB24,IF(A25&lt;'Données projet'!$A$140,$CQ$205^A25,IF(A25='Données projet'!$A$140,'Données projet'!$B$140,CT24+CS25-DB24)))</f>
        <v>73.927333333333365</v>
      </c>
      <c r="CU25" s="17">
        <f>CT25*VLOOKUP('Données projet'!$B$13,Paramètres!$A$1:$I$89,3,0)*VLOOKUP('Données projet'!$B$13,Paramètres!$A$1:$I$89,5,0)</f>
        <v>73.809049600000037</v>
      </c>
      <c r="CV25" s="13">
        <f t="shared" si="41"/>
        <v>20.616442119152715</v>
      </c>
      <c r="CW25" s="20">
        <f t="shared" si="13"/>
        <v>164.45773141085769</v>
      </c>
      <c r="CX25" s="59">
        <f t="shared" si="14"/>
        <v>448.01328696641326</v>
      </c>
      <c r="CY25" s="59">
        <f ca="1">AVERAGE(OFFSET($CX$3,0,0,'Données projet'!$E$13+1,1))-AVERAGE(OFFSET($H$3,0,0,'Données projet'!$E$13+1,1))</f>
        <v>525.74725170626471</v>
      </c>
      <c r="CZ25" s="59">
        <f t="shared" si="42"/>
        <v>259.19103598192197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4.5856818181818184</v>
      </c>
      <c r="DO25" s="12">
        <f>IF('Données projet'!$A$166&gt;35,DO24+DN25-DW24,IF(A25&lt;'Données projet'!$A$166,$DL$205^A25,IF(A25='Données projet'!$A$166,'Données projet'!$B$166,DO24+DN25-DW24)))</f>
        <v>100.88500000000005</v>
      </c>
      <c r="DP25" s="17">
        <f>DO25*VLOOKUP('Données projet'!$B$14,Paramètres!$A$1:$I$89,3,0)*VLOOKUP('Données projet'!$B$14,Paramètres!$A$1:$I$89,5,0)</f>
        <v>91.280748000000031</v>
      </c>
      <c r="DQ25" s="13">
        <f t="shared" si="43"/>
        <v>24.873856091511385</v>
      </c>
      <c r="DR25" s="20">
        <f t="shared" si="16"/>
        <v>202.30260212604904</v>
      </c>
      <c r="DS25" s="59">
        <f t="shared" si="17"/>
        <v>485.85815768160455</v>
      </c>
      <c r="DT25" s="59">
        <f ca="1">AVERAGE(OFFSET($DS$3,0,0,'Données projet'!$E$14+1,1))-AVERAGE(OFFSET($H$3,0,0,'Données projet'!$E$14+1,1))</f>
        <v>490.06222615476065</v>
      </c>
      <c r="DU25" s="59">
        <f t="shared" si="44"/>
        <v>310.43914804089906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3.3603333333333336</v>
      </c>
      <c r="EJ25" s="12">
        <f>IF('Données projet'!$A$192&gt;35,EJ24+EI25-ER24,IF(A25&lt;'Données projet'!$A$192,$EG$205^A25,IF(A25='Données projet'!$A$192,'Données projet'!$B$192,EJ24+EI25-ER24)))</f>
        <v>73.927333333333365</v>
      </c>
      <c r="EK25" s="17">
        <f>EJ25*VLOOKUP('Données projet'!$B$15,Paramètres!$A$1:$I$89,3,0)*VLOOKUP('Données projet'!$B$15,Paramètres!$A$1:$I$89,5,0)</f>
        <v>74.962316000000044</v>
      </c>
      <c r="EL25" s="13">
        <f t="shared" si="45"/>
        <v>20.900820525249284</v>
      </c>
      <c r="EM25" s="20">
        <f t="shared" si="19"/>
        <v>166.96162944814259</v>
      </c>
      <c r="EN25" s="59">
        <f t="shared" si="20"/>
        <v>450.51718500369816</v>
      </c>
      <c r="EO25" s="59">
        <f ca="1">AVERAGE(OFFSET($EN$3,0,0,'Données projet'!$E$15+1,1))-AVERAGE(OFFSET($H$3,0,0,'Données projet'!$E$15+1,1))</f>
        <v>533.26035274112917</v>
      </c>
      <c r="EP25" s="59">
        <f t="shared" si="46"/>
        <v>262.58149402282521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5.1282051282051295</v>
      </c>
      <c r="FE25" s="12">
        <f>IF('Données projet'!$A$218&gt;35,FE24+FD25-FM24,IF(A25&lt;'Données projet'!$A$218,$FB$205^A25,IF(A25='Données projet'!$A$218,'Données projet'!$B$218,FE24+FD25-FM24)))</f>
        <v>47.435897435897424</v>
      </c>
      <c r="FF25" s="17">
        <f>FE25*VLOOKUP('Données projet'!$B$16,Paramètres!$A$1:$I$89,3,0)*VLOOKUP('Données projet'!$B$16,Paramètres!$A$1:$I$89,5,0)</f>
        <v>49.579999999999991</v>
      </c>
      <c r="FG25" s="13">
        <f t="shared" si="47"/>
        <v>14.505239638165149</v>
      </c>
      <c r="FH25" s="20">
        <f t="shared" si="22"/>
        <v>111.61512570313761</v>
      </c>
      <c r="FI25" s="59">
        <f t="shared" si="23"/>
        <v>395.17068125869315</v>
      </c>
      <c r="FJ25" s="59">
        <f ca="1">AVERAGE(OFFSET($FI$3,0,0,'Données projet'!$E$16+1,1))-AVERAGE(OFFSET($H$3,0,0,'Données projet'!$E$16+1,1))</f>
        <v>239.26156489359892</v>
      </c>
      <c r="FK25" s="59">
        <f t="shared" si="48"/>
        <v>213.97034450798111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4.351736724333489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4.351736724333489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4.016578947368421</v>
      </c>
      <c r="N26" s="13">
        <f>IF('Données projet'!$A$36&gt;35,N25+M26-V25,IF(A26&lt;'Données projet'!$A$36,$K$205^A26,IF(A26='Données projet'!$A$36,'Données projet'!$B$36,N25+M26-V25)))</f>
        <v>92.381315789473661</v>
      </c>
      <c r="O26" s="13">
        <f>N26*VLOOKUP('Données projet'!$B$9,Paramètres!$A$1:$I$89,3,0)*VLOOKUP('Données projet'!$B$9,Paramètres!$A$1:$I$89,5,0)</f>
        <v>87.910060105263142</v>
      </c>
      <c r="P26" s="13">
        <f t="shared" si="33"/>
        <v>24.060494645289975</v>
      </c>
      <c r="Q26" s="20">
        <f t="shared" si="2"/>
        <v>195.01538285721335</v>
      </c>
      <c r="R26" s="59">
        <f t="shared" si="0"/>
        <v>479.79316063499112</v>
      </c>
      <c r="S26" s="59">
        <f ca="1">AVERAGE(OFFSET($R$3,0,0,'Données projet'!$E$9+1,1))-AVERAGE(OFFSET($H$3,0,0,'Données projet'!$E$9+1,1))</f>
        <v>449.28947235329758</v>
      </c>
      <c r="T26" s="59">
        <f t="shared" si="34"/>
        <v>289.36994109443964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15.782</v>
      </c>
      <c r="AI26" s="13">
        <f>IF('Données projet'!$A$62&gt;35,AI25+AH26-AQ25,IF(A26&lt;'Données projet'!$A$62,$AF$205^A26,IF(A26='Données projet'!$A$62,'Données projet'!$B$62,AI25+AH26-AQ25)))</f>
        <v>92.722000000000008</v>
      </c>
      <c r="AJ26" s="13">
        <f>AI26*VLOOKUP('Données projet'!$B$10,Paramètres!$A$1:$I$89,3,0)*VLOOKUP('Données projet'!$B$10,Paramètres!$A$1:$I$89,5,0)</f>
        <v>55.447756000000005</v>
      </c>
      <c r="AK26" s="13">
        <f t="shared" si="35"/>
        <v>16.012087139856263</v>
      </c>
      <c r="AL26" s="20">
        <f t="shared" si="4"/>
        <v>124.45922680191636</v>
      </c>
      <c r="AM26" s="59">
        <f t="shared" si="5"/>
        <v>409.23700457969414</v>
      </c>
      <c r="AN26" s="59">
        <f ca="1">AVERAGE(OFFSET($AM$3,0,0,'Données projet'!$E$10+1,1))-AVERAGE(OFFSET($H$3,0,0,'Données projet'!$E$10+1,1))</f>
        <v>349.71285006949597</v>
      </c>
      <c r="AO26" s="59">
        <f t="shared" si="36"/>
        <v>258.51550516456842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4.6039653837875161</v>
      </c>
      <c r="AV26" s="21">
        <f>EXP(-LN(2)/25)*AV25+(1-EXP(-LN(2)/25))/(LN(2)/25)*Calculateur!AQ26*Calculateur!AS26*VLOOKUP('Données projet'!$B$10,Paramètres!$A$1:$I$89,3,0)*0.475*44/12</f>
        <v>6.733487590093258</v>
      </c>
      <c r="AW26" s="21">
        <f>EXP(-LN(2)/2)*AW25+(1-EXP(-LN(2)/2))/(LN(2)/2)*AQ26*AT26*VLOOKUP('Données projet'!$B$10,Paramètres!$A$1:$I$89,3,0)*0.475*44/12</f>
        <v>9.5731786973370685</v>
      </c>
      <c r="AX26" s="21">
        <f t="shared" si="6"/>
        <v>20.910631671217843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>
        <f>VLOOKUP(A26,'Données projet'!$A$87:$I$107,2,0)</f>
        <v>189.21</v>
      </c>
      <c r="BB26" s="12">
        <f>VLOOKUP(A26,'Données projet'!$A$87:$I$107,9,0)</f>
        <v>17.793333333333333</v>
      </c>
      <c r="BC26" s="12">
        <f t="array" ref="BC26">INDEX(BB:BB,MIN(IF(ISNUMBER(BB26:BB222),ROW(BB26:BB222),"")))</f>
        <v>17.793333333333333</v>
      </c>
      <c r="BD26" s="12">
        <f>IF('Données projet'!$A$88&gt;35,BD25+BC26-BL25,IF(A26&lt;'Données projet'!$A$88,$BA$205^A26,IF(A26='Données projet'!$A$88,'Données projet'!$B$88,BD25+BC26-BL25)))</f>
        <v>189.20999999999995</v>
      </c>
      <c r="BE26" s="13">
        <f>BD26*VLOOKUP('Données projet'!$B$11,Paramètres!$A$1:$I$89,3,0)*VLOOKUP('Données projet'!$B$11,Paramètres!$A$1:$I$89,5,0)</f>
        <v>113.14757999999998</v>
      </c>
      <c r="BF26" s="13">
        <f t="shared" si="37"/>
        <v>30.071356907423628</v>
      </c>
      <c r="BG26" s="20">
        <f t="shared" si="7"/>
        <v>249.43964844709606</v>
      </c>
      <c r="BH26" s="59">
        <f t="shared" si="8"/>
        <v>534.21742622487386</v>
      </c>
      <c r="BI26" s="59">
        <f ca="1">AVERAGE(OFFSET($BH$3,0,0,'Données projet'!$E$11+1,1))-AVERAGE(OFFSET($H$3,0,0,'Données projet'!$E$11+1,1))</f>
        <v>302.00825291248458</v>
      </c>
      <c r="BJ26" s="59">
        <f t="shared" si="38"/>
        <v>307.35115839449355</v>
      </c>
      <c r="BK26" s="15">
        <f>IF(ISNA(VLOOKUP(A26,'Données projet'!$A$87:$I$107,3,0)),0,VLOOKUP(A26,'Données projet'!$A$87:$I$107,3,0))</f>
        <v>2</v>
      </c>
      <c r="BL26" s="15">
        <f>IF(ISNA(VLOOKUP(A26,'Données projet'!$A$87:$I$107,4,0)),0,VLOOKUP(A26,'Données projet'!$A$87:$I$107,4,0))</f>
        <v>58.370000000000005</v>
      </c>
      <c r="BM26" s="16">
        <f>IF(ISNA(VLOOKUP(A26,'Données projet'!$A$87:$I$107,5,0)),0%,VLOOKUP(A26,'Données projet'!$A$87:$I$107,5,0)*VLOOKUP('Données projet'!$B$11,Paramètres!$A$1:$I$89,7,0))</f>
        <v>0.1125</v>
      </c>
      <c r="BN26" s="16">
        <f>IF(ISNA(VLOOKUP(A26,'Données projet'!$A$87:$I$107,6,0)),0%,VLOOKUP(A26,'Données projet'!$A$87:$I$107,6,0)*VLOOKUP('Données projet'!$B$11,Paramètres!$A$1:$I$89,7,0))</f>
        <v>0.16650000000000001</v>
      </c>
      <c r="BO26" s="16">
        <f>IF(ISNA(VLOOKUP(A26,'Données projet'!$A$87:$I$107,7,0)),0%,VLOOKUP(A26,'Données projet'!$A$87:$I$107,7,0))</f>
        <v>0.38</v>
      </c>
      <c r="BP26" s="21">
        <f>EXP(-LN(2)/35)*BP25+(1-EXP(-LN(2)/35))/(LN(2)/35)*BL26*BM26*VLOOKUP('Données projet'!$B$11,Paramètres!$A$1:$I$89,3,0)*0.475*44/12</f>
        <v>5.2092086876860018</v>
      </c>
      <c r="BQ26" s="21">
        <f>EXP(-LN(2)/25)*BQ25+(1-EXP(-LN(2)/25))/(LN(2)/25)*Calculateur!BL26*Calculateur!BN26*VLOOKUP('Données projet'!$B$11,Paramètres!$A$1:$I$89,3,0)*0.475*44/12</f>
        <v>13.878504455144835</v>
      </c>
      <c r="BR26" s="21">
        <f>EXP(-LN(2)/2)*BR25+(1-EXP(-LN(2)/2))/(LN(2)/2)*BL26*BO26*VLOOKUP('Données projet'!$B$11,Paramètres!$A$1:$I$89,3,0)*0.475*44/12</f>
        <v>16.760549395416017</v>
      </c>
      <c r="BS26" s="22">
        <f t="shared" si="9"/>
        <v>35.848262538246857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7.7715686274509812</v>
      </c>
      <c r="BY26" s="12">
        <f>IF('Données projet'!$A$114&gt;35,BY25+BX26-CG25,IF(A26&lt;'Données projet'!$A$114,$BV$205^A26,IF(A26='Données projet'!$A$114,'Données projet'!$B$114,BY25+BX26-CG25)))</f>
        <v>178.74607843137258</v>
      </c>
      <c r="BZ26" s="13">
        <f>BY26*VLOOKUP('Données projet'!$B$12,Paramètres!$A$1:$I$89,3,0)*VLOOKUP('Données projet'!$B$12,Paramètres!$A$1:$I$89,5,0)</f>
        <v>83.653164705882375</v>
      </c>
      <c r="CA26" s="13">
        <f t="shared" si="39"/>
        <v>23.028067398749322</v>
      </c>
      <c r="CB26" s="20">
        <f t="shared" si="10"/>
        <v>185.80314591556689</v>
      </c>
      <c r="CC26" s="59">
        <f t="shared" si="11"/>
        <v>470.58092369334463</v>
      </c>
      <c r="CD26" s="59">
        <f ca="1">AVERAGE(OFFSET($CC$3,0,0,'Données projet'!$E$12+1,1))-AVERAGE(OFFSET($H$3,0,0,'Données projet'!$E$12+1,1))</f>
        <v>337.10499990421835</v>
      </c>
      <c r="CE26" s="59">
        <f t="shared" si="40"/>
        <v>277.4254079562175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3.3603333333333336</v>
      </c>
      <c r="CT26" s="12">
        <f>IF('Données projet'!$A$140&gt;35,CT25+CS26-DB25,IF(A26&lt;'Données projet'!$A$140,$CQ$205^A26,IF(A26='Données projet'!$A$140,'Données projet'!$B$140,CT25+CS26-DB25)))</f>
        <v>77.287666666666695</v>
      </c>
      <c r="CU26" s="17">
        <f>CT26*VLOOKUP('Données projet'!$B$13,Paramètres!$A$1:$I$89,3,0)*VLOOKUP('Données projet'!$B$13,Paramètres!$A$1:$I$89,5,0)</f>
        <v>77.164006400000034</v>
      </c>
      <c r="CV26" s="13">
        <f t="shared" si="41"/>
        <v>21.442319070736726</v>
      </c>
      <c r="CW26" s="20">
        <f t="shared" si="13"/>
        <v>171.73935019486649</v>
      </c>
      <c r="CX26" s="59">
        <f t="shared" si="14"/>
        <v>456.51712797264429</v>
      </c>
      <c r="CY26" s="59">
        <f ca="1">AVERAGE(OFFSET($CX$3,0,0,'Données projet'!$E$13+1,1))-AVERAGE(OFFSET($H$3,0,0,'Données projet'!$E$13+1,1))</f>
        <v>525.74725170626471</v>
      </c>
      <c r="CZ26" s="59">
        <f t="shared" si="42"/>
        <v>259.19103598192197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4.5856818181818184</v>
      </c>
      <c r="DO26" s="12">
        <f>IF('Données projet'!$A$166&gt;35,DO25+DN26-DW25,IF(A26&lt;'Données projet'!$A$166,$DL$205^A26,IF(A26='Données projet'!$A$166,'Données projet'!$B$166,DO25+DN26-DW25)))</f>
        <v>105.47068181818187</v>
      </c>
      <c r="DP26" s="17">
        <f>DO26*VLOOKUP('Données projet'!$B$14,Paramètres!$A$1:$I$89,3,0)*VLOOKUP('Données projet'!$B$14,Paramètres!$A$1:$I$89,5,0)</f>
        <v>95.429872909090946</v>
      </c>
      <c r="DQ26" s="13">
        <f t="shared" si="43"/>
        <v>25.870281387606134</v>
      </c>
      <c r="DR26" s="20">
        <f t="shared" si="16"/>
        <v>211.26443540008074</v>
      </c>
      <c r="DS26" s="59">
        <f t="shared" si="17"/>
        <v>496.04221317785851</v>
      </c>
      <c r="DT26" s="59">
        <f ca="1">AVERAGE(OFFSET($DS$3,0,0,'Données projet'!$E$14+1,1))-AVERAGE(OFFSET($H$3,0,0,'Données projet'!$E$14+1,1))</f>
        <v>490.06222615476065</v>
      </c>
      <c r="DU26" s="59">
        <f t="shared" si="44"/>
        <v>310.43914804089906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3.3603333333333336</v>
      </c>
      <c r="EJ26" s="12">
        <f>IF('Données projet'!$A$192&gt;35,EJ25+EI26-ER25,IF(A26&lt;'Données projet'!$A$192,$EG$205^A26,IF(A26='Données projet'!$A$192,'Données projet'!$B$192,EJ25+EI26-ER25)))</f>
        <v>77.287666666666695</v>
      </c>
      <c r="EK26" s="17">
        <f>EJ26*VLOOKUP('Données projet'!$B$15,Paramètres!$A$1:$I$89,3,0)*VLOOKUP('Données projet'!$B$15,Paramètres!$A$1:$I$89,5,0)</f>
        <v>78.369694000000038</v>
      </c>
      <c r="EL26" s="13">
        <f t="shared" si="45"/>
        <v>21.738089431359974</v>
      </c>
      <c r="EM26" s="20">
        <f t="shared" si="19"/>
        <v>174.35438947628532</v>
      </c>
      <c r="EN26" s="59">
        <f t="shared" si="20"/>
        <v>459.13216725406312</v>
      </c>
      <c r="EO26" s="59">
        <f ca="1">AVERAGE(OFFSET($EN$3,0,0,'Données projet'!$E$15+1,1))-AVERAGE(OFFSET($H$3,0,0,'Données projet'!$E$15+1,1))</f>
        <v>533.26035274112917</v>
      </c>
      <c r="EP26" s="59">
        <f t="shared" si="46"/>
        <v>262.58149402282521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5.1282051282051295</v>
      </c>
      <c r="FE26" s="12">
        <f>IF('Données projet'!$A$218&gt;35,FE25+FD26-FM25,IF(A26&lt;'Données projet'!$A$218,$FB$205^A26,IF(A26='Données projet'!$A$218,'Données projet'!$B$218,FE25+FD26-FM25)))</f>
        <v>52.564102564102555</v>
      </c>
      <c r="FF26" s="17">
        <f>FE26*VLOOKUP('Données projet'!$B$16,Paramètres!$A$1:$I$89,3,0)*VLOOKUP('Données projet'!$B$16,Paramètres!$A$1:$I$89,5,0)</f>
        <v>54.94</v>
      </c>
      <c r="FG26" s="13">
        <f t="shared" si="47"/>
        <v>15.88245671832347</v>
      </c>
      <c r="FH26" s="20">
        <f t="shared" si="22"/>
        <v>123.3491121177467</v>
      </c>
      <c r="FI26" s="59">
        <f t="shared" si="23"/>
        <v>408.12688989552447</v>
      </c>
      <c r="FJ26" s="59">
        <f ca="1">AVERAGE(OFFSET($FI$3,0,0,'Données projet'!$E$16+1,1))-AVERAGE(OFFSET($H$3,0,0,'Données projet'!$E$16+1,1))</f>
        <v>239.26156489359892</v>
      </c>
      <c r="FK26" s="59">
        <f t="shared" si="48"/>
        <v>213.97034450798111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4.2327382547587016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4.2327382547587016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4.016578947368421</v>
      </c>
      <c r="N27" s="13">
        <f>IF('Données projet'!$A$36&gt;35,N26+M27-V26,IF(A27&lt;'Données projet'!$A$36,$K$205^A27,IF(A27='Données projet'!$A$36,'Données projet'!$B$36,N26+M27-V26)))</f>
        <v>96.397894736842076</v>
      </c>
      <c r="O27" s="13">
        <f>N27*VLOOKUP('Données projet'!$B$9,Paramètres!$A$1:$I$89,3,0)*VLOOKUP('Données projet'!$B$9,Paramètres!$A$1:$I$89,5,0)</f>
        <v>91.732236631578928</v>
      </c>
      <c r="P27" s="13">
        <f t="shared" si="33"/>
        <v>24.982534093770941</v>
      </c>
      <c r="Q27" s="20">
        <f t="shared" si="2"/>
        <v>203.27822567998433</v>
      </c>
      <c r="R27" s="59">
        <f t="shared" si="0"/>
        <v>489.2782256799843</v>
      </c>
      <c r="S27" s="59">
        <f ca="1">AVERAGE(OFFSET($R$3,0,0,'Données projet'!$E$9+1,1))-AVERAGE(OFFSET($H$3,0,0,'Données projet'!$E$9+1,1))</f>
        <v>449.28947235329758</v>
      </c>
      <c r="T27" s="59">
        <f t="shared" si="34"/>
        <v>289.36994109443964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15.782</v>
      </c>
      <c r="AI27" s="13">
        <f>IF('Données projet'!$A$62&gt;35,AI26+AH27-AQ26,IF(A27&lt;'Données projet'!$A$62,$AF$205^A27,IF(A27='Données projet'!$A$62,'Données projet'!$B$62,AI26+AH27-AQ26)))</f>
        <v>108.504</v>
      </c>
      <c r="AJ27" s="13">
        <f>AI27*VLOOKUP('Données projet'!$B$10,Paramètres!$A$1:$I$89,3,0)*VLOOKUP('Données projet'!$B$10,Paramètres!$A$1:$I$89,5,0)</f>
        <v>64.88539200000001</v>
      </c>
      <c r="AK27" s="13">
        <f t="shared" si="35"/>
        <v>18.397766162676771</v>
      </c>
      <c r="AL27" s="20">
        <f t="shared" si="4"/>
        <v>145.05150046666205</v>
      </c>
      <c r="AM27" s="59">
        <f t="shared" si="5"/>
        <v>431.05150046666205</v>
      </c>
      <c r="AN27" s="59">
        <f ca="1">AVERAGE(OFFSET($AM$3,0,0,'Données projet'!$E$10+1,1))-AVERAGE(OFFSET($H$3,0,0,'Données projet'!$E$10+1,1))</f>
        <v>349.71285006949597</v>
      </c>
      <c r="AO27" s="59">
        <f t="shared" si="36"/>
        <v>258.51550516456842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4.5136844307530462</v>
      </c>
      <c r="AV27" s="21">
        <f>EXP(-LN(2)/25)*AV26+(1-EXP(-LN(2)/25))/(LN(2)/25)*Calculateur!AQ27*Calculateur!AS27*VLOOKUP('Données projet'!$B$10,Paramètres!$A$1:$I$89,3,0)*0.475*44/12</f>
        <v>6.5493600178434352</v>
      </c>
      <c r="AW27" s="21">
        <f>EXP(-LN(2)/2)*AW26+(1-EXP(-LN(2)/2))/(LN(2)/2)*AQ27*AT27*VLOOKUP('Données projet'!$B$10,Paramètres!$A$1:$I$89,3,0)*0.475*44/12</f>
        <v>6.7692595743976414</v>
      </c>
      <c r="AX27" s="21">
        <f t="shared" si="6"/>
        <v>17.832304022994123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18.678333333333331</v>
      </c>
      <c r="BD27" s="12">
        <f>IF('Données projet'!$A$88&gt;35,BD26+BC27-BL26,IF(A27&lt;'Données projet'!$A$88,$BA$205^A27,IF(A27='Données projet'!$A$88,'Données projet'!$B$88,BD26+BC27-BL26)))</f>
        <v>149.51833333333329</v>
      </c>
      <c r="BE27" s="13">
        <f>BD27*VLOOKUP('Données projet'!$B$11,Paramètres!$A$1:$I$89,3,0)*VLOOKUP('Données projet'!$B$11,Paramètres!$A$1:$I$89,5,0)</f>
        <v>89.411963333333304</v>
      </c>
      <c r="BF27" s="13">
        <f t="shared" si="37"/>
        <v>24.423350649115033</v>
      </c>
      <c r="BG27" s="20">
        <f t="shared" si="7"/>
        <v>198.2631718527642</v>
      </c>
      <c r="BH27" s="59">
        <f t="shared" si="8"/>
        <v>484.26317185276423</v>
      </c>
      <c r="BI27" s="59">
        <f ca="1">AVERAGE(OFFSET($BH$3,0,0,'Données projet'!$E$11+1,1))-AVERAGE(OFFSET($H$3,0,0,'Données projet'!$E$11+1,1))</f>
        <v>302.00825291248458</v>
      </c>
      <c r="BJ27" s="59">
        <f t="shared" si="38"/>
        <v>307.35115839449355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5.1070592826240464</v>
      </c>
      <c r="BQ27" s="21">
        <f>EXP(-LN(2)/25)*BQ26+(1-EXP(-LN(2)/25))/(LN(2)/25)*Calculateur!BL27*Calculateur!BN27*VLOOKUP('Données projet'!$B$11,Paramètres!$A$1:$I$89,3,0)*0.475*44/12</f>
        <v>13.498996020980069</v>
      </c>
      <c r="BR27" s="21">
        <f>EXP(-LN(2)/2)*BR26+(1-EXP(-LN(2)/2))/(LN(2)/2)*BL27*BO27*VLOOKUP('Données projet'!$B$11,Paramètres!$A$1:$I$89,3,0)*0.475*44/12</f>
        <v>11.851498133910756</v>
      </c>
      <c r="BS27" s="22">
        <f t="shared" si="9"/>
        <v>30.457553437514871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7.7715686274509812</v>
      </c>
      <c r="BY27" s="12">
        <f>IF('Données projet'!$A$114&gt;35,BY26+BX27-CG26,IF(A27&lt;'Données projet'!$A$114,$BV$205^A27,IF(A27='Données projet'!$A$114,'Données projet'!$B$114,BY26+BX27-CG26)))</f>
        <v>186.51764705882357</v>
      </c>
      <c r="BZ27" s="13">
        <f>BY27*VLOOKUP('Données projet'!$B$12,Paramètres!$A$1:$I$89,3,0)*VLOOKUP('Données projet'!$B$12,Paramètres!$A$1:$I$89,5,0)</f>
        <v>87.290258823529442</v>
      </c>
      <c r="CA27" s="13">
        <f t="shared" si="39"/>
        <v>23.910542463246056</v>
      </c>
      <c r="CB27" s="20">
        <f t="shared" si="10"/>
        <v>193.67472890780064</v>
      </c>
      <c r="CC27" s="59">
        <f t="shared" si="11"/>
        <v>479.67472890780061</v>
      </c>
      <c r="CD27" s="59">
        <f ca="1">AVERAGE(OFFSET($CC$3,0,0,'Données projet'!$E$12+1,1))-AVERAGE(OFFSET($H$3,0,0,'Données projet'!$E$12+1,1))</f>
        <v>337.10499990421835</v>
      </c>
      <c r="CE27" s="59">
        <f t="shared" si="40"/>
        <v>277.4254079562175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3.3603333333333336</v>
      </c>
      <c r="CT27" s="12">
        <f>IF('Données projet'!$A$140&gt;35,CT26+CS27-DB26,IF(A27&lt;'Données projet'!$A$140,$CQ$205^A27,IF(A27='Données projet'!$A$140,'Données projet'!$B$140,CT26+CS27-DB26)))</f>
        <v>80.648000000000025</v>
      </c>
      <c r="CU27" s="17">
        <f>CT27*VLOOKUP('Données projet'!$B$13,Paramètres!$A$1:$I$89,3,0)*VLOOKUP('Données projet'!$B$13,Paramètres!$A$1:$I$89,5,0)</f>
        <v>80.51896320000003</v>
      </c>
      <c r="CV27" s="13">
        <f t="shared" si="41"/>
        <v>22.264025537773374</v>
      </c>
      <c r="CW27" s="20">
        <f t="shared" si="13"/>
        <v>179.01370538495533</v>
      </c>
      <c r="CX27" s="59">
        <f t="shared" si="14"/>
        <v>465.0137053849553</v>
      </c>
      <c r="CY27" s="59">
        <f ca="1">AVERAGE(OFFSET($CX$3,0,0,'Données projet'!$E$13+1,1))-AVERAGE(OFFSET($H$3,0,0,'Données projet'!$E$13+1,1))</f>
        <v>525.74725170626471</v>
      </c>
      <c r="CZ27" s="59">
        <f t="shared" si="42"/>
        <v>259.19103598192197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4.5856818181818184</v>
      </c>
      <c r="DO27" s="12">
        <f>IF('Données projet'!$A$166&gt;35,DO26+DN27-DW26,IF(A27&lt;'Données projet'!$A$166,$DL$205^A27,IF(A27='Données projet'!$A$166,'Données projet'!$B$166,DO26+DN27-DW26)))</f>
        <v>110.0563636363637</v>
      </c>
      <c r="DP27" s="17">
        <f>DO27*VLOOKUP('Données projet'!$B$14,Paramètres!$A$1:$I$89,3,0)*VLOOKUP('Données projet'!$B$14,Paramètres!$A$1:$I$89,5,0)</f>
        <v>99.578997818181875</v>
      </c>
      <c r="DQ27" s="13">
        <f t="shared" si="43"/>
        <v>26.861674970087829</v>
      </c>
      <c r="DR27" s="20">
        <f t="shared" si="16"/>
        <v>220.21750510623642</v>
      </c>
      <c r="DS27" s="59">
        <f t="shared" si="17"/>
        <v>506.21750510623644</v>
      </c>
      <c r="DT27" s="59">
        <f ca="1">AVERAGE(OFFSET($DS$3,0,0,'Données projet'!$E$14+1,1))-AVERAGE(OFFSET($H$3,0,0,'Données projet'!$E$14+1,1))</f>
        <v>490.06222615476065</v>
      </c>
      <c r="DU27" s="59">
        <f t="shared" si="44"/>
        <v>310.43914804089906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3.3603333333333336</v>
      </c>
      <c r="EJ27" s="12">
        <f>IF('Données projet'!$A$192&gt;35,EJ26+EI27-ER26,IF(A27&lt;'Données projet'!$A$192,$EG$205^A27,IF(A27='Données projet'!$A$192,'Données projet'!$B$192,EJ26+EI27-ER26)))</f>
        <v>80.648000000000025</v>
      </c>
      <c r="EK27" s="17">
        <f>EJ27*VLOOKUP('Données projet'!$B$15,Paramètres!$A$1:$I$89,3,0)*VLOOKUP('Données projet'!$B$15,Paramètres!$A$1:$I$89,5,0)</f>
        <v>81.777072000000032</v>
      </c>
      <c r="EL27" s="13">
        <f t="shared" si="45"/>
        <v>22.571130326229738</v>
      </c>
      <c r="EM27" s="20">
        <f t="shared" si="19"/>
        <v>181.7397857181835</v>
      </c>
      <c r="EN27" s="59">
        <f t="shared" si="20"/>
        <v>467.7397857181835</v>
      </c>
      <c r="EO27" s="59">
        <f ca="1">AVERAGE(OFFSET($EN$3,0,0,'Données projet'!$E$15+1,1))-AVERAGE(OFFSET($H$3,0,0,'Données projet'!$E$15+1,1))</f>
        <v>533.26035274112917</v>
      </c>
      <c r="EP27" s="59">
        <f t="shared" si="46"/>
        <v>262.58149402282521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5.1282051282051295</v>
      </c>
      <c r="FE27" s="12">
        <f>IF('Données projet'!$A$218&gt;35,FE26+FD27-FM26,IF(A27&lt;'Données projet'!$A$218,$FB$205^A27,IF(A27='Données projet'!$A$218,'Données projet'!$B$218,FE26+FD27-FM26)))</f>
        <v>57.692307692307686</v>
      </c>
      <c r="FF27" s="17">
        <f>FE27*VLOOKUP('Données projet'!$B$16,Paramètres!$A$1:$I$89,3,0)*VLOOKUP('Données projet'!$B$16,Paramètres!$A$1:$I$89,5,0)</f>
        <v>60.300000000000004</v>
      </c>
      <c r="FG27" s="13">
        <f t="shared" si="47"/>
        <v>17.24409639377615</v>
      </c>
      <c r="FH27" s="20">
        <f t="shared" si="22"/>
        <v>135.05596788582679</v>
      </c>
      <c r="FI27" s="59">
        <f t="shared" si="23"/>
        <v>421.05596788582682</v>
      </c>
      <c r="FJ27" s="59">
        <f ca="1">AVERAGE(OFFSET($FI$3,0,0,'Données projet'!$E$16+1,1))-AVERAGE(OFFSET($H$3,0,0,'Données projet'!$E$16+1,1))</f>
        <v>239.26156489359892</v>
      </c>
      <c r="FK27" s="59">
        <f t="shared" si="48"/>
        <v>213.97034450798111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4.116993804592294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4.116993804592294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4.016578947368421</v>
      </c>
      <c r="N28" s="13">
        <f>IF('Données projet'!$A$36&gt;35,N27+M28-V27,IF(A28&lt;'Données projet'!$A$36,$K$205^A28,IF(A28='Données projet'!$A$36,'Données projet'!$B$36,N27+M28-V27)))</f>
        <v>100.41447368421049</v>
      </c>
      <c r="O28" s="13">
        <f>N28*VLOOKUP('Données projet'!$B$9,Paramètres!$A$1:$I$89,3,0)*VLOOKUP('Données projet'!$B$9,Paramètres!$A$1:$I$89,5,0)</f>
        <v>95.5544131578947</v>
      </c>
      <c r="P28" s="13">
        <f t="shared" si="33"/>
        <v>25.900111114129121</v>
      </c>
      <c r="Q28" s="20">
        <f t="shared" si="2"/>
        <v>211.53329644044149</v>
      </c>
      <c r="R28" s="59">
        <f t="shared" si="0"/>
        <v>498.75551866266369</v>
      </c>
      <c r="S28" s="59">
        <f ca="1">AVERAGE(OFFSET($R$3,0,0,'Données projet'!$E$9+1,1))-AVERAGE(OFFSET($H$3,0,0,'Données projet'!$E$9+1,1))</f>
        <v>449.28947235329758</v>
      </c>
      <c r="T28" s="59">
        <f t="shared" si="34"/>
        <v>289.36994109443964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15.782</v>
      </c>
      <c r="AI28" s="13">
        <f>IF('Données projet'!$A$62&gt;35,AI27+AH28-AQ27,IF(A28&lt;'Données projet'!$A$62,$AF$205^A28,IF(A28='Données projet'!$A$62,'Données projet'!$B$62,AI27+AH28-AQ27)))</f>
        <v>124.286</v>
      </c>
      <c r="AJ28" s="13">
        <f>AI28*VLOOKUP('Données projet'!$B$10,Paramètres!$A$1:$I$89,3,0)*VLOOKUP('Données projet'!$B$10,Paramètres!$A$1:$I$89,5,0)</f>
        <v>74.323028000000008</v>
      </c>
      <c r="AK28" s="13">
        <f t="shared" si="35"/>
        <v>20.743244990540482</v>
      </c>
      <c r="AL28" s="20">
        <f t="shared" si="4"/>
        <v>165.57375879185801</v>
      </c>
      <c r="AM28" s="59">
        <f t="shared" si="5"/>
        <v>452.79598101408021</v>
      </c>
      <c r="AN28" s="59">
        <f ca="1">AVERAGE(OFFSET($AM$3,0,0,'Données projet'!$E$10+1,1))-AVERAGE(OFFSET($H$3,0,0,'Données projet'!$E$10+1,1))</f>
        <v>349.71285006949597</v>
      </c>
      <c r="AO28" s="59">
        <f t="shared" si="36"/>
        <v>258.51550516456842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4.4251738321416383</v>
      </c>
      <c r="AV28" s="21">
        <f>EXP(-LN(2)/25)*AV27+(1-EXP(-LN(2)/25))/(LN(2)/25)*Calculateur!AQ28*Calculateur!AS28*VLOOKUP('Données projet'!$B$10,Paramètres!$A$1:$I$89,3,0)*0.475*44/12</f>
        <v>6.370267423739632</v>
      </c>
      <c r="AW28" s="21">
        <f>EXP(-LN(2)/2)*AW27+(1-EXP(-LN(2)/2))/(LN(2)/2)*AQ28*AT28*VLOOKUP('Données projet'!$B$10,Paramètres!$A$1:$I$89,3,0)*0.475*44/12</f>
        <v>4.7865893486685351</v>
      </c>
      <c r="AX28" s="21">
        <f t="shared" si="6"/>
        <v>15.582030604549805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18.678333333333331</v>
      </c>
      <c r="BD28" s="12">
        <f>IF('Données projet'!$A$88&gt;35,BD27+BC28-BL27,IF(A28&lt;'Données projet'!$A$88,$BA$205^A28,IF(A28='Données projet'!$A$88,'Données projet'!$B$88,BD27+BC28-BL27)))</f>
        <v>168.19666666666663</v>
      </c>
      <c r="BE28" s="13">
        <f>BD28*VLOOKUP('Données projet'!$B$11,Paramètres!$A$1:$I$89,3,0)*VLOOKUP('Données projet'!$B$11,Paramètres!$A$1:$I$89,5,0)</f>
        <v>100.58160666666666</v>
      </c>
      <c r="BF28" s="13">
        <f t="shared" si="37"/>
        <v>27.100510515925464</v>
      </c>
      <c r="BG28" s="20">
        <f t="shared" si="7"/>
        <v>222.37968742634794</v>
      </c>
      <c r="BH28" s="59">
        <f t="shared" si="8"/>
        <v>509.6019096485702</v>
      </c>
      <c r="BI28" s="59">
        <f ca="1">AVERAGE(OFFSET($BH$3,0,0,'Données projet'!$E$11+1,1))-AVERAGE(OFFSET($H$3,0,0,'Données projet'!$E$11+1,1))</f>
        <v>302.00825291248458</v>
      </c>
      <c r="BJ28" s="59">
        <f t="shared" si="38"/>
        <v>307.35115839449355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5.006912965090371</v>
      </c>
      <c r="BQ28" s="21">
        <f>EXP(-LN(2)/25)*BQ27+(1-EXP(-LN(2)/25))/(LN(2)/25)*Calculateur!BL28*Calculateur!BN28*VLOOKUP('Données projet'!$B$11,Paramètres!$A$1:$I$89,3,0)*0.475*44/12</f>
        <v>13.129865264905021</v>
      </c>
      <c r="BR28" s="21">
        <f>EXP(-LN(2)/2)*BR27+(1-EXP(-LN(2)/2))/(LN(2)/2)*BL28*BO28*VLOOKUP('Données projet'!$B$11,Paramètres!$A$1:$I$89,3,0)*0.475*44/12</f>
        <v>8.3802746977080105</v>
      </c>
      <c r="BS28" s="22">
        <f t="shared" si="9"/>
        <v>26.517052927703403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7.7715686274509812</v>
      </c>
      <c r="BY28" s="12">
        <f>IF('Données projet'!$A$114&gt;35,BY27+BX28-CG27,IF(A28&lt;'Données projet'!$A$114,$BV$205^A28,IF(A28='Données projet'!$A$114,'Données projet'!$B$114,BY27+BX28-CG27)))</f>
        <v>194.28921568627456</v>
      </c>
      <c r="BZ28" s="13">
        <f>BY28*VLOOKUP('Données projet'!$B$12,Paramètres!$A$1:$I$89,3,0)*VLOOKUP('Données projet'!$B$12,Paramètres!$A$1:$I$89,5,0)</f>
        <v>90.92735294117648</v>
      </c>
      <c r="CA28" s="13">
        <f t="shared" si="39"/>
        <v>24.788746580819698</v>
      </c>
      <c r="CB28" s="20">
        <f t="shared" si="10"/>
        <v>201.53887333414332</v>
      </c>
      <c r="CC28" s="59">
        <f t="shared" si="11"/>
        <v>488.76109555636555</v>
      </c>
      <c r="CD28" s="59">
        <f ca="1">AVERAGE(OFFSET($CC$3,0,0,'Données projet'!$E$12+1,1))-AVERAGE(OFFSET($H$3,0,0,'Données projet'!$E$12+1,1))</f>
        <v>337.10499990421835</v>
      </c>
      <c r="CE28" s="59">
        <f t="shared" si="40"/>
        <v>277.4254079562175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3.3603333333333336</v>
      </c>
      <c r="CT28" s="12">
        <f>IF('Données projet'!$A$140&gt;35,CT27+CS28-DB27,IF(A28&lt;'Données projet'!$A$140,$CQ$205^A28,IF(A28='Données projet'!$A$140,'Données projet'!$B$140,CT27+CS28-DB27)))</f>
        <v>84.008333333333354</v>
      </c>
      <c r="CU28" s="17">
        <f>CT28*VLOOKUP('Données projet'!$B$13,Paramètres!$A$1:$I$89,3,0)*VLOOKUP('Données projet'!$B$13,Paramètres!$A$1:$I$89,5,0)</f>
        <v>83.873920000000027</v>
      </c>
      <c r="CV28" s="13">
        <f t="shared" si="41"/>
        <v>23.081755161895941</v>
      </c>
      <c r="CW28" s="20">
        <f t="shared" si="13"/>
        <v>186.28113424030212</v>
      </c>
      <c r="CX28" s="59">
        <f t="shared" si="14"/>
        <v>473.50335646252438</v>
      </c>
      <c r="CY28" s="59">
        <f ca="1">AVERAGE(OFFSET($CX$3,0,0,'Données projet'!$E$13+1,1))-AVERAGE(OFFSET($H$3,0,0,'Données projet'!$E$13+1,1))</f>
        <v>525.74725170626471</v>
      </c>
      <c r="CZ28" s="59">
        <f t="shared" si="42"/>
        <v>259.19103598192197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4.5856818181818184</v>
      </c>
      <c r="DO28" s="12">
        <f>IF('Données projet'!$A$166&gt;35,DO27+DN28-DW27,IF(A28&lt;'Données projet'!$A$166,$DL$205^A28,IF(A28='Données projet'!$A$166,'Données projet'!$B$166,DO27+DN28-DW27)))</f>
        <v>114.64204545454552</v>
      </c>
      <c r="DP28" s="17">
        <f>DO28*VLOOKUP('Données projet'!$B$14,Paramètres!$A$1:$I$89,3,0)*VLOOKUP('Données projet'!$B$14,Paramètres!$A$1:$I$89,5,0)</f>
        <v>103.72812272727279</v>
      </c>
      <c r="DQ28" s="13">
        <f t="shared" si="43"/>
        <v>27.848270468701784</v>
      </c>
      <c r="DR28" s="20">
        <f t="shared" si="16"/>
        <v>229.16221814965567</v>
      </c>
      <c r="DS28" s="59">
        <f t="shared" si="17"/>
        <v>516.38444037187787</v>
      </c>
      <c r="DT28" s="59">
        <f ca="1">AVERAGE(OFFSET($DS$3,0,0,'Données projet'!$E$14+1,1))-AVERAGE(OFFSET($H$3,0,0,'Données projet'!$E$14+1,1))</f>
        <v>490.06222615476065</v>
      </c>
      <c r="DU28" s="59">
        <f t="shared" si="44"/>
        <v>310.43914804089906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3.3603333333333336</v>
      </c>
      <c r="EJ28" s="12">
        <f>IF('Données projet'!$A$192&gt;35,EJ27+EI28-ER27,IF(A28&lt;'Données projet'!$A$192,$EG$205^A28,IF(A28='Données projet'!$A$192,'Données projet'!$B$192,EJ27+EI28-ER27)))</f>
        <v>84.008333333333354</v>
      </c>
      <c r="EK28" s="17">
        <f>EJ28*VLOOKUP('Données projet'!$B$15,Paramètres!$A$1:$I$89,3,0)*VLOOKUP('Données projet'!$B$15,Paramètres!$A$1:$I$89,5,0)</f>
        <v>85.184450000000027</v>
      </c>
      <c r="EL28" s="13">
        <f t="shared" si="45"/>
        <v>23.400139522539501</v>
      </c>
      <c r="EM28" s="20">
        <f t="shared" si="19"/>
        <v>189.1181600850897</v>
      </c>
      <c r="EN28" s="59">
        <f t="shared" si="20"/>
        <v>476.34038230731193</v>
      </c>
      <c r="EO28" s="59">
        <f ca="1">AVERAGE(OFFSET($EN$3,0,0,'Données projet'!$E$15+1,1))-AVERAGE(OFFSET($H$3,0,0,'Données projet'!$E$15+1,1))</f>
        <v>533.26035274112917</v>
      </c>
      <c r="EP28" s="59">
        <f t="shared" si="46"/>
        <v>262.58149402282521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62.820512820512818</v>
      </c>
      <c r="FC28" s="12">
        <f>VLOOKUP(A28,'Données projet'!$A$217:$I$237,9,0)</f>
        <v>5.1282051282051295</v>
      </c>
      <c r="FD28" s="12">
        <f t="array" ref="FD28">INDEX(FC:FC,MIN(IF(ISNUMBER(FC28:FC224),ROW(FC28:FC224),"")))</f>
        <v>5.1282051282051295</v>
      </c>
      <c r="FE28" s="12">
        <f>IF('Données projet'!$A$218&gt;35,FE27+FD28-FM27,IF(A28&lt;'Données projet'!$A$218,$FB$205^A28,IF(A28='Données projet'!$A$218,'Données projet'!$B$218,FE27+FD28-FM27)))</f>
        <v>62.820512820512818</v>
      </c>
      <c r="FF28" s="17">
        <f>FE28*VLOOKUP('Données projet'!$B$16,Paramètres!$A$1:$I$89,3,0)*VLOOKUP('Données projet'!$B$16,Paramètres!$A$1:$I$89,5,0)</f>
        <v>65.660000000000011</v>
      </c>
      <c r="FG28" s="13">
        <f t="shared" si="47"/>
        <v>18.591700776040714</v>
      </c>
      <c r="FH28" s="20">
        <f t="shared" si="22"/>
        <v>146.73837885160424</v>
      </c>
      <c r="FI28" s="59">
        <f t="shared" si="23"/>
        <v>433.96060107382647</v>
      </c>
      <c r="FJ28" s="59">
        <f ca="1">AVERAGE(OFFSET($FI$3,0,0,'Données projet'!$E$16+1,1))-AVERAGE(OFFSET($H$3,0,0,'Données projet'!$E$16+1,1))</f>
        <v>239.26156489359892</v>
      </c>
      <c r="FK28" s="59">
        <f t="shared" si="48"/>
        <v>213.97034450798111</v>
      </c>
      <c r="FL28" s="15">
        <f>IF(ISNA(VLOOKUP(A28,'Données projet'!$A$217:$I$237,3,0)),0,VLOOKUP(A28,'Données projet'!$A$217:$I$237,3,0))</f>
        <v>2</v>
      </c>
      <c r="FM28" s="15">
        <f>IF(ISNA(VLOOKUP(A28,'Données projet'!$A$217:$I$237,4,0)),0,VLOOKUP(A28,'Données projet'!$A$217:$I$237,4,0))</f>
        <v>12.179487179487179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0.215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7.0181185401743438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7.0181185401743438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4.016578947368421</v>
      </c>
      <c r="N29" s="13">
        <f>IF('Données projet'!$A$36&gt;35,N28+M29-V28,IF(A29&lt;'Données projet'!$A$36,$K$205^A29,IF(A29='Données projet'!$A$36,'Données projet'!$B$36,N28+M29-V28)))</f>
        <v>104.43105263157891</v>
      </c>
      <c r="O29" s="13">
        <f>N29*VLOOKUP('Données projet'!$B$9,Paramètres!$A$1:$I$89,3,0)*VLOOKUP('Données projet'!$B$9,Paramètres!$A$1:$I$89,5,0)</f>
        <v>99.376589684210487</v>
      </c>
      <c r="P29" s="13">
        <f t="shared" si="33"/>
        <v>26.813424625461547</v>
      </c>
      <c r="Q29" s="20">
        <f t="shared" si="2"/>
        <v>219.78094158934547</v>
      </c>
      <c r="R29" s="59">
        <f t="shared" si="0"/>
        <v>508.22538603378996</v>
      </c>
      <c r="S29" s="59">
        <f ca="1">AVERAGE(OFFSET($R$3,0,0,'Données projet'!$E$9+1,1))-AVERAGE(OFFSET($H$3,0,0,'Données projet'!$E$9+1,1))</f>
        <v>449.28947235329758</v>
      </c>
      <c r="T29" s="59">
        <f t="shared" si="34"/>
        <v>289.36994109443964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15.782</v>
      </c>
      <c r="AI29" s="13">
        <f>IF('Données projet'!$A$62&gt;35,AI28+AH29-AQ28,IF(A29&lt;'Données projet'!$A$62,$AF$205^A29,IF(A29='Données projet'!$A$62,'Données projet'!$B$62,AI28+AH29-AQ28)))</f>
        <v>140.06800000000001</v>
      </c>
      <c r="AJ29" s="13">
        <f>AI29*VLOOKUP('Données projet'!$B$10,Paramètres!$A$1:$I$89,3,0)*VLOOKUP('Données projet'!$B$10,Paramètres!$A$1:$I$89,5,0)</f>
        <v>83.76066400000002</v>
      </c>
      <c r="AK29" s="13">
        <f t="shared" si="35"/>
        <v>23.054213321234659</v>
      </c>
      <c r="AL29" s="20">
        <f t="shared" si="4"/>
        <v>186.0359113344837</v>
      </c>
      <c r="AM29" s="59">
        <f t="shared" si="5"/>
        <v>474.48035577892813</v>
      </c>
      <c r="AN29" s="59">
        <f ca="1">AVERAGE(OFFSET($AM$3,0,0,'Données projet'!$E$10+1,1))-AVERAGE(OFFSET($H$3,0,0,'Données projet'!$E$10+1,1))</f>
        <v>349.71285006949597</v>
      </c>
      <c r="AO29" s="59">
        <f t="shared" si="36"/>
        <v>258.51550516456842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4.3383988723828653</v>
      </c>
      <c r="AV29" s="21">
        <f>EXP(-LN(2)/25)*AV28+(1-EXP(-LN(2)/25))/(LN(2)/25)*Calculateur!AQ29*Calculateur!AS29*VLOOKUP('Données projet'!$B$10,Paramètres!$A$1:$I$89,3,0)*0.475*44/12</f>
        <v>6.1960721260396676</v>
      </c>
      <c r="AW29" s="21">
        <f>EXP(-LN(2)/2)*AW28+(1-EXP(-LN(2)/2))/(LN(2)/2)*AQ29*AT29*VLOOKUP('Données projet'!$B$10,Paramètres!$A$1:$I$89,3,0)*0.475*44/12</f>
        <v>3.3846297871988211</v>
      </c>
      <c r="AX29" s="21">
        <f t="shared" si="6"/>
        <v>13.919100785621353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18.678333333333331</v>
      </c>
      <c r="BD29" s="12">
        <f>IF('Données projet'!$A$88&gt;35,BD28+BC29-BL28,IF(A29&lt;'Données projet'!$A$88,$BA$205^A29,IF(A29='Données projet'!$A$88,'Données projet'!$B$88,BD28+BC29-BL28)))</f>
        <v>186.87499999999997</v>
      </c>
      <c r="BE29" s="13">
        <f>BD29*VLOOKUP('Données projet'!$B$11,Paramètres!$A$1:$I$89,3,0)*VLOOKUP('Données projet'!$B$11,Paramètres!$A$1:$I$89,5,0)</f>
        <v>111.75125</v>
      </c>
      <c r="BF29" s="13">
        <f t="shared" si="37"/>
        <v>29.743212667393731</v>
      </c>
      <c r="BG29" s="20">
        <f t="shared" si="7"/>
        <v>246.4361891457107</v>
      </c>
      <c r="BH29" s="59">
        <f t="shared" si="8"/>
        <v>534.88063359015518</v>
      </c>
      <c r="BI29" s="59">
        <f ca="1">AVERAGE(OFFSET($BH$3,0,0,'Données projet'!$E$11+1,1))-AVERAGE(OFFSET($H$3,0,0,'Données projet'!$E$11+1,1))</f>
        <v>302.00825291248458</v>
      </c>
      <c r="BJ29" s="59">
        <f t="shared" si="38"/>
        <v>307.35115839449355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4.908730455760308</v>
      </c>
      <c r="BQ29" s="21">
        <f>EXP(-LN(2)/25)*BQ28+(1-EXP(-LN(2)/25))/(LN(2)/25)*Calculateur!BL29*Calculateur!BN29*VLOOKUP('Données projet'!$B$11,Paramètres!$A$1:$I$89,3,0)*0.475*44/12</f>
        <v>12.770828408766588</v>
      </c>
      <c r="BR29" s="21">
        <f>EXP(-LN(2)/2)*BR28+(1-EXP(-LN(2)/2))/(LN(2)/2)*BL29*BO29*VLOOKUP('Données projet'!$B$11,Paramètres!$A$1:$I$89,3,0)*0.475*44/12</f>
        <v>5.9257490669553796</v>
      </c>
      <c r="BS29" s="22">
        <f t="shared" si="9"/>
        <v>23.605307931482276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7.7715686274509812</v>
      </c>
      <c r="BY29" s="12">
        <f>IF('Données projet'!$A$114&gt;35,BY28+BX29-CG28,IF(A29&lt;'Données projet'!$A$114,$BV$205^A29,IF(A29='Données projet'!$A$114,'Données projet'!$B$114,BY28+BX29-CG28)))</f>
        <v>202.06078431372555</v>
      </c>
      <c r="BZ29" s="13">
        <f>BY29*VLOOKUP('Données projet'!$B$12,Paramètres!$A$1:$I$89,3,0)*VLOOKUP('Données projet'!$B$12,Paramètres!$A$1:$I$89,5,0)</f>
        <v>94.564447058823546</v>
      </c>
      <c r="CA29" s="13">
        <f t="shared" si="39"/>
        <v>25.662870135019691</v>
      </c>
      <c r="CB29" s="20">
        <f t="shared" si="10"/>
        <v>209.39591077927696</v>
      </c>
      <c r="CC29" s="59">
        <f t="shared" si="11"/>
        <v>497.84035522372142</v>
      </c>
      <c r="CD29" s="59">
        <f ca="1">AVERAGE(OFFSET($CC$3,0,0,'Données projet'!$E$12+1,1))-AVERAGE(OFFSET($H$3,0,0,'Données projet'!$E$12+1,1))</f>
        <v>337.10499990421835</v>
      </c>
      <c r="CE29" s="59">
        <f t="shared" si="40"/>
        <v>277.4254079562175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3.3603333333333336</v>
      </c>
      <c r="CT29" s="12">
        <f>IF('Données projet'!$A$140&gt;35,CT28+CS29-DB28,IF(A29&lt;'Données projet'!$A$140,$CQ$205^A29,IF(A29='Données projet'!$A$140,'Données projet'!$B$140,CT28+CS29-DB28)))</f>
        <v>87.368666666666684</v>
      </c>
      <c r="CU29" s="17">
        <f>CT29*VLOOKUP('Données projet'!$B$13,Paramètres!$A$1:$I$89,3,0)*VLOOKUP('Données projet'!$B$13,Paramètres!$A$1:$I$89,5,0)</f>
        <v>87.228876800000023</v>
      </c>
      <c r="CV29" s="13">
        <f t="shared" si="41"/>
        <v>23.895685216548337</v>
      </c>
      <c r="CW29" s="20">
        <f t="shared" si="13"/>
        <v>193.54194551215505</v>
      </c>
      <c r="CX29" s="59">
        <f t="shared" si="14"/>
        <v>481.98638995659951</v>
      </c>
      <c r="CY29" s="59">
        <f ca="1">AVERAGE(OFFSET($CX$3,0,0,'Données projet'!$E$13+1,1))-AVERAGE(OFFSET($H$3,0,0,'Données projet'!$E$13+1,1))</f>
        <v>525.74725170626471</v>
      </c>
      <c r="CZ29" s="59">
        <f t="shared" si="42"/>
        <v>259.19103598192197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4.5856818181818184</v>
      </c>
      <c r="DO29" s="12">
        <f>IF('Données projet'!$A$166&gt;35,DO28+DN29-DW28,IF(A29&lt;'Données projet'!$A$166,$DL$205^A29,IF(A29='Données projet'!$A$166,'Données projet'!$B$166,DO28+DN29-DW28)))</f>
        <v>119.22772727272735</v>
      </c>
      <c r="DP29" s="17">
        <f>DO29*VLOOKUP('Données projet'!$B$14,Paramètres!$A$1:$I$89,3,0)*VLOOKUP('Données projet'!$B$14,Paramètres!$A$1:$I$89,5,0)</f>
        <v>107.87724763636369</v>
      </c>
      <c r="DQ29" s="13">
        <f t="shared" si="43"/>
        <v>28.830281764878382</v>
      </c>
      <c r="DR29" s="20">
        <f t="shared" si="16"/>
        <v>238.09894704049665</v>
      </c>
      <c r="DS29" s="59">
        <f t="shared" si="17"/>
        <v>526.54339148494114</v>
      </c>
      <c r="DT29" s="59">
        <f ca="1">AVERAGE(OFFSET($DS$3,0,0,'Données projet'!$E$14+1,1))-AVERAGE(OFFSET($H$3,0,0,'Données projet'!$E$14+1,1))</f>
        <v>490.06222615476065</v>
      </c>
      <c r="DU29" s="59">
        <f t="shared" si="44"/>
        <v>310.43914804089906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3.3603333333333336</v>
      </c>
      <c r="EJ29" s="12">
        <f>IF('Données projet'!$A$192&gt;35,EJ28+EI29-ER28,IF(A29&lt;'Données projet'!$A$192,$EG$205^A29,IF(A29='Données projet'!$A$192,'Données projet'!$B$192,EJ28+EI29-ER28)))</f>
        <v>87.368666666666684</v>
      </c>
      <c r="EK29" s="17">
        <f>EJ29*VLOOKUP('Données projet'!$B$15,Paramètres!$A$1:$I$89,3,0)*VLOOKUP('Données projet'!$B$15,Paramètres!$A$1:$I$89,5,0)</f>
        <v>88.591828000000021</v>
      </c>
      <c r="EL29" s="13">
        <f t="shared" si="45"/>
        <v>24.225296739001799</v>
      </c>
      <c r="EM29" s="20">
        <f t="shared" si="19"/>
        <v>196.48982558709483</v>
      </c>
      <c r="EN29" s="59">
        <f t="shared" si="20"/>
        <v>484.93427003153931</v>
      </c>
      <c r="EO29" s="59">
        <f ca="1">AVERAGE(OFFSET($EN$3,0,0,'Données projet'!$E$15+1,1))-AVERAGE(OFFSET($H$3,0,0,'Données projet'!$E$15+1,1))</f>
        <v>533.26035274112917</v>
      </c>
      <c r="EP29" s="59">
        <f t="shared" si="46"/>
        <v>262.58149402282521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5.1282051282051295</v>
      </c>
      <c r="FE29" s="12">
        <f>IF('Données projet'!$A$218&gt;35,FE28+FD29-FM28,IF(A29&lt;'Données projet'!$A$218,$FB$205^A29,IF(A29='Données projet'!$A$218,'Données projet'!$B$218,FE28+FD29-FM28)))</f>
        <v>55.769230769230759</v>
      </c>
      <c r="FF29" s="17">
        <f>FE29*VLOOKUP('Données projet'!$B$16,Paramètres!$A$1:$I$89,3,0)*VLOOKUP('Données projet'!$B$16,Paramètres!$A$1:$I$89,5,0)</f>
        <v>58.29</v>
      </c>
      <c r="FG29" s="13">
        <f t="shared" si="47"/>
        <v>16.735202513714196</v>
      </c>
      <c r="FH29" s="20">
        <f t="shared" si="22"/>
        <v>130.66889437805222</v>
      </c>
      <c r="FI29" s="59">
        <f t="shared" si="23"/>
        <v>419.11333882249664</v>
      </c>
      <c r="FJ29" s="59">
        <f ca="1">AVERAGE(OFFSET($FI$3,0,0,'Données projet'!$E$16+1,1))-AVERAGE(OFFSET($H$3,0,0,'Données projet'!$E$16+1,1))</f>
        <v>239.26156489359892</v>
      </c>
      <c r="FK29" s="59">
        <f t="shared" si="48"/>
        <v>213.97034450798111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6.8262077196264626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6.8262077196264626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4.016578947368421</v>
      </c>
      <c r="N30" s="13">
        <f>IF('Données projet'!$A$36&gt;35,N29+M30-V29,IF(A30&lt;'Données projet'!$A$36,$K$205^A30,IF(A30='Données projet'!$A$36,'Données projet'!$B$36,N29+M30-V29)))</f>
        <v>108.44763157894732</v>
      </c>
      <c r="O30" s="13">
        <f>N30*VLOOKUP('Données projet'!$B$9,Paramètres!$A$1:$I$89,3,0)*VLOOKUP('Données projet'!$B$9,Paramètres!$A$1:$I$89,5,0)</f>
        <v>103.19876621052627</v>
      </c>
      <c r="P30" s="13">
        <f t="shared" si="33"/>
        <v>27.722657378854588</v>
      </c>
      <c r="Q30" s="20">
        <f t="shared" si="2"/>
        <v>228.02147941817165</v>
      </c>
      <c r="R30" s="59">
        <f t="shared" si="0"/>
        <v>517.68814608483831</v>
      </c>
      <c r="S30" s="59">
        <f ca="1">AVERAGE(OFFSET($R$3,0,0,'Données projet'!$E$9+1,1))-AVERAGE(OFFSET($H$3,0,0,'Données projet'!$E$9+1,1))</f>
        <v>449.28947235329758</v>
      </c>
      <c r="T30" s="59">
        <f t="shared" si="34"/>
        <v>289.36994109443964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>
        <f>VLOOKUP(A30,'Données projet'!$A$61:$I$81,2,0)</f>
        <v>155.85</v>
      </c>
      <c r="AG30" s="12">
        <f>VLOOKUP(A30,'Données projet'!$A$61:$I$81,9,0)</f>
        <v>15.782</v>
      </c>
      <c r="AH30" s="12">
        <f t="array" ref="AH30">INDEX(AG:AG,MIN(IF(ISNUMBER(AG30:AG226),ROW(AG30:AG226),"")))</f>
        <v>15.782</v>
      </c>
      <c r="AI30" s="13">
        <f>IF('Données projet'!$A$62&gt;35,AI29+AH30-AQ29,IF(A30&lt;'Données projet'!$A$62,$AF$205^A30,IF(A30='Données projet'!$A$62,'Données projet'!$B$62,AI29+AH30-AQ29)))</f>
        <v>155.85000000000002</v>
      </c>
      <c r="AJ30" s="13">
        <f>AI30*VLOOKUP('Données projet'!$B$10,Paramètres!$A$1:$I$89,3,0)*VLOOKUP('Données projet'!$B$10,Paramètres!$A$1:$I$89,5,0)</f>
        <v>93.198300000000032</v>
      </c>
      <c r="AK30" s="13">
        <f t="shared" si="35"/>
        <v>25.335003309876146</v>
      </c>
      <c r="AL30" s="20">
        <f t="shared" si="4"/>
        <v>206.44550326470099</v>
      </c>
      <c r="AM30" s="59">
        <f t="shared" si="5"/>
        <v>496.1121699313677</v>
      </c>
      <c r="AN30" s="59">
        <f ca="1">AVERAGE(OFFSET($AM$3,0,0,'Données projet'!$E$10+1,1))-AVERAGE(OFFSET($H$3,0,0,'Données projet'!$E$10+1,1))</f>
        <v>349.71285006949597</v>
      </c>
      <c r="AO30" s="59">
        <f t="shared" si="36"/>
        <v>258.51550516456842</v>
      </c>
      <c r="AP30" s="15">
        <f>IF(ISNA(VLOOKUP(A30,'Données projet'!$A$61:$I$81,3,0)),0,VLOOKUP(A30,'Données projet'!$A$61:$I$81,3,0))</f>
        <v>2</v>
      </c>
      <c r="AQ30" s="15">
        <f>IF(ISNA(VLOOKUP(A30,'Données projet'!$A$61:$I$81,4,0)),0,VLOOKUP(A30,'Données projet'!$A$61:$I$81,4,0))</f>
        <v>37.929999999999993</v>
      </c>
      <c r="AR30" s="16">
        <f>IF(ISNA(VLOOKUP(A30,'Données projet'!$A$61:$I$81,5,0)),0%,VLOOKUP(A30,'Données projet'!$A$61:$I$81,5,0)*VLOOKUP('Données projet'!$B$10,Paramètres!$A$1:$I$89,7,0))</f>
        <v>0.1125</v>
      </c>
      <c r="AS30" s="16">
        <f>IF(ISNA(VLOOKUP(A30,'Données projet'!$A$61:$I$81,6,0)),0%,VLOOKUP(A30,'Données projet'!$A$61:$I$81,6,0)*VLOOKUP('Données projet'!$B$10,Paramètres!$A$1:$I$89,7,0))</f>
        <v>0.16650000000000001</v>
      </c>
      <c r="AT30" s="16">
        <f>IF(ISNA(VLOOKUP(A30,'Données projet'!$A$61:$I$81,7,0)),0%,VLOOKUP(A30,'Données projet'!$A$61:$I$81,7,0))</f>
        <v>0.38</v>
      </c>
      <c r="AU30" s="21">
        <f>EXP(-LN(2)/35)*AU29+(1-EXP(-LN(2)/35))/(LN(2)/35)*AQ30*AR30*VLOOKUP('Données projet'!$B$10,Paramètres!$A$1:$I$89,3,0)*0.475*44/12</f>
        <v>7.6383740951040968</v>
      </c>
      <c r="AV30" s="21">
        <f>EXP(-LN(2)/25)*AV29+(1-EXP(-LN(2)/25))/(LN(2)/25)*Calculateur!AQ30*Calculateur!AS30*VLOOKUP('Données projet'!$B$10,Paramètres!$A$1:$I$89,3,0)*0.475*44/12</f>
        <v>11.016786329451062</v>
      </c>
      <c r="AW30" s="21">
        <f>EXP(-LN(2)/2)*AW29+(1-EXP(-LN(2)/2))/(LN(2)/2)*AQ30*AT30*VLOOKUP('Données projet'!$B$10,Paramètres!$A$1:$I$89,3,0)*0.475*44/12</f>
        <v>12.152246238640709</v>
      </c>
      <c r="AX30" s="21">
        <f t="shared" si="6"/>
        <v>30.80740666319587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18.678333333333331</v>
      </c>
      <c r="BD30" s="12">
        <f>IF('Données projet'!$A$88&gt;35,BD29+BC30-BL29,IF(A30&lt;'Données projet'!$A$88,$BA$205^A30,IF(A30='Données projet'!$A$88,'Données projet'!$B$88,BD29+BC30-BL29)))</f>
        <v>205.55333333333331</v>
      </c>
      <c r="BE30" s="13">
        <f>BD30*VLOOKUP('Données projet'!$B$11,Paramètres!$A$1:$I$89,3,0)*VLOOKUP('Données projet'!$B$11,Paramètres!$A$1:$I$89,5,0)</f>
        <v>122.92089333333332</v>
      </c>
      <c r="BF30" s="13">
        <f t="shared" si="37"/>
        <v>32.355293246449399</v>
      </c>
      <c r="BG30" s="20">
        <f t="shared" si="7"/>
        <v>270.43935829312153</v>
      </c>
      <c r="BH30" s="59">
        <f t="shared" si="8"/>
        <v>560.10602495978821</v>
      </c>
      <c r="BI30" s="59">
        <f ca="1">AVERAGE(OFFSET($BH$3,0,0,'Données projet'!$E$11+1,1))-AVERAGE(OFFSET($H$3,0,0,'Données projet'!$E$11+1,1))</f>
        <v>302.00825291248458</v>
      </c>
      <c r="BJ30" s="59">
        <f t="shared" si="38"/>
        <v>307.35115839449355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4.8124732455527903</v>
      </c>
      <c r="BQ30" s="21">
        <f>EXP(-LN(2)/25)*BQ29+(1-EXP(-LN(2)/25))/(LN(2)/25)*Calculateur!BL30*Calculateur!BN30*VLOOKUP('Données projet'!$B$11,Paramètres!$A$1:$I$89,3,0)*0.475*44/12</f>
        <v>12.421609434340189</v>
      </c>
      <c r="BR30" s="21">
        <f>EXP(-LN(2)/2)*BR29+(1-EXP(-LN(2)/2))/(LN(2)/2)*BL30*BO30*VLOOKUP('Données projet'!$B$11,Paramètres!$A$1:$I$89,3,0)*0.475*44/12</f>
        <v>4.1901373488540061</v>
      </c>
      <c r="BS30" s="22">
        <f t="shared" si="9"/>
        <v>21.424220028746984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7.7715686274509812</v>
      </c>
      <c r="BY30" s="12">
        <f>IF('Données projet'!$A$114&gt;35,BY29+BX30-CG29,IF(A30&lt;'Données projet'!$A$114,$BV$205^A30,IF(A30='Données projet'!$A$114,'Données projet'!$B$114,BY29+BX30-CG29)))</f>
        <v>209.83235294117654</v>
      </c>
      <c r="BZ30" s="13">
        <f>BY30*VLOOKUP('Données projet'!$B$12,Paramètres!$A$1:$I$89,3,0)*VLOOKUP('Données projet'!$B$12,Paramètres!$A$1:$I$89,5,0)</f>
        <v>98.201541176470613</v>
      </c>
      <c r="CA30" s="13">
        <f t="shared" si="39"/>
        <v>26.533088035148577</v>
      </c>
      <c r="CB30" s="20">
        <f t="shared" si="10"/>
        <v>217.2461458769034</v>
      </c>
      <c r="CC30" s="59">
        <f t="shared" si="11"/>
        <v>506.91281254357011</v>
      </c>
      <c r="CD30" s="59">
        <f ca="1">AVERAGE(OFFSET($CC$3,0,0,'Données projet'!$E$12+1,1))-AVERAGE(OFFSET($H$3,0,0,'Données projet'!$E$12+1,1))</f>
        <v>337.10499990421835</v>
      </c>
      <c r="CE30" s="59">
        <f t="shared" si="40"/>
        <v>277.4254079562175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3.3603333333333336</v>
      </c>
      <c r="CT30" s="12">
        <f>IF('Données projet'!$A$140&gt;35,CT29+CS30-DB29,IF(A30&lt;'Données projet'!$A$140,$CQ$205^A30,IF(A30='Données projet'!$A$140,'Données projet'!$B$140,CT29+CS30-DB29)))</f>
        <v>90.729000000000013</v>
      </c>
      <c r="CU30" s="17">
        <f>CT30*VLOOKUP('Données projet'!$B$13,Paramètres!$A$1:$I$89,3,0)*VLOOKUP('Données projet'!$B$13,Paramètres!$A$1:$I$89,5,0)</f>
        <v>90.58383360000002</v>
      </c>
      <c r="CV30" s="13">
        <f t="shared" si="41"/>
        <v>24.705978566507994</v>
      </c>
      <c r="CW30" s="20">
        <f t="shared" si="13"/>
        <v>200.7964228566681</v>
      </c>
      <c r="CX30" s="59">
        <f t="shared" si="14"/>
        <v>490.46308952333482</v>
      </c>
      <c r="CY30" s="59">
        <f ca="1">AVERAGE(OFFSET($CX$3,0,0,'Données projet'!$E$13+1,1))-AVERAGE(OFFSET($H$3,0,0,'Données projet'!$E$13+1,1))</f>
        <v>525.74725170626471</v>
      </c>
      <c r="CZ30" s="59">
        <f t="shared" si="42"/>
        <v>259.19103598192197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4.5856818181818184</v>
      </c>
      <c r="DO30" s="12">
        <f>IF('Données projet'!$A$166&gt;35,DO29+DN30-DW29,IF(A30&lt;'Données projet'!$A$166,$DL$205^A30,IF(A30='Données projet'!$A$166,'Données projet'!$B$166,DO29+DN30-DW29)))</f>
        <v>123.81340909090918</v>
      </c>
      <c r="DP30" s="17">
        <f>DO30*VLOOKUP('Données projet'!$B$14,Paramètres!$A$1:$I$89,3,0)*VLOOKUP('Données projet'!$B$14,Paramètres!$A$1:$I$89,5,0)</f>
        <v>112.02637254545461</v>
      </c>
      <c r="DQ30" s="13">
        <f t="shared" si="43"/>
        <v>29.807905355909242</v>
      </c>
      <c r="DR30" s="20">
        <f t="shared" si="16"/>
        <v>247.02803401154202</v>
      </c>
      <c r="DS30" s="59">
        <f t="shared" si="17"/>
        <v>536.69470067820873</v>
      </c>
      <c r="DT30" s="59">
        <f ca="1">AVERAGE(OFFSET($DS$3,0,0,'Données projet'!$E$14+1,1))-AVERAGE(OFFSET($H$3,0,0,'Données projet'!$E$14+1,1))</f>
        <v>490.06222615476065</v>
      </c>
      <c r="DU30" s="59">
        <f t="shared" si="44"/>
        <v>310.43914804089906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3.3603333333333336</v>
      </c>
      <c r="EJ30" s="12">
        <f>IF('Données projet'!$A$192&gt;35,EJ29+EI30-ER29,IF(A30&lt;'Données projet'!$A$192,$EG$205^A30,IF(A30='Données projet'!$A$192,'Données projet'!$B$192,EJ29+EI30-ER29)))</f>
        <v>90.729000000000013</v>
      </c>
      <c r="EK30" s="17">
        <f>EJ30*VLOOKUP('Données projet'!$B$15,Paramètres!$A$1:$I$89,3,0)*VLOOKUP('Données projet'!$B$15,Paramètres!$A$1:$I$89,5,0)</f>
        <v>91.999206000000029</v>
      </c>
      <c r="EL30" s="13">
        <f t="shared" si="45"/>
        <v>25.046767086912915</v>
      </c>
      <c r="EM30" s="20">
        <f t="shared" si="19"/>
        <v>203.85506979304003</v>
      </c>
      <c r="EN30" s="59">
        <f t="shared" si="20"/>
        <v>493.52173645970674</v>
      </c>
      <c r="EO30" s="59">
        <f ca="1">AVERAGE(OFFSET($EN$3,0,0,'Données projet'!$E$15+1,1))-AVERAGE(OFFSET($H$3,0,0,'Données projet'!$E$15+1,1))</f>
        <v>533.26035274112917</v>
      </c>
      <c r="EP30" s="59">
        <f t="shared" si="46"/>
        <v>262.58149402282521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5.1282051282051295</v>
      </c>
      <c r="FE30" s="12">
        <f>IF('Données projet'!$A$218&gt;35,FE29+FD30-FM29,IF(A30&lt;'Données projet'!$A$218,$FB$205^A30,IF(A30='Données projet'!$A$218,'Données projet'!$B$218,FE29+FD30-FM29)))</f>
        <v>60.897435897435891</v>
      </c>
      <c r="FF30" s="17">
        <f>FE30*VLOOKUP('Données projet'!$B$16,Paramètres!$A$1:$I$89,3,0)*VLOOKUP('Données projet'!$B$16,Paramètres!$A$1:$I$89,5,0)</f>
        <v>63.65</v>
      </c>
      <c r="FG30" s="13">
        <f t="shared" si="47"/>
        <v>18.0879079069433</v>
      </c>
      <c r="FH30" s="20">
        <f t="shared" si="22"/>
        <v>142.36018960459288</v>
      </c>
      <c r="FI30" s="59">
        <f t="shared" si="23"/>
        <v>432.02685627125959</v>
      </c>
      <c r="FJ30" s="59">
        <f ca="1">AVERAGE(OFFSET($FI$3,0,0,'Données projet'!$E$16+1,1))-AVERAGE(OFFSET($H$3,0,0,'Données projet'!$E$16+1,1))</f>
        <v>239.26156489359892</v>
      </c>
      <c r="FK30" s="59">
        <f t="shared" si="48"/>
        <v>213.97034450798111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6.6395447105586145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6.6395447105586145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4.016578947368421</v>
      </c>
      <c r="N31" s="13">
        <f>IF('Données projet'!$A$36&gt;35,N30+M31-V30,IF(A31&lt;'Données projet'!$A$36,$K$205^A31,IF(A31='Données projet'!$A$36,'Données projet'!$B$36,N30+M31-V30)))</f>
        <v>112.46421052631574</v>
      </c>
      <c r="O31" s="13">
        <f>N31*VLOOKUP('Données projet'!$B$9,Paramètres!$A$1:$I$89,3,0)*VLOOKUP('Données projet'!$B$9,Paramètres!$A$1:$I$89,5,0)</f>
        <v>107.02094273684206</v>
      </c>
      <c r="P31" s="13">
        <f t="shared" si="33"/>
        <v>28.627977821267809</v>
      </c>
      <c r="Q31" s="20">
        <f t="shared" si="2"/>
        <v>236.25520330537464</v>
      </c>
      <c r="R31" s="59">
        <f t="shared" si="0"/>
        <v>527.14409219426352</v>
      </c>
      <c r="S31" s="59">
        <f ca="1">AVERAGE(OFFSET($R$3,0,0,'Données projet'!$E$9+1,1))-AVERAGE(OFFSET($H$3,0,0,'Données projet'!$E$9+1,1))</f>
        <v>449.28947235329758</v>
      </c>
      <c r="T31" s="59">
        <f t="shared" si="34"/>
        <v>289.36994109443964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16.621666666666666</v>
      </c>
      <c r="AI31" s="13">
        <f>IF('Données projet'!$A$62&gt;35,AI30+AH31-AQ30,IF(A31&lt;'Données projet'!$A$62,$AF$205^A31,IF(A31='Données projet'!$A$62,'Données projet'!$B$62,AI30+AH31-AQ30)))</f>
        <v>134.54166666666669</v>
      </c>
      <c r="AJ31" s="13">
        <f>AI31*VLOOKUP('Données projet'!$B$10,Paramètres!$A$1:$I$89,3,0)*VLOOKUP('Données projet'!$B$10,Paramètres!$A$1:$I$89,5,0)</f>
        <v>80.455916666666681</v>
      </c>
      <c r="AK31" s="13">
        <f t="shared" si="35"/>
        <v>22.248621228387805</v>
      </c>
      <c r="AL31" s="20">
        <f t="shared" si="4"/>
        <v>178.8770701672199</v>
      </c>
      <c r="AM31" s="59">
        <f t="shared" si="5"/>
        <v>469.76595905610873</v>
      </c>
      <c r="AN31" s="59">
        <f ca="1">AVERAGE(OFFSET($AM$3,0,0,'Données projet'!$E$10+1,1))-AVERAGE(OFFSET($H$3,0,0,'Données projet'!$E$10+1,1))</f>
        <v>349.71285006949597</v>
      </c>
      <c r="AO31" s="59">
        <f t="shared" si="36"/>
        <v>258.51550516456842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7.4885902380472702</v>
      </c>
      <c r="AV31" s="21">
        <f>EXP(-LN(2)/25)*AV30+(1-EXP(-LN(2)/25))/(LN(2)/25)*Calculateur!AQ31*Calculateur!AS31*VLOOKUP('Données projet'!$B$10,Paramètres!$A$1:$I$89,3,0)*0.475*44/12</f>
        <v>10.715531727924608</v>
      </c>
      <c r="AW31" s="21">
        <f>EXP(-LN(2)/2)*AW30+(1-EXP(-LN(2)/2))/(LN(2)/2)*AQ31*AT31*VLOOKUP('Données projet'!$B$10,Paramètres!$A$1:$I$89,3,0)*0.475*44/12</f>
        <v>8.5929357219915623</v>
      </c>
      <c r="AX31" s="21">
        <f t="shared" si="6"/>
        <v>26.797057687963441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18.678333333333331</v>
      </c>
      <c r="BD31" s="12">
        <f>IF('Données projet'!$A$88&gt;35,BD30+BC31-BL30,IF(A31&lt;'Données projet'!$A$88,$BA$205^A31,IF(A31='Données projet'!$A$88,'Données projet'!$B$88,BD30+BC31-BL30)))</f>
        <v>224.23166666666665</v>
      </c>
      <c r="BE31" s="13">
        <f>BD31*VLOOKUP('Données projet'!$B$11,Paramètres!$A$1:$I$89,3,0)*VLOOKUP('Données projet'!$B$11,Paramètres!$A$1:$I$89,5,0)</f>
        <v>134.09053666666668</v>
      </c>
      <c r="BF31" s="13">
        <f t="shared" si="37"/>
        <v>34.93985124057766</v>
      </c>
      <c r="BG31" s="20">
        <f t="shared" si="7"/>
        <v>294.39459227178389</v>
      </c>
      <c r="BH31" s="59">
        <f t="shared" si="8"/>
        <v>585.28348116067275</v>
      </c>
      <c r="BI31" s="59">
        <f ca="1">AVERAGE(OFFSET($BH$3,0,0,'Données projet'!$E$11+1,1))-AVERAGE(OFFSET($H$3,0,0,'Données projet'!$E$11+1,1))</f>
        <v>302.00825291248458</v>
      </c>
      <c r="BJ31" s="59">
        <f t="shared" si="38"/>
        <v>307.35115839449355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4.7181035805263409</v>
      </c>
      <c r="BQ31" s="21">
        <f>EXP(-LN(2)/25)*BQ30+(1-EXP(-LN(2)/25))/(LN(2)/25)*Calculateur!BL31*Calculateur!BN31*VLOOKUP('Données projet'!$B$11,Paramètres!$A$1:$I$89,3,0)*0.475*44/12</f>
        <v>12.081939871134106</v>
      </c>
      <c r="BR31" s="21">
        <f>EXP(-LN(2)/2)*BR30+(1-EXP(-LN(2)/2))/(LN(2)/2)*BL31*BO31*VLOOKUP('Données projet'!$B$11,Paramètres!$A$1:$I$89,3,0)*0.475*44/12</f>
        <v>2.9628745334776903</v>
      </c>
      <c r="BS31" s="22">
        <f t="shared" si="9"/>
        <v>19.762917985138138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7.7715686274509812</v>
      </c>
      <c r="BY31" s="12">
        <f>IF('Données projet'!$A$114&gt;35,BY30+BX31-CG30,IF(A31&lt;'Données projet'!$A$114,$BV$205^A31,IF(A31='Données projet'!$A$114,'Données projet'!$B$114,BY30+BX31-CG30)))</f>
        <v>217.60392156862753</v>
      </c>
      <c r="BZ31" s="13">
        <f>BY31*VLOOKUP('Données projet'!$B$12,Paramètres!$A$1:$I$89,3,0)*VLOOKUP('Données projet'!$B$12,Paramètres!$A$1:$I$89,5,0)</f>
        <v>101.83863529411768</v>
      </c>
      <c r="CA31" s="13">
        <f t="shared" si="39"/>
        <v>27.39956150016679</v>
      </c>
      <c r="CB31" s="20">
        <f t="shared" si="10"/>
        <v>225.08985941671213</v>
      </c>
      <c r="CC31" s="59">
        <f t="shared" si="11"/>
        <v>515.97874830560102</v>
      </c>
      <c r="CD31" s="59">
        <f ca="1">AVERAGE(OFFSET($CC$3,0,0,'Données projet'!$E$12+1,1))-AVERAGE(OFFSET($H$3,0,0,'Données projet'!$E$12+1,1))</f>
        <v>337.10499990421835</v>
      </c>
      <c r="CE31" s="59">
        <f t="shared" si="40"/>
        <v>277.4254079562175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3.3603333333333336</v>
      </c>
      <c r="CT31" s="12">
        <f>IF('Données projet'!$A$140&gt;35,CT30+CS31-DB30,IF(A31&lt;'Données projet'!$A$140,$CQ$205^A31,IF(A31='Données projet'!$A$140,'Données projet'!$B$140,CT30+CS31-DB30)))</f>
        <v>94.089333333333343</v>
      </c>
      <c r="CU31" s="17">
        <f>CT31*VLOOKUP('Données projet'!$B$13,Paramètres!$A$1:$I$89,3,0)*VLOOKUP('Données projet'!$B$13,Paramètres!$A$1:$I$89,5,0)</f>
        <v>93.938790400000016</v>
      </c>
      <c r="CV31" s="13">
        <f t="shared" si="41"/>
        <v>25.512785328948564</v>
      </c>
      <c r="CW31" s="20">
        <f t="shared" si="13"/>
        <v>208.0448277279188</v>
      </c>
      <c r="CX31" s="59">
        <f t="shared" si="14"/>
        <v>498.93371661680766</v>
      </c>
      <c r="CY31" s="59">
        <f ca="1">AVERAGE(OFFSET($CX$3,0,0,'Données projet'!$E$13+1,1))-AVERAGE(OFFSET($H$3,0,0,'Données projet'!$E$13+1,1))</f>
        <v>525.74725170626471</v>
      </c>
      <c r="CZ31" s="59">
        <f t="shared" si="42"/>
        <v>259.19103598192197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4.5856818181818184</v>
      </c>
      <c r="DO31" s="12">
        <f>IF('Données projet'!$A$166&gt;35,DO30+DN31-DW30,IF(A31&lt;'Données projet'!$A$166,$DL$205^A31,IF(A31='Données projet'!$A$166,'Données projet'!$B$166,DO30+DN31-DW30)))</f>
        <v>128.399090909091</v>
      </c>
      <c r="DP31" s="17">
        <f>DO31*VLOOKUP('Données projet'!$B$14,Paramètres!$A$1:$I$89,3,0)*VLOOKUP('Données projet'!$B$14,Paramètres!$A$1:$I$89,5,0)</f>
        <v>116.17549745454552</v>
      </c>
      <c r="DQ31" s="13">
        <f t="shared" si="43"/>
        <v>30.781322359028373</v>
      </c>
      <c r="DR31" s="20">
        <f t="shared" si="16"/>
        <v>255.94979450864125</v>
      </c>
      <c r="DS31" s="59">
        <f t="shared" si="17"/>
        <v>546.83868339753008</v>
      </c>
      <c r="DT31" s="59">
        <f ca="1">AVERAGE(OFFSET($DS$3,0,0,'Données projet'!$E$14+1,1))-AVERAGE(OFFSET($H$3,0,0,'Données projet'!$E$14+1,1))</f>
        <v>490.06222615476065</v>
      </c>
      <c r="DU31" s="59">
        <f t="shared" si="44"/>
        <v>310.43914804089906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3.3603333333333336</v>
      </c>
      <c r="EJ31" s="12">
        <f>IF('Données projet'!$A$192&gt;35,EJ30+EI31-ER30,IF(A31&lt;'Données projet'!$A$192,$EG$205^A31,IF(A31='Données projet'!$A$192,'Données projet'!$B$192,EJ30+EI31-ER30)))</f>
        <v>94.089333333333343</v>
      </c>
      <c r="EK31" s="17">
        <f>EJ31*VLOOKUP('Données projet'!$B$15,Paramètres!$A$1:$I$89,3,0)*VLOOKUP('Données projet'!$B$15,Paramètres!$A$1:$I$89,5,0)</f>
        <v>95.406584000000024</v>
      </c>
      <c r="EL31" s="13">
        <f t="shared" si="45"/>
        <v>25.864702754127851</v>
      </c>
      <c r="EM31" s="20">
        <f t="shared" si="19"/>
        <v>211.21415776343937</v>
      </c>
      <c r="EN31" s="59">
        <f t="shared" si="20"/>
        <v>502.1030466523282</v>
      </c>
      <c r="EO31" s="59">
        <f ca="1">AVERAGE(OFFSET($EN$3,0,0,'Données projet'!$E$15+1,1))-AVERAGE(OFFSET($H$3,0,0,'Données projet'!$E$15+1,1))</f>
        <v>533.26035274112917</v>
      </c>
      <c r="EP31" s="59">
        <f t="shared" si="46"/>
        <v>262.58149402282521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5.1282051282051295</v>
      </c>
      <c r="FE31" s="12">
        <f>IF('Données projet'!$A$218&gt;35,FE30+FD31-FM30,IF(A31&lt;'Données projet'!$A$218,$FB$205^A31,IF(A31='Données projet'!$A$218,'Données projet'!$B$218,FE30+FD31-FM30)))</f>
        <v>66.025641025641022</v>
      </c>
      <c r="FF31" s="17">
        <f>FE31*VLOOKUP('Données projet'!$B$16,Paramètres!$A$1:$I$89,3,0)*VLOOKUP('Données projet'!$B$16,Paramètres!$A$1:$I$89,5,0)</f>
        <v>69.010000000000005</v>
      </c>
      <c r="FG31" s="13">
        <f t="shared" si="47"/>
        <v>19.427402242100008</v>
      </c>
      <c r="FH31" s="20">
        <f t="shared" si="22"/>
        <v>154.02847557165751</v>
      </c>
      <c r="FI31" s="59">
        <f t="shared" si="23"/>
        <v>444.91736446054637</v>
      </c>
      <c r="FJ31" s="59">
        <f ca="1">AVERAGE(OFFSET($FI$3,0,0,'Données projet'!$E$16+1,1))-AVERAGE(OFFSET($H$3,0,0,'Données projet'!$E$16+1,1))</f>
        <v>239.26156489359892</v>
      </c>
      <c r="FK31" s="59">
        <f t="shared" si="48"/>
        <v>213.97034450798111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6.4579860112899077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6.4579860112899077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4.016578947368421</v>
      </c>
      <c r="N32" s="13">
        <f>IF('Données projet'!$A$36&gt;35,N31+M32-V31,IF(A32&lt;'Données projet'!$A$36,$K$205^A32,IF(A32='Données projet'!$A$36,'Données projet'!$B$36,N31+M32-V31)))</f>
        <v>116.48078947368415</v>
      </c>
      <c r="O32" s="13">
        <f>N32*VLOOKUP('Données projet'!$B$9,Paramètres!$A$1:$I$89,3,0)*VLOOKUP('Données projet'!$B$9,Paramètres!$A$1:$I$89,5,0)</f>
        <v>110.84311926315785</v>
      </c>
      <c r="P32" s="13">
        <f t="shared" si="33"/>
        <v>29.529541685665656</v>
      </c>
      <c r="Q32" s="20">
        <f t="shared" si="2"/>
        <v>244.48238448586758</v>
      </c>
      <c r="R32" s="59">
        <f t="shared" si="0"/>
        <v>536.59349559697876</v>
      </c>
      <c r="S32" s="59">
        <f ca="1">AVERAGE(OFFSET($R$3,0,0,'Données projet'!$E$9+1,1))-AVERAGE(OFFSET($H$3,0,0,'Données projet'!$E$9+1,1))</f>
        <v>449.28947235329758</v>
      </c>
      <c r="T32" s="59">
        <f t="shared" si="34"/>
        <v>289.36994109443964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16.621666666666666</v>
      </c>
      <c r="AI32" s="13">
        <f>IF('Données projet'!$A$62&gt;35,AI31+AH32-AQ31,IF(A32&lt;'Données projet'!$A$62,$AF$205^A32,IF(A32='Données projet'!$A$62,'Données projet'!$B$62,AI31+AH32-AQ31)))</f>
        <v>151.16333333333336</v>
      </c>
      <c r="AJ32" s="13">
        <f>AI32*VLOOKUP('Données projet'!$B$10,Paramètres!$A$1:$I$89,3,0)*VLOOKUP('Données projet'!$B$10,Paramètres!$A$1:$I$89,5,0)</f>
        <v>90.395673333333363</v>
      </c>
      <c r="AK32" s="13">
        <f t="shared" si="35"/>
        <v>24.660627497212822</v>
      </c>
      <c r="AL32" s="20">
        <f t="shared" si="4"/>
        <v>200.38972394653459</v>
      </c>
      <c r="AM32" s="59">
        <f t="shared" si="5"/>
        <v>492.50083505764576</v>
      </c>
      <c r="AN32" s="59">
        <f ca="1">AVERAGE(OFFSET($AM$3,0,0,'Données projet'!$E$10+1,1))-AVERAGE(OFFSET($H$3,0,0,'Données projet'!$E$10+1,1))</f>
        <v>349.71285006949597</v>
      </c>
      <c r="AO32" s="59">
        <f t="shared" si="36"/>
        <v>258.51550516456842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7.3417435510681965</v>
      </c>
      <c r="AV32" s="21">
        <f>EXP(-LN(2)/25)*AV31+(1-EXP(-LN(2)/25))/(LN(2)/25)*Calculateur!AQ32*Calculateur!AS32*VLOOKUP('Données projet'!$B$10,Paramètres!$A$1:$I$89,3,0)*0.475*44/12</f>
        <v>10.422514949319186</v>
      </c>
      <c r="AW32" s="21">
        <f>EXP(-LN(2)/2)*AW31+(1-EXP(-LN(2)/2))/(LN(2)/2)*AQ32*AT32*VLOOKUP('Données projet'!$B$10,Paramètres!$A$1:$I$89,3,0)*0.475*44/12</f>
        <v>6.0761231193203562</v>
      </c>
      <c r="AX32" s="21">
        <f t="shared" si="6"/>
        <v>23.840381619707742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>
        <f>VLOOKUP(A32,'Données projet'!$A$87:$I$107,2,0)</f>
        <v>242.91</v>
      </c>
      <c r="BB32" s="12">
        <f>VLOOKUP(A32,'Données projet'!$A$87:$I$107,9,0)</f>
        <v>18.678333333333331</v>
      </c>
      <c r="BC32" s="12">
        <f t="array" ref="BC32">INDEX(BB:BB,MIN(IF(ISNUMBER(BB32:BB228),ROW(BB32:BB228),"")))</f>
        <v>18.678333333333331</v>
      </c>
      <c r="BD32" s="12">
        <f>IF('Données projet'!$A$88&gt;35,BD31+BC32-BL31,IF(A32&lt;'Données projet'!$A$88,$BA$205^A32,IF(A32='Données projet'!$A$88,'Données projet'!$B$88,BD31+BC32-BL31)))</f>
        <v>242.91</v>
      </c>
      <c r="BE32" s="13">
        <f>BD32*VLOOKUP('Données projet'!$B$11,Paramètres!$A$1:$I$89,3,0)*VLOOKUP('Données projet'!$B$11,Paramètres!$A$1:$I$89,5,0)</f>
        <v>145.26018000000002</v>
      </c>
      <c r="BF32" s="13">
        <f t="shared" si="37"/>
        <v>37.499439910321911</v>
      </c>
      <c r="BG32" s="20">
        <f t="shared" si="7"/>
        <v>318.30633801047736</v>
      </c>
      <c r="BH32" s="59">
        <f t="shared" si="8"/>
        <v>610.41744912158856</v>
      </c>
      <c r="BI32" s="59">
        <f ca="1">AVERAGE(OFFSET($BH$3,0,0,'Données projet'!$E$11+1,1))-AVERAGE(OFFSET($H$3,0,0,'Données projet'!$E$11+1,1))</f>
        <v>302.00825291248458</v>
      </c>
      <c r="BJ32" s="59">
        <f t="shared" si="38"/>
        <v>307.35115839449355</v>
      </c>
      <c r="BK32" s="15">
        <f>IF(ISNA(VLOOKUP(A32,'Données projet'!$A$87:$I$107,3,0)),0,VLOOKUP(A32,'Données projet'!$A$87:$I$107,3,0))</f>
        <v>3</v>
      </c>
      <c r="BL32" s="15">
        <f>IF(ISNA(VLOOKUP(A32,'Données projet'!$A$87:$I$107,4,0)),0,VLOOKUP(A32,'Données projet'!$A$87:$I$107,4,0))</f>
        <v>54.97</v>
      </c>
      <c r="BM32" s="16">
        <f>IF(ISNA(VLOOKUP(A32,'Données projet'!$A$87:$I$107,5,0)),0%,VLOOKUP(A32,'Données projet'!$A$87:$I$107,5,0)*VLOOKUP('Données projet'!$B$11,Paramètres!$A$1:$I$89,7,0))</f>
        <v>0.27</v>
      </c>
      <c r="BN32" s="16">
        <f>IF(ISNA(VLOOKUP(A32,'Données projet'!$A$87:$I$107,6,0)),0%,VLOOKUP(A32,'Données projet'!$A$87:$I$107,6,0)*VLOOKUP('Données projet'!$B$11,Paramètres!$A$1:$I$89,7,0))</f>
        <v>9.0000000000000011E-2</v>
      </c>
      <c r="BO32" s="16">
        <f>IF(ISNA(VLOOKUP(A32,'Données projet'!$A$87:$I$107,7,0)),0%,VLOOKUP(A32,'Données projet'!$A$87:$I$107,7,0))</f>
        <v>0.2</v>
      </c>
      <c r="BP32" s="21">
        <f>EXP(-LN(2)/35)*BP31+(1-EXP(-LN(2)/35))/(LN(2)/35)*BL32*BM32*VLOOKUP('Données projet'!$B$11,Paramètres!$A$1:$I$89,3,0)*0.475*44/12</f>
        <v>16.399449167801741</v>
      </c>
      <c r="BQ32" s="21">
        <f>EXP(-LN(2)/25)*BQ31+(1-EXP(-LN(2)/25))/(LN(2)/25)*Calculateur!BL32*Calculateur!BN32*VLOOKUP('Données projet'!$B$11,Paramètres!$A$1:$I$89,3,0)*0.475*44/12</f>
        <v>15.66072743303994</v>
      </c>
      <c r="BR32" s="21">
        <f>EXP(-LN(2)/2)*BR31+(1-EXP(-LN(2)/2))/(LN(2)/2)*BL32*BO32*VLOOKUP('Données projet'!$B$11,Paramètres!$A$1:$I$89,3,0)*0.475*44/12</f>
        <v>9.5388302780725702</v>
      </c>
      <c r="BS32" s="22">
        <f t="shared" si="9"/>
        <v>41.599006878914253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7.7715686274509812</v>
      </c>
      <c r="BY32" s="12">
        <f>IF('Données projet'!$A$114&gt;35,BY31+BX32-CG31,IF(A32&lt;'Données projet'!$A$114,$BV$205^A32,IF(A32='Données projet'!$A$114,'Données projet'!$B$114,BY31+BX32-CG31)))</f>
        <v>225.37549019607852</v>
      </c>
      <c r="BZ32" s="13">
        <f>BY32*VLOOKUP('Données projet'!$B$12,Paramètres!$A$1:$I$89,3,0)*VLOOKUP('Données projet'!$B$12,Paramètres!$A$1:$I$89,5,0)</f>
        <v>105.47572941176475</v>
      </c>
      <c r="CA32" s="13">
        <f t="shared" si="39"/>
        <v>28.262439580592901</v>
      </c>
      <c r="CB32" s="20">
        <f t="shared" si="10"/>
        <v>232.92731099502291</v>
      </c>
      <c r="CC32" s="59">
        <f t="shared" si="11"/>
        <v>525.03842210613402</v>
      </c>
      <c r="CD32" s="59">
        <f ca="1">AVERAGE(OFFSET($CC$3,0,0,'Données projet'!$E$12+1,1))-AVERAGE(OFFSET($H$3,0,0,'Données projet'!$E$12+1,1))</f>
        <v>337.10499990421835</v>
      </c>
      <c r="CE32" s="59">
        <f t="shared" si="40"/>
        <v>277.4254079562175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3.3603333333333336</v>
      </c>
      <c r="CT32" s="12">
        <f>IF('Données projet'!$A$140&gt;35,CT31+CS32-DB31,IF(A32&lt;'Données projet'!$A$140,$CQ$205^A32,IF(A32='Données projet'!$A$140,'Données projet'!$B$140,CT31+CS32-DB31)))</f>
        <v>97.449666666666673</v>
      </c>
      <c r="CU32" s="17">
        <f>CT32*VLOOKUP('Données projet'!$B$13,Paramètres!$A$1:$I$89,3,0)*VLOOKUP('Données projet'!$B$13,Paramètres!$A$1:$I$89,5,0)</f>
        <v>97.293747200000013</v>
      </c>
      <c r="CV32" s="13">
        <f t="shared" si="41"/>
        <v>26.316244290539313</v>
      </c>
      <c r="CW32" s="20">
        <f t="shared" si="13"/>
        <v>215.28740184602262</v>
      </c>
      <c r="CX32" s="59">
        <f t="shared" si="14"/>
        <v>507.39851295713379</v>
      </c>
      <c r="CY32" s="59">
        <f ca="1">AVERAGE(OFFSET($CX$3,0,0,'Données projet'!$E$13+1,1))-AVERAGE(OFFSET($H$3,0,0,'Données projet'!$E$13+1,1))</f>
        <v>525.74725170626471</v>
      </c>
      <c r="CZ32" s="59">
        <f t="shared" si="42"/>
        <v>259.19103598192197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4.5856818181818184</v>
      </c>
      <c r="DO32" s="12">
        <f>IF('Données projet'!$A$166&gt;35,DO31+DN32-DW31,IF(A32&lt;'Données projet'!$A$166,$DL$205^A32,IF(A32='Données projet'!$A$166,'Données projet'!$B$166,DO31+DN32-DW31)))</f>
        <v>132.98477272727283</v>
      </c>
      <c r="DP32" s="17">
        <f>DO32*VLOOKUP('Données projet'!$B$14,Paramètres!$A$1:$I$89,3,0)*VLOOKUP('Données projet'!$B$14,Paramètres!$A$1:$I$89,5,0)</f>
        <v>120.32462236363645</v>
      </c>
      <c r="DQ32" s="13">
        <f t="shared" si="43"/>
        <v>31.750700221151241</v>
      </c>
      <c r="DR32" s="20">
        <f t="shared" si="16"/>
        <v>264.86452016850518</v>
      </c>
      <c r="DS32" s="59">
        <f t="shared" si="17"/>
        <v>556.97563127961632</v>
      </c>
      <c r="DT32" s="59">
        <f ca="1">AVERAGE(OFFSET($DS$3,0,0,'Données projet'!$E$14+1,1))-AVERAGE(OFFSET($H$3,0,0,'Données projet'!$E$14+1,1))</f>
        <v>490.06222615476065</v>
      </c>
      <c r="DU32" s="59">
        <f t="shared" si="44"/>
        <v>310.43914804089906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3.3603333333333336</v>
      </c>
      <c r="EJ32" s="12">
        <f>IF('Données projet'!$A$192&gt;35,EJ31+EI32-ER31,IF(A32&lt;'Données projet'!$A$192,$EG$205^A32,IF(A32='Données projet'!$A$192,'Données projet'!$B$192,EJ31+EI32-ER31)))</f>
        <v>97.449666666666673</v>
      </c>
      <c r="EK32" s="17">
        <f>EJ32*VLOOKUP('Données projet'!$B$15,Paramètres!$A$1:$I$89,3,0)*VLOOKUP('Données projet'!$B$15,Paramètres!$A$1:$I$89,5,0)</f>
        <v>98.813962000000018</v>
      </c>
      <c r="EL32" s="13">
        <f t="shared" si="45"/>
        <v>26.679244441706949</v>
      </c>
      <c r="EM32" s="20">
        <f t="shared" si="19"/>
        <v>218.56733455263964</v>
      </c>
      <c r="EN32" s="59">
        <f t="shared" si="20"/>
        <v>510.67844566375078</v>
      </c>
      <c r="EO32" s="59">
        <f ca="1">AVERAGE(OFFSET($EN$3,0,0,'Données projet'!$E$15+1,1))-AVERAGE(OFFSET($H$3,0,0,'Données projet'!$E$15+1,1))</f>
        <v>533.26035274112917</v>
      </c>
      <c r="EP32" s="59">
        <f t="shared" si="46"/>
        <v>262.58149402282521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5.1282051282051295</v>
      </c>
      <c r="FE32" s="12">
        <f>IF('Données projet'!$A$218&gt;35,FE31+FD32-FM31,IF(A32&lt;'Données projet'!$A$218,$FB$205^A32,IF(A32='Données projet'!$A$218,'Données projet'!$B$218,FE31+FD32-FM31)))</f>
        <v>71.153846153846146</v>
      </c>
      <c r="FF32" s="17">
        <f>FE32*VLOOKUP('Données projet'!$B$16,Paramètres!$A$1:$I$89,3,0)*VLOOKUP('Données projet'!$B$16,Paramètres!$A$1:$I$89,5,0)</f>
        <v>74.36999999999999</v>
      </c>
      <c r="FG32" s="13">
        <f t="shared" si="47"/>
        <v>20.754828284827131</v>
      </c>
      <c r="FH32" s="20">
        <f t="shared" si="22"/>
        <v>165.67574259607389</v>
      </c>
      <c r="FI32" s="59">
        <f t="shared" si="23"/>
        <v>457.78685370718506</v>
      </c>
      <c r="FJ32" s="59">
        <f ca="1">AVERAGE(OFFSET($FI$3,0,0,'Données projet'!$E$16+1,1))-AVERAGE(OFFSET($H$3,0,0,'Données projet'!$E$16+1,1))</f>
        <v>239.26156489359892</v>
      </c>
      <c r="FK32" s="59">
        <f t="shared" si="48"/>
        <v>213.97034450798111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6.2813920442004605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6.2813920442004605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4.016578947368421</v>
      </c>
      <c r="N33" s="13">
        <f>IF('Données projet'!$A$36&gt;35,N32+M33-V32,IF(A33&lt;'Données projet'!$A$36,$K$205^A33,IF(A33='Données projet'!$A$36,'Données projet'!$B$36,N32+M33-V32)))</f>
        <v>120.49736842105257</v>
      </c>
      <c r="O33" s="13">
        <f>N33*VLOOKUP('Données projet'!$B$9,Paramètres!$A$1:$I$89,3,0)*VLOOKUP('Données projet'!$B$9,Paramètres!$A$1:$I$89,5,0)</f>
        <v>114.66529578947363</v>
      </c>
      <c r="P33" s="13">
        <f t="shared" si="33"/>
        <v>30.427493355659173</v>
      </c>
      <c r="Q33" s="20">
        <f t="shared" si="2"/>
        <v>252.70327442777295</v>
      </c>
      <c r="R33" s="59">
        <f t="shared" si="0"/>
        <v>546.03660776110632</v>
      </c>
      <c r="S33" s="59">
        <f ca="1">AVERAGE(OFFSET($R$3,0,0,'Données projet'!$E$9+1,1))-AVERAGE(OFFSET($H$3,0,0,'Données projet'!$E$9+1,1))</f>
        <v>449.28947235329758</v>
      </c>
      <c r="T33" s="59">
        <f t="shared" si="34"/>
        <v>289.36994109443964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16.621666666666666</v>
      </c>
      <c r="AI33" s="13">
        <f>IF('Données projet'!$A$62&gt;35,AI32+AH33-AQ32,IF(A33&lt;'Données projet'!$A$62,$AF$205^A33,IF(A33='Données projet'!$A$62,'Données projet'!$B$62,AI32+AH33-AQ32)))</f>
        <v>167.78500000000003</v>
      </c>
      <c r="AJ33" s="13">
        <f>AI33*VLOOKUP('Données projet'!$B$10,Paramètres!$A$1:$I$89,3,0)*VLOOKUP('Données projet'!$B$10,Paramètres!$A$1:$I$89,5,0)</f>
        <v>100.33543000000002</v>
      </c>
      <c r="AK33" s="13">
        <f t="shared" si="35"/>
        <v>27.041893539465132</v>
      </c>
      <c r="AL33" s="20">
        <f t="shared" si="4"/>
        <v>221.84883849790182</v>
      </c>
      <c r="AM33" s="59">
        <f t="shared" si="5"/>
        <v>515.18217183123511</v>
      </c>
      <c r="AN33" s="59">
        <f ca="1">AVERAGE(OFFSET($AM$3,0,0,'Données projet'!$E$10+1,1))-AVERAGE(OFFSET($H$3,0,0,'Données projet'!$E$10+1,1))</f>
        <v>349.71285006949597</v>
      </c>
      <c r="AO33" s="59">
        <f t="shared" si="36"/>
        <v>258.51550516456842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7.1977764380531477</v>
      </c>
      <c r="AV33" s="21">
        <f>EXP(-LN(2)/25)*AV32+(1-EXP(-LN(2)/25))/(LN(2)/25)*Calculateur!AQ33*Calculateur!AS33*VLOOKUP('Données projet'!$B$10,Paramètres!$A$1:$I$89,3,0)*0.475*44/12</f>
        <v>10.137510729933814</v>
      </c>
      <c r="AW33" s="21">
        <f>EXP(-LN(2)/2)*AW32+(1-EXP(-LN(2)/2))/(LN(2)/2)*AQ33*AT33*VLOOKUP('Données projet'!$B$10,Paramètres!$A$1:$I$89,3,0)*0.475*44/12</f>
        <v>4.296467860995782</v>
      </c>
      <c r="AX33" s="21">
        <f t="shared" si="6"/>
        <v>21.631755028982745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17.804285714285715</v>
      </c>
      <c r="BD33" s="12">
        <f>IF('Données projet'!$A$88&gt;35,BD32+BC33-BL32,IF(A33&lt;'Données projet'!$A$88,$BA$205^A33,IF(A33='Données projet'!$A$88,'Données projet'!$B$88,BD32+BC33-BL32)))</f>
        <v>205.74428571428572</v>
      </c>
      <c r="BE33" s="13">
        <f>BD33*VLOOKUP('Données projet'!$B$11,Paramètres!$A$1:$I$89,3,0)*VLOOKUP('Données projet'!$B$11,Paramètres!$A$1:$I$89,5,0)</f>
        <v>123.03508285714287</v>
      </c>
      <c r="BF33" s="13">
        <f t="shared" si="37"/>
        <v>32.381850192327164</v>
      </c>
      <c r="BG33" s="20">
        <f t="shared" si="7"/>
        <v>270.68449172782698</v>
      </c>
      <c r="BH33" s="59">
        <f t="shared" si="8"/>
        <v>564.01782506116024</v>
      </c>
      <c r="BI33" s="59">
        <f ca="1">AVERAGE(OFFSET($BH$3,0,0,'Données projet'!$E$11+1,1))-AVERAGE(OFFSET($H$3,0,0,'Données projet'!$E$11+1,1))</f>
        <v>302.00825291248458</v>
      </c>
      <c r="BJ33" s="59">
        <f t="shared" si="38"/>
        <v>307.35115839449355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16.07786597229746</v>
      </c>
      <c r="BQ33" s="21">
        <f>EXP(-LN(2)/25)*BQ32+(1-EXP(-LN(2)/25))/(LN(2)/25)*Calculateur!BL33*Calculateur!BN33*VLOOKUP('Données projet'!$B$11,Paramètres!$A$1:$I$89,3,0)*0.475*44/12</f>
        <v>15.2324840178216</v>
      </c>
      <c r="BR33" s="21">
        <f>EXP(-LN(2)/2)*BR32+(1-EXP(-LN(2)/2))/(LN(2)/2)*BL33*BO33*VLOOKUP('Données projet'!$B$11,Paramètres!$A$1:$I$89,3,0)*0.475*44/12</f>
        <v>6.7449715742126752</v>
      </c>
      <c r="BS33" s="22">
        <f t="shared" si="9"/>
        <v>38.055321564331734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7.7715686274509812</v>
      </c>
      <c r="BY33" s="12">
        <f>IF('Données projet'!$A$114&gt;35,BY32+BX33-CG32,IF(A33&lt;'Données projet'!$A$114,$BV$205^A33,IF(A33='Données projet'!$A$114,'Données projet'!$B$114,BY32+BX33-CG32)))</f>
        <v>233.14705882352951</v>
      </c>
      <c r="BZ33" s="13">
        <f>BY33*VLOOKUP('Données projet'!$B$12,Paramètres!$A$1:$I$89,3,0)*VLOOKUP('Données projet'!$B$12,Paramètres!$A$1:$I$89,5,0)</f>
        <v>109.11282352941181</v>
      </c>
      <c r="CA33" s="13">
        <f t="shared" si="39"/>
        <v>29.121860464588686</v>
      </c>
      <c r="CB33" s="20">
        <f t="shared" si="10"/>
        <v>240.7587412895509</v>
      </c>
      <c r="CC33" s="59">
        <f t="shared" si="11"/>
        <v>534.09207462288418</v>
      </c>
      <c r="CD33" s="59">
        <f ca="1">AVERAGE(OFFSET($CC$3,0,0,'Données projet'!$E$12+1,1))-AVERAGE(OFFSET($H$3,0,0,'Données projet'!$E$12+1,1))</f>
        <v>337.10499990421835</v>
      </c>
      <c r="CE33" s="59">
        <f t="shared" si="40"/>
        <v>277.4254079562175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3.3603333333333336</v>
      </c>
      <c r="CT33" s="12">
        <f>IF('Données projet'!$A$140&gt;35,CT32+CS33-DB32,IF(A33&lt;'Données projet'!$A$140,$CQ$205^A33,IF(A33='Données projet'!$A$140,'Données projet'!$B$140,CT32+CS33-DB32)))</f>
        <v>100.81</v>
      </c>
      <c r="CU33" s="17">
        <f>CT33*VLOOKUP('Données projet'!$B$13,Paramètres!$A$1:$I$89,3,0)*VLOOKUP('Données projet'!$B$13,Paramètres!$A$1:$I$89,5,0)</f>
        <v>100.64870400000001</v>
      </c>
      <c r="CV33" s="13">
        <f t="shared" si="41"/>
        <v>27.116484123591587</v>
      </c>
      <c r="CW33" s="20">
        <f t="shared" si="13"/>
        <v>222.52436931525537</v>
      </c>
      <c r="CX33" s="59">
        <f t="shared" si="14"/>
        <v>515.85770264858866</v>
      </c>
      <c r="CY33" s="59">
        <f ca="1">AVERAGE(OFFSET($CX$3,0,0,'Données projet'!$E$13+1,1))-AVERAGE(OFFSET($H$3,0,0,'Données projet'!$E$13+1,1))</f>
        <v>525.74725170626471</v>
      </c>
      <c r="CZ33" s="59">
        <f t="shared" si="42"/>
        <v>259.19103598192197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4.5856818181818184</v>
      </c>
      <c r="DO33" s="12">
        <f>IF('Données projet'!$A$166&gt;35,DO32+DN33-DW32,IF(A33&lt;'Données projet'!$A$166,$DL$205^A33,IF(A33='Données projet'!$A$166,'Données projet'!$B$166,DO32+DN33-DW32)))</f>
        <v>137.57045454545465</v>
      </c>
      <c r="DP33" s="17">
        <f>DO33*VLOOKUP('Données projet'!$B$14,Paramètres!$A$1:$I$89,3,0)*VLOOKUP('Données projet'!$B$14,Paramètres!$A$1:$I$89,5,0)</f>
        <v>124.47374727272737</v>
      </c>
      <c r="DQ33" s="13">
        <f t="shared" si="43"/>
        <v>32.716194186162085</v>
      </c>
      <c r="DR33" s="20">
        <f t="shared" si="16"/>
        <v>273.77248137423243</v>
      </c>
      <c r="DS33" s="59">
        <f t="shared" si="17"/>
        <v>567.10581470756574</v>
      </c>
      <c r="DT33" s="59">
        <f ca="1">AVERAGE(OFFSET($DS$3,0,0,'Données projet'!$E$14+1,1))-AVERAGE(OFFSET($H$3,0,0,'Données projet'!$E$14+1,1))</f>
        <v>490.06222615476065</v>
      </c>
      <c r="DU33" s="59">
        <f t="shared" si="44"/>
        <v>310.43914804089906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3.3603333333333336</v>
      </c>
      <c r="EJ33" s="12">
        <f>IF('Données projet'!$A$192&gt;35,EJ32+EI33-ER32,IF(A33&lt;'Données projet'!$A$192,$EG$205^A33,IF(A33='Données projet'!$A$192,'Données projet'!$B$192,EJ32+EI33-ER32)))</f>
        <v>100.81</v>
      </c>
      <c r="EK33" s="17">
        <f>EJ33*VLOOKUP('Données projet'!$B$15,Paramètres!$A$1:$I$89,3,0)*VLOOKUP('Données projet'!$B$15,Paramètres!$A$1:$I$89,5,0)</f>
        <v>102.22134</v>
      </c>
      <c r="EL33" s="13">
        <f t="shared" si="45"/>
        <v>27.490522596837476</v>
      </c>
      <c r="EM33" s="20">
        <f t="shared" si="19"/>
        <v>225.91482735615861</v>
      </c>
      <c r="EN33" s="59">
        <f t="shared" si="20"/>
        <v>519.2481606894919</v>
      </c>
      <c r="EO33" s="59">
        <f ca="1">AVERAGE(OFFSET($EN$3,0,0,'Données projet'!$E$15+1,1))-AVERAGE(OFFSET($H$3,0,0,'Données projet'!$E$15+1,1))</f>
        <v>533.26035274112917</v>
      </c>
      <c r="EP33" s="59">
        <f t="shared" si="46"/>
        <v>262.58149402282521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76.282051282051285</v>
      </c>
      <c r="FC33" s="12">
        <f>VLOOKUP(A33,'Données projet'!$A$217:$I$237,9,0)</f>
        <v>5.1282051282051295</v>
      </c>
      <c r="FD33" s="12">
        <f t="array" ref="FD33">INDEX(FC:FC,MIN(IF(ISNUMBER(FC33:FC229),ROW(FC33:FC229),"")))</f>
        <v>5.1282051282051295</v>
      </c>
      <c r="FE33" s="12">
        <f>IF('Données projet'!$A$218&gt;35,FE32+FD33-FM32,IF(A33&lt;'Données projet'!$A$218,$FB$205^A33,IF(A33='Données projet'!$A$218,'Données projet'!$B$218,FE32+FD33-FM32)))</f>
        <v>76.28205128205127</v>
      </c>
      <c r="FF33" s="17">
        <f>FE33*VLOOKUP('Données projet'!$B$16,Paramètres!$A$1:$I$89,3,0)*VLOOKUP('Données projet'!$B$16,Paramètres!$A$1:$I$89,5,0)</f>
        <v>79.73</v>
      </c>
      <c r="FG33" s="13">
        <f t="shared" si="47"/>
        <v>22.071154741424582</v>
      </c>
      <c r="FH33" s="20">
        <f t="shared" si="22"/>
        <v>177.30367784131445</v>
      </c>
      <c r="FI33" s="59">
        <f t="shared" si="23"/>
        <v>470.6370111746478</v>
      </c>
      <c r="FJ33" s="59">
        <f ca="1">AVERAGE(OFFSET($FI$3,0,0,'Données projet'!$E$16+1,1))-AVERAGE(OFFSET($H$3,0,0,'Données projet'!$E$16+1,1))</f>
        <v>239.26156489359892</v>
      </c>
      <c r="FK33" s="59">
        <f t="shared" si="48"/>
        <v>213.97034450798111</v>
      </c>
      <c r="FL33" s="15">
        <f>IF(ISNA(VLOOKUP(A33,'Données projet'!$A$217:$I$237,3,0)),0,VLOOKUP(A33,'Données projet'!$A$217:$I$237,3,0))</f>
        <v>3</v>
      </c>
      <c r="FM33" s="15">
        <f>IF(ISNA(VLOOKUP(A33,'Données projet'!$A$217:$I$237,4,0)),0,VLOOKUP(A33,'Données projet'!$A$217:$I$237,4,0))</f>
        <v>12.820512820512819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0.215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9.2819472038718747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9.2819472038718747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4.016578947368421</v>
      </c>
      <c r="N34" s="13">
        <f>IF('Données projet'!$A$36&gt;35,N33+M34-V33,IF(A34&lt;'Données projet'!$A$36,$K$205^A34,IF(A34='Données projet'!$A$36,'Données projet'!$B$36,N33+M34-V33)))</f>
        <v>124.51394736842099</v>
      </c>
      <c r="O34" s="13">
        <f>N34*VLOOKUP('Données projet'!$B$9,Paramètres!$A$1:$I$89,3,0)*VLOOKUP('Données projet'!$B$9,Paramètres!$A$1:$I$89,5,0)</f>
        <v>118.48747231578942</v>
      </c>
      <c r="P34" s="13">
        <f t="shared" si="33"/>
        <v>31.321967043083987</v>
      </c>
      <c r="Q34" s="20">
        <f t="shared" si="2"/>
        <v>260.91810688337119</v>
      </c>
      <c r="R34" s="59">
        <f t="shared" si="0"/>
        <v>554.25144021670451</v>
      </c>
      <c r="S34" s="59">
        <f ca="1">AVERAGE(OFFSET($R$3,0,0,'Données projet'!$E$9+1,1))-AVERAGE(OFFSET($H$3,0,0,'Données projet'!$E$9+1,1))</f>
        <v>449.28947235329758</v>
      </c>
      <c r="T34" s="59">
        <f t="shared" si="34"/>
        <v>289.36994109443964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16.621666666666666</v>
      </c>
      <c r="AI34" s="13">
        <f>IF('Données projet'!$A$62&gt;35,AI33+AH34-AQ33,IF(A34&lt;'Données projet'!$A$62,$AF$205^A34,IF(A34='Données projet'!$A$62,'Données projet'!$B$62,AI33+AH34-AQ33)))</f>
        <v>184.40666666666669</v>
      </c>
      <c r="AJ34" s="13">
        <f>AI34*VLOOKUP('Données projet'!$B$10,Paramètres!$A$1:$I$89,3,0)*VLOOKUP('Données projet'!$B$10,Paramètres!$A$1:$I$89,5,0)</f>
        <v>110.27518666666668</v>
      </c>
      <c r="AK34" s="13">
        <f t="shared" si="35"/>
        <v>29.395811266319566</v>
      </c>
      <c r="AL34" s="20">
        <f t="shared" si="4"/>
        <v>243.26032139995104</v>
      </c>
      <c r="AM34" s="59">
        <f t="shared" si="5"/>
        <v>536.59365473328432</v>
      </c>
      <c r="AN34" s="59">
        <f ca="1">AVERAGE(OFFSET($AM$3,0,0,'Données projet'!$E$10+1,1))-AVERAGE(OFFSET($H$3,0,0,'Données projet'!$E$10+1,1))</f>
        <v>349.71285006949597</v>
      </c>
      <c r="AO34" s="59">
        <f t="shared" si="36"/>
        <v>258.51550516456842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7.0566324323130551</v>
      </c>
      <c r="AV34" s="21">
        <f>EXP(-LN(2)/25)*AV33+(1-EXP(-LN(2)/25))/(LN(2)/25)*Calculateur!AQ34*Calculateur!AS34*VLOOKUP('Données projet'!$B$10,Paramètres!$A$1:$I$89,3,0)*0.475*44/12</f>
        <v>9.860299965915253</v>
      </c>
      <c r="AW34" s="21">
        <f>EXP(-LN(2)/2)*AW33+(1-EXP(-LN(2)/2))/(LN(2)/2)*AQ34*AT34*VLOOKUP('Données projet'!$B$10,Paramètres!$A$1:$I$89,3,0)*0.475*44/12</f>
        <v>3.0380615596601785</v>
      </c>
      <c r="AX34" s="21">
        <f t="shared" si="6"/>
        <v>19.954993957888487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17.804285714285715</v>
      </c>
      <c r="BD34" s="12">
        <f>IF('Données projet'!$A$88&gt;35,BD33+BC34-BL33,IF(A34&lt;'Données projet'!$A$88,$BA$205^A34,IF(A34='Données projet'!$A$88,'Données projet'!$B$88,BD33+BC34-BL33)))</f>
        <v>223.54857142857145</v>
      </c>
      <c r="BE34" s="13">
        <f>BD34*VLOOKUP('Données projet'!$B$11,Paramètres!$A$1:$I$89,3,0)*VLOOKUP('Données projet'!$B$11,Paramètres!$A$1:$I$89,5,0)</f>
        <v>133.68204571428575</v>
      </c>
      <c r="BF34" s="13">
        <f t="shared" si="37"/>
        <v>34.84578405456601</v>
      </c>
      <c r="BG34" s="20">
        <f t="shared" si="7"/>
        <v>293.51930351408345</v>
      </c>
      <c r="BH34" s="59">
        <f t="shared" si="8"/>
        <v>586.85263684741676</v>
      </c>
      <c r="BI34" s="59">
        <f ca="1">AVERAGE(OFFSET($BH$3,0,0,'Données projet'!$E$11+1,1))-AVERAGE(OFFSET($H$3,0,0,'Données projet'!$E$11+1,1))</f>
        <v>302.00825291248458</v>
      </c>
      <c r="BJ34" s="59">
        <f t="shared" si="38"/>
        <v>307.35115839449355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15.762588827110635</v>
      </c>
      <c r="BQ34" s="21">
        <f>EXP(-LN(2)/25)*BQ33+(1-EXP(-LN(2)/25))/(LN(2)/25)*Calculateur!BL34*Calculateur!BN34*VLOOKUP('Données projet'!$B$11,Paramètres!$A$1:$I$89,3,0)*0.475*44/12</f>
        <v>14.815950941312748</v>
      </c>
      <c r="BR34" s="21">
        <f>EXP(-LN(2)/2)*BR33+(1-EXP(-LN(2)/2))/(LN(2)/2)*BL34*BO34*VLOOKUP('Données projet'!$B$11,Paramètres!$A$1:$I$89,3,0)*0.475*44/12</f>
        <v>4.7694151390362851</v>
      </c>
      <c r="BS34" s="22">
        <f t="shared" si="9"/>
        <v>35.347954907459666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7.7715686274509812</v>
      </c>
      <c r="BY34" s="12">
        <f>IF('Données projet'!$A$114&gt;35,BY33+BX34-CG33,IF(A34&lt;'Données projet'!$A$114,$BV$205^A34,IF(A34='Données projet'!$A$114,'Données projet'!$B$114,BY33+BX34-CG33)))</f>
        <v>240.91862745098049</v>
      </c>
      <c r="BZ34" s="13">
        <f>BY34*VLOOKUP('Données projet'!$B$12,Paramètres!$A$1:$I$89,3,0)*VLOOKUP('Données projet'!$B$12,Paramètres!$A$1:$I$89,5,0)</f>
        <v>112.74991764705888</v>
      </c>
      <c r="CA34" s="13">
        <f t="shared" si="39"/>
        <v>29.977952605007669</v>
      </c>
      <c r="CB34" s="20">
        <f t="shared" si="10"/>
        <v>248.58437402234924</v>
      </c>
      <c r="CC34" s="59">
        <f t="shared" si="11"/>
        <v>541.91770735568252</v>
      </c>
      <c r="CD34" s="59">
        <f ca="1">AVERAGE(OFFSET($CC$3,0,0,'Données projet'!$E$12+1,1))-AVERAGE(OFFSET($H$3,0,0,'Données projet'!$E$12+1,1))</f>
        <v>337.10499990421835</v>
      </c>
      <c r="CE34" s="59">
        <f t="shared" si="40"/>
        <v>277.4254079562175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3.3603333333333336</v>
      </c>
      <c r="CT34" s="12">
        <f>IF('Données projet'!$A$140&gt;35,CT33+CS34-DB33,IF(A34&lt;'Données projet'!$A$140,$CQ$205^A34,IF(A34='Données projet'!$A$140,'Données projet'!$B$140,CT33+CS34-DB33)))</f>
        <v>104.17033333333333</v>
      </c>
      <c r="CU34" s="17">
        <f>CT34*VLOOKUP('Données projet'!$B$13,Paramètres!$A$1:$I$89,3,0)*VLOOKUP('Données projet'!$B$13,Paramètres!$A$1:$I$89,5,0)</f>
        <v>104.00366080000001</v>
      </c>
      <c r="CV34" s="13">
        <f t="shared" si="41"/>
        <v>27.913624435496846</v>
      </c>
      <c r="CW34" s="20">
        <f t="shared" si="13"/>
        <v>229.75593845182368</v>
      </c>
      <c r="CX34" s="59">
        <f t="shared" si="14"/>
        <v>523.08927178515705</v>
      </c>
      <c r="CY34" s="59">
        <f ca="1">AVERAGE(OFFSET($CX$3,0,0,'Données projet'!$E$13+1,1))-AVERAGE(OFFSET($H$3,0,0,'Données projet'!$E$13+1,1))</f>
        <v>525.74725170626471</v>
      </c>
      <c r="CZ34" s="59">
        <f t="shared" si="42"/>
        <v>259.19103598192197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4.5856818181818184</v>
      </c>
      <c r="DO34" s="12">
        <f>IF('Données projet'!$A$166&gt;35,DO33+DN34-DW33,IF(A34&lt;'Données projet'!$A$166,$DL$205^A34,IF(A34='Données projet'!$A$166,'Données projet'!$B$166,DO33+DN34-DW33)))</f>
        <v>142.15613636363648</v>
      </c>
      <c r="DP34" s="17">
        <f>DO34*VLOOKUP('Données projet'!$B$14,Paramètres!$A$1:$I$89,3,0)*VLOOKUP('Données projet'!$B$14,Paramètres!$A$1:$I$89,5,0)</f>
        <v>128.62287218181828</v>
      </c>
      <c r="DQ34" s="13">
        <f t="shared" si="43"/>
        <v>33.67794856106724</v>
      </c>
      <c r="DR34" s="20">
        <f t="shared" si="16"/>
        <v>282.67392946052559</v>
      </c>
      <c r="DS34" s="59">
        <f t="shared" si="17"/>
        <v>576.0072627938589</v>
      </c>
      <c r="DT34" s="59">
        <f ca="1">AVERAGE(OFFSET($DS$3,0,0,'Données projet'!$E$14+1,1))-AVERAGE(OFFSET($H$3,0,0,'Données projet'!$E$14+1,1))</f>
        <v>490.06222615476065</v>
      </c>
      <c r="DU34" s="59">
        <f t="shared" si="44"/>
        <v>310.43914804089906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3.3603333333333336</v>
      </c>
      <c r="EJ34" s="12">
        <f>IF('Données projet'!$A$192&gt;35,EJ33+EI34-ER33,IF(A34&lt;'Données projet'!$A$192,$EG$205^A34,IF(A34='Données projet'!$A$192,'Données projet'!$B$192,EJ33+EI34-ER33)))</f>
        <v>104.17033333333333</v>
      </c>
      <c r="EK34" s="17">
        <f>EJ34*VLOOKUP('Données projet'!$B$15,Paramètres!$A$1:$I$89,3,0)*VLOOKUP('Données projet'!$B$15,Paramètres!$A$1:$I$89,5,0)</f>
        <v>105.62871800000001</v>
      </c>
      <c r="EL34" s="13">
        <f t="shared" si="45"/>
        <v>28.298658476747377</v>
      </c>
      <c r="EM34" s="20">
        <f t="shared" si="19"/>
        <v>233.25684736366836</v>
      </c>
      <c r="EN34" s="59">
        <f t="shared" si="20"/>
        <v>526.59018069700164</v>
      </c>
      <c r="EO34" s="59">
        <f ca="1">AVERAGE(OFFSET($EN$3,0,0,'Données projet'!$E$15+1,1))-AVERAGE(OFFSET($H$3,0,0,'Données projet'!$E$15+1,1))</f>
        <v>533.26035274112917</v>
      </c>
      <c r="EP34" s="59">
        <f t="shared" si="46"/>
        <v>262.58149402282521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4.6153846153846132</v>
      </c>
      <c r="FE34" s="12">
        <f>IF('Données projet'!$A$218&gt;35,FE33+FD34-FM33,IF(A34&lt;'Données projet'!$A$218,$FB$205^A34,IF(A34='Données projet'!$A$218,'Données projet'!$B$218,FE33+FD34-FM33)))</f>
        <v>68.076923076923066</v>
      </c>
      <c r="FF34" s="17">
        <f>FE34*VLOOKUP('Données projet'!$B$16,Paramètres!$A$1:$I$89,3,0)*VLOOKUP('Données projet'!$B$16,Paramètres!$A$1:$I$89,5,0)</f>
        <v>71.153999999999996</v>
      </c>
      <c r="FG34" s="13">
        <f t="shared" si="47"/>
        <v>19.959763152334045</v>
      </c>
      <c r="FH34" s="20">
        <f t="shared" si="22"/>
        <v>158.68980415698181</v>
      </c>
      <c r="FI34" s="59">
        <f t="shared" si="23"/>
        <v>452.02313749031509</v>
      </c>
      <c r="FJ34" s="59">
        <f ca="1">AVERAGE(OFFSET($FI$3,0,0,'Données projet'!$E$16+1,1))-AVERAGE(OFFSET($H$3,0,0,'Données projet'!$E$16+1,1))</f>
        <v>239.26156489359892</v>
      </c>
      <c r="FK34" s="59">
        <f t="shared" si="48"/>
        <v>213.97034450798111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9.028131869465609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9.028131869465609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4.016578947368421</v>
      </c>
      <c r="N35" s="13">
        <f>IF('Données projet'!$A$36&gt;35,N34+M35-V34,IF(A35&lt;'Données projet'!$A$36,$K$205^A35,IF(A35='Données projet'!$A$36,'Données projet'!$B$36,N34+M35-V34)))</f>
        <v>128.53052631578942</v>
      </c>
      <c r="O35" s="13">
        <f>N35*VLOOKUP('Données projet'!$B$9,Paramètres!$A$1:$I$89,3,0)*VLOOKUP('Données projet'!$B$9,Paramètres!$A$1:$I$89,5,0)</f>
        <v>122.3096488421052</v>
      </c>
      <c r="P35" s="13">
        <f t="shared" si="33"/>
        <v>32.213087809364474</v>
      </c>
      <c r="Q35" s="20">
        <f t="shared" ref="Q35:Q66" si="53">(O35+P35)*0.475*44/12</f>
        <v>269.12709966797632</v>
      </c>
      <c r="R35" s="59">
        <f t="shared" si="0"/>
        <v>562.46043300130964</v>
      </c>
      <c r="S35" s="59">
        <f ca="1">AVERAGE(OFFSET($R$3,0,0,'Données projet'!$E$9+1,1))-AVERAGE(OFFSET($H$3,0,0,'Données projet'!$E$9+1,1))</f>
        <v>449.28947235329758</v>
      </c>
      <c r="T35" s="59">
        <f t="shared" si="34"/>
        <v>289.36994109443964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16.621666666666666</v>
      </c>
      <c r="AI35" s="13">
        <f>IF('Données projet'!$A$62&gt;35,AI34+AH35-AQ34,IF(A35&lt;'Données projet'!$A$62,$AF$205^A35,IF(A35='Données projet'!$A$62,'Données projet'!$B$62,AI34+AH35-AQ34)))</f>
        <v>201.02833333333336</v>
      </c>
      <c r="AJ35" s="13">
        <f>AI35*VLOOKUP('Données projet'!$B$10,Paramètres!$A$1:$I$89,3,0)*VLOOKUP('Données projet'!$B$10,Paramètres!$A$1:$I$89,5,0)</f>
        <v>120.21494333333335</v>
      </c>
      <c r="AK35" s="13">
        <f t="shared" si="35"/>
        <v>31.725126074196275</v>
      </c>
      <c r="AL35" s="20">
        <f t="shared" si="4"/>
        <v>264.62895421811407</v>
      </c>
      <c r="AM35" s="59">
        <f t="shared" si="5"/>
        <v>557.96228755144739</v>
      </c>
      <c r="AN35" s="59">
        <f ca="1">AVERAGE(OFFSET($AM$3,0,0,'Données projet'!$E$10+1,1))-AVERAGE(OFFSET($H$3,0,0,'Données projet'!$E$10+1,1))</f>
        <v>349.71285006949597</v>
      </c>
      <c r="AO35" s="59">
        <f t="shared" si="36"/>
        <v>258.51550516456842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6.9182561744361832</v>
      </c>
      <c r="AV35" s="21">
        <f>EXP(-LN(2)/25)*AV34+(1-EXP(-LN(2)/25))/(LN(2)/25)*Calculateur!AQ35*Calculateur!AS35*VLOOKUP('Données projet'!$B$10,Paramètres!$A$1:$I$89,3,0)*0.475*44/12</f>
        <v>9.5906695448166612</v>
      </c>
      <c r="AW35" s="21">
        <f>EXP(-LN(2)/2)*AW34+(1-EXP(-LN(2)/2))/(LN(2)/2)*AQ35*AT35*VLOOKUP('Données projet'!$B$10,Paramètres!$A$1:$I$89,3,0)*0.475*44/12</f>
        <v>2.1482339304978915</v>
      </c>
      <c r="AX35" s="21">
        <f t="shared" si="6"/>
        <v>18.657159649750735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17.804285714285715</v>
      </c>
      <c r="BD35" s="12">
        <f>IF('Données projet'!$A$88&gt;35,BD34+BC35-BL34,IF(A35&lt;'Données projet'!$A$88,$BA$205^A35,IF(A35='Données projet'!$A$88,'Données projet'!$B$88,BD34+BC35-BL34)))</f>
        <v>241.35285714285718</v>
      </c>
      <c r="BE35" s="13">
        <f>BD35*VLOOKUP('Données projet'!$B$11,Paramètres!$A$1:$I$89,3,0)*VLOOKUP('Données projet'!$B$11,Paramètres!$A$1:$I$89,5,0)</f>
        <v>144.3290085714286</v>
      </c>
      <c r="BF35" s="13">
        <f t="shared" si="37"/>
        <v>37.286956054873187</v>
      </c>
      <c r="BG35" s="20">
        <f t="shared" si="7"/>
        <v>316.31447172414227</v>
      </c>
      <c r="BH35" s="59">
        <f t="shared" si="8"/>
        <v>609.64780505747558</v>
      </c>
      <c r="BI35" s="59">
        <f ca="1">AVERAGE(OFFSET($BH$3,0,0,'Données projet'!$E$11+1,1))-AVERAGE(OFFSET($H$3,0,0,'Données projet'!$E$11+1,1))</f>
        <v>302.00825291248458</v>
      </c>
      <c r="BJ35" s="59">
        <f t="shared" si="38"/>
        <v>307.35115839449355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15.453494074440854</v>
      </c>
      <c r="BQ35" s="21">
        <f>EXP(-LN(2)/25)*BQ34+(1-EXP(-LN(2)/25))/(LN(2)/25)*Calculateur!BL35*Calculateur!BN35*VLOOKUP('Données projet'!$B$11,Paramètres!$A$1:$I$89,3,0)*0.475*44/12</f>
        <v>14.410807983685553</v>
      </c>
      <c r="BR35" s="21">
        <f>EXP(-LN(2)/2)*BR34+(1-EXP(-LN(2)/2))/(LN(2)/2)*BL35*BO35*VLOOKUP('Données projet'!$B$11,Paramètres!$A$1:$I$89,3,0)*0.475*44/12</f>
        <v>3.3724857871063376</v>
      </c>
      <c r="BS35" s="22">
        <f t="shared" si="9"/>
        <v>33.23678784523274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7.7715686274509812</v>
      </c>
      <c r="BY35" s="12">
        <f>IF('Données projet'!$A$114&gt;35,BY34+BX35-CG34,IF(A35&lt;'Données projet'!$A$114,$BV$205^A35,IF(A35='Données projet'!$A$114,'Données projet'!$B$114,BY34+BX35-CG34)))</f>
        <v>248.69019607843148</v>
      </c>
      <c r="BZ35" s="13">
        <f>BY35*VLOOKUP('Données projet'!$B$12,Paramètres!$A$1:$I$89,3,0)*VLOOKUP('Données projet'!$B$12,Paramètres!$A$1:$I$89,5,0)</f>
        <v>116.38701176470595</v>
      </c>
      <c r="CA35" s="13">
        <f t="shared" si="39"/>
        <v>30.830835696933189</v>
      </c>
      <c r="CB35" s="20">
        <f t="shared" si="10"/>
        <v>256.40441766235483</v>
      </c>
      <c r="CC35" s="59">
        <f t="shared" si="11"/>
        <v>549.7377509956882</v>
      </c>
      <c r="CD35" s="59">
        <f ca="1">AVERAGE(OFFSET($CC$3,0,0,'Données projet'!$E$12+1,1))-AVERAGE(OFFSET($H$3,0,0,'Données projet'!$E$12+1,1))</f>
        <v>337.10499990421835</v>
      </c>
      <c r="CE35" s="59">
        <f t="shared" si="40"/>
        <v>277.4254079562175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3.3603333333333336</v>
      </c>
      <c r="CT35" s="12">
        <f>IF('Données projet'!$A$140&gt;35,CT34+CS35-DB34,IF(A35&lt;'Données projet'!$A$140,$CQ$205^A35,IF(A35='Données projet'!$A$140,'Données projet'!$B$140,CT34+CS35-DB34)))</f>
        <v>107.53066666666666</v>
      </c>
      <c r="CU35" s="17">
        <f>CT35*VLOOKUP('Données projet'!$B$13,Paramètres!$A$1:$I$89,3,0)*VLOOKUP('Données projet'!$B$13,Paramètres!$A$1:$I$89,5,0)</f>
        <v>107.3586176</v>
      </c>
      <c r="CV35" s="13">
        <f t="shared" si="41"/>
        <v>28.707776678949809</v>
      </c>
      <c r="CW35" s="20">
        <f t="shared" si="13"/>
        <v>236.98230336917092</v>
      </c>
      <c r="CX35" s="59">
        <f t="shared" si="14"/>
        <v>530.31563670250421</v>
      </c>
      <c r="CY35" s="59">
        <f ca="1">AVERAGE(OFFSET($CX$3,0,0,'Données projet'!$E$13+1,1))-AVERAGE(OFFSET($H$3,0,0,'Données projet'!$E$13+1,1))</f>
        <v>525.74725170626471</v>
      </c>
      <c r="CZ35" s="59">
        <f t="shared" si="42"/>
        <v>259.19103598192197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4.5856818181818184</v>
      </c>
      <c r="DO35" s="12">
        <f>IF('Données projet'!$A$166&gt;35,DO34+DN35-DW34,IF(A35&lt;'Données projet'!$A$166,$DL$205^A35,IF(A35='Données projet'!$A$166,'Données projet'!$B$166,DO34+DN35-DW34)))</f>
        <v>146.7418181818183</v>
      </c>
      <c r="DP35" s="17">
        <f>DO35*VLOOKUP('Données projet'!$B$14,Paramètres!$A$1:$I$89,3,0)*VLOOKUP('Données projet'!$B$14,Paramètres!$A$1:$I$89,5,0)</f>
        <v>132.7719970909092</v>
      </c>
      <c r="DQ35" s="13">
        <f t="shared" si="43"/>
        <v>34.636097814184424</v>
      </c>
      <c r="DR35" s="20">
        <f t="shared" si="16"/>
        <v>291.56909862637139</v>
      </c>
      <c r="DS35" s="59">
        <f t="shared" si="17"/>
        <v>584.9024319597047</v>
      </c>
      <c r="DT35" s="59">
        <f ca="1">AVERAGE(OFFSET($DS$3,0,0,'Données projet'!$E$14+1,1))-AVERAGE(OFFSET($H$3,0,0,'Données projet'!$E$14+1,1))</f>
        <v>490.06222615476065</v>
      </c>
      <c r="DU35" s="59">
        <f t="shared" si="44"/>
        <v>310.43914804089906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3.3603333333333336</v>
      </c>
      <c r="EJ35" s="12">
        <f>IF('Données projet'!$A$192&gt;35,EJ34+EI35-ER34,IF(A35&lt;'Données projet'!$A$192,$EG$205^A35,IF(A35='Données projet'!$A$192,'Données projet'!$B$192,EJ34+EI35-ER34)))</f>
        <v>107.53066666666666</v>
      </c>
      <c r="EK35" s="17">
        <f>EJ35*VLOOKUP('Données projet'!$B$15,Paramètres!$A$1:$I$89,3,0)*VLOOKUP('Données projet'!$B$15,Paramètres!$A$1:$I$89,5,0)</f>
        <v>109.036096</v>
      </c>
      <c r="EL35" s="13">
        <f t="shared" si="45"/>
        <v>29.103765071483942</v>
      </c>
      <c r="EM35" s="20">
        <f t="shared" si="19"/>
        <v>240.59359136616786</v>
      </c>
      <c r="EN35" s="59">
        <f t="shared" si="20"/>
        <v>533.92692469950111</v>
      </c>
      <c r="EO35" s="59">
        <f ca="1">AVERAGE(OFFSET($EN$3,0,0,'Données projet'!$E$15+1,1))-AVERAGE(OFFSET($H$3,0,0,'Données projet'!$E$15+1,1))</f>
        <v>533.26035274112917</v>
      </c>
      <c r="EP35" s="59">
        <f t="shared" si="46"/>
        <v>262.58149402282521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4.6153846153846132</v>
      </c>
      <c r="FE35" s="12">
        <f>IF('Données projet'!$A$218&gt;35,FE34+FD35-FM34,IF(A35&lt;'Données projet'!$A$218,$FB$205^A35,IF(A35='Données projet'!$A$218,'Données projet'!$B$218,FE34+FD35-FM34)))</f>
        <v>72.692307692307679</v>
      </c>
      <c r="FF35" s="17">
        <f>FE35*VLOOKUP('Données projet'!$B$16,Paramètres!$A$1:$I$89,3,0)*VLOOKUP('Données projet'!$B$16,Paramètres!$A$1:$I$89,5,0)</f>
        <v>75.977999999999994</v>
      </c>
      <c r="FG35" s="13">
        <f t="shared" si="47"/>
        <v>21.150851474041477</v>
      </c>
      <c r="FH35" s="20">
        <f t="shared" si="22"/>
        <v>169.16608298395553</v>
      </c>
      <c r="FI35" s="59">
        <f t="shared" si="23"/>
        <v>462.49941631728882</v>
      </c>
      <c r="FJ35" s="59">
        <f ca="1">AVERAGE(OFFSET($FI$3,0,0,'Données projet'!$E$16+1,1))-AVERAGE(OFFSET($H$3,0,0,'Données projet'!$E$16+1,1))</f>
        <v>239.26156489359892</v>
      </c>
      <c r="FK35" s="59">
        <f t="shared" si="48"/>
        <v>213.97034450798111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8.7812571287262511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8.7812571287262511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4.016578947368421</v>
      </c>
      <c r="N36" s="13">
        <f>IF('Données projet'!$A$36&gt;35,N35+M36-V35,IF(A36&lt;'Données projet'!$A$36,$K$205^A36,IF(A36='Données projet'!$A$36,'Données projet'!$B$36,N35+M36-V35)))</f>
        <v>132.54710526315785</v>
      </c>
      <c r="O36" s="13">
        <f>N36*VLOOKUP('Données projet'!$B$9,Paramètres!$A$1:$I$89,3,0)*VLOOKUP('Données projet'!$B$9,Paramètres!$A$1:$I$89,5,0)</f>
        <v>126.131825368421</v>
      </c>
      <c r="P36" s="13">
        <f t="shared" si="33"/>
        <v>33.100972455620806</v>
      </c>
      <c r="Q36" s="20">
        <f t="shared" si="53"/>
        <v>277.33045621020614</v>
      </c>
      <c r="R36" s="59">
        <f t="shared" si="0"/>
        <v>570.66378954353945</v>
      </c>
      <c r="S36" s="59">
        <f ca="1">AVERAGE(OFFSET($R$3,0,0,'Données projet'!$E$9+1,1))-AVERAGE(OFFSET($H$3,0,0,'Données projet'!$E$9+1,1))</f>
        <v>449.28947235329758</v>
      </c>
      <c r="T36" s="59">
        <f t="shared" si="34"/>
        <v>289.36994109443964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>
        <f>VLOOKUP(A36,'Données projet'!$A$61:$I$81,2,0)</f>
        <v>217.65</v>
      </c>
      <c r="AG36" s="12">
        <f>VLOOKUP(A36,'Données projet'!$A$61:$I$81,9,0)</f>
        <v>16.621666666666666</v>
      </c>
      <c r="AH36" s="12">
        <f t="array" ref="AH36">INDEX(AG:AG,MIN(IF(ISNUMBER(AG36:AG232),ROW(AG36:AG232),"")))</f>
        <v>16.621666666666666</v>
      </c>
      <c r="AI36" s="13">
        <f>IF('Données projet'!$A$62&gt;35,AI35+AH36-AQ35,IF(A36&lt;'Données projet'!$A$62,$AF$205^A36,IF(A36='Données projet'!$A$62,'Données projet'!$B$62,AI35+AH36-AQ35)))</f>
        <v>217.65000000000003</v>
      </c>
      <c r="AJ36" s="13">
        <f>AI36*VLOOKUP('Données projet'!$B$10,Paramètres!$A$1:$I$89,3,0)*VLOOKUP('Données projet'!$B$10,Paramètres!$A$1:$I$89,5,0)</f>
        <v>130.15470000000002</v>
      </c>
      <c r="AK36" s="13">
        <f t="shared" si="35"/>
        <v>34.032103485601695</v>
      </c>
      <c r="AL36" s="20">
        <f t="shared" si="4"/>
        <v>285.95868273742298</v>
      </c>
      <c r="AM36" s="59">
        <f t="shared" si="5"/>
        <v>579.29201607075629</v>
      </c>
      <c r="AN36" s="59">
        <f ca="1">AVERAGE(OFFSET($AM$3,0,0,'Données projet'!$E$10+1,1))-AVERAGE(OFFSET($H$3,0,0,'Données projet'!$E$10+1,1))</f>
        <v>349.71285006949597</v>
      </c>
      <c r="AO36" s="59">
        <f t="shared" si="36"/>
        <v>258.51550516456842</v>
      </c>
      <c r="AP36" s="15">
        <f>IF(ISNA(VLOOKUP(A36,'Données projet'!$A$61:$I$81,3,0)),0,VLOOKUP(A36,'Données projet'!$A$61:$I$81,3,0))</f>
        <v>3</v>
      </c>
      <c r="AQ36" s="15">
        <f>IF(ISNA(VLOOKUP(A36,'Données projet'!$A$61:$I$81,4,0)),0,VLOOKUP(A36,'Données projet'!$A$61:$I$81,4,0))</f>
        <v>50.460000000000008</v>
      </c>
      <c r="AR36" s="16">
        <f>IF(ISNA(VLOOKUP(A36,'Données projet'!$A$61:$I$81,5,0)),0%,VLOOKUP(A36,'Données projet'!$A$61:$I$81,5,0)*VLOOKUP('Données projet'!$B$10,Paramètres!$A$1:$I$89,7,0))</f>
        <v>0.1125</v>
      </c>
      <c r="AS36" s="16">
        <f>IF(ISNA(VLOOKUP(A36,'Données projet'!$A$61:$I$81,6,0)),0%,VLOOKUP(A36,'Données projet'!$A$61:$I$81,6,0)*VLOOKUP('Données projet'!$B$10,Paramètres!$A$1:$I$89,7,0))</f>
        <v>0.16650000000000001</v>
      </c>
      <c r="AT36" s="16">
        <f>IF(ISNA(VLOOKUP(A36,'Données projet'!$A$61:$I$81,7,0)),0%,VLOOKUP(A36,'Données projet'!$A$61:$I$81,7,0))</f>
        <v>0.38</v>
      </c>
      <c r="AU36" s="21">
        <f>EXP(-LN(2)/35)*AU35+(1-EXP(-LN(2)/35))/(LN(2)/35)*AQ36*AR36*VLOOKUP('Données projet'!$B$10,Paramètres!$A$1:$I$89,3,0)*0.475*44/12</f>
        <v>11.285877104480107</v>
      </c>
      <c r="AV36" s="21">
        <f>EXP(-LN(2)/25)*AV35+(1-EXP(-LN(2)/25))/(LN(2)/25)*Calculateur!AQ36*Calculateur!AS36*VLOOKUP('Données projet'!$B$10,Paramètres!$A$1:$I$89,3,0)*0.475*44/12</f>
        <v>15.967029985418133</v>
      </c>
      <c r="AW36" s="21">
        <f>EXP(-LN(2)/2)*AW35+(1-EXP(-LN(2)/2))/(LN(2)/2)*AQ36*AT36*VLOOKUP('Données projet'!$B$10,Paramètres!$A$1:$I$89,3,0)*0.475*44/12</f>
        <v>14.501806839279157</v>
      </c>
      <c r="AX36" s="21">
        <f t="shared" si="6"/>
        <v>41.754713929177399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17.804285714285715</v>
      </c>
      <c r="BD36" s="12">
        <f>IF('Données projet'!$A$88&gt;35,BD35+BC36-BL35,IF(A36&lt;'Données projet'!$A$88,$BA$205^A36,IF(A36='Données projet'!$A$88,'Données projet'!$B$88,BD35+BC36-BL35)))</f>
        <v>259.1571428571429</v>
      </c>
      <c r="BE36" s="13">
        <f>BD36*VLOOKUP('Données projet'!$B$11,Paramètres!$A$1:$I$89,3,0)*VLOOKUP('Données projet'!$B$11,Paramètres!$A$1:$I$89,5,0)</f>
        <v>154.97597142857146</v>
      </c>
      <c r="BF36" s="13">
        <f t="shared" si="37"/>
        <v>39.70723624796571</v>
      </c>
      <c r="BG36" s="20">
        <f t="shared" si="7"/>
        <v>339.07325336996888</v>
      </c>
      <c r="BH36" s="59">
        <f t="shared" si="8"/>
        <v>632.4065867033022</v>
      </c>
      <c r="BI36" s="59">
        <f ca="1">AVERAGE(OFFSET($BH$3,0,0,'Données projet'!$E$11+1,1))-AVERAGE(OFFSET($H$3,0,0,'Données projet'!$E$11+1,1))</f>
        <v>302.00825291248458</v>
      </c>
      <c r="BJ36" s="59">
        <f t="shared" si="38"/>
        <v>307.35115839449355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15.150460481341744</v>
      </c>
      <c r="BQ36" s="21">
        <f>EXP(-LN(2)/25)*BQ35+(1-EXP(-LN(2)/25))/(LN(2)/25)*Calculateur!BL36*Calculateur!BN36*VLOOKUP('Données projet'!$B$11,Paramètres!$A$1:$I$89,3,0)*0.475*44/12</f>
        <v>14.016743681540216</v>
      </c>
      <c r="BR36" s="21">
        <f>EXP(-LN(2)/2)*BR35+(1-EXP(-LN(2)/2))/(LN(2)/2)*BL36*BO36*VLOOKUP('Données projet'!$B$11,Paramètres!$A$1:$I$89,3,0)*0.475*44/12</f>
        <v>2.3847075695181426</v>
      </c>
      <c r="BS36" s="22">
        <f t="shared" si="9"/>
        <v>31.5519117324001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7.7715686274509812</v>
      </c>
      <c r="BY36" s="12">
        <f>IF('Données projet'!$A$114&gt;35,BY35+BX36-CG35,IF(A36&lt;'Données projet'!$A$114,$BV$205^A36,IF(A36='Données projet'!$A$114,'Données projet'!$B$114,BY35+BX36-CG35)))</f>
        <v>256.46176470588244</v>
      </c>
      <c r="BZ36" s="13">
        <f>BY36*VLOOKUP('Données projet'!$B$12,Paramètres!$A$1:$I$89,3,0)*VLOOKUP('Données projet'!$B$12,Paramètres!$A$1:$I$89,5,0)</f>
        <v>120.02410588235298</v>
      </c>
      <c r="CA36" s="13">
        <f t="shared" si="39"/>
        <v>31.680621529590983</v>
      </c>
      <c r="CB36" s="20">
        <f t="shared" si="10"/>
        <v>264.21906690913573</v>
      </c>
      <c r="CC36" s="59">
        <f t="shared" si="11"/>
        <v>557.55240024246905</v>
      </c>
      <c r="CD36" s="59">
        <f ca="1">AVERAGE(OFFSET($CC$3,0,0,'Données projet'!$E$12+1,1))-AVERAGE(OFFSET($H$3,0,0,'Données projet'!$E$12+1,1))</f>
        <v>337.10499990421835</v>
      </c>
      <c r="CE36" s="59">
        <f t="shared" si="40"/>
        <v>277.4254079562175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3.3603333333333336</v>
      </c>
      <c r="CT36" s="12">
        <f>IF('Données projet'!$A$140&gt;35,CT35+CS36-DB35,IF(A36&lt;'Données projet'!$A$140,$CQ$205^A36,IF(A36='Données projet'!$A$140,'Données projet'!$B$140,CT35+CS36-DB35)))</f>
        <v>110.89099999999999</v>
      </c>
      <c r="CU36" s="17">
        <f>CT36*VLOOKUP('Données projet'!$B$13,Paramètres!$A$1:$I$89,3,0)*VLOOKUP('Données projet'!$B$13,Paramètres!$A$1:$I$89,5,0)</f>
        <v>110.71357439999998</v>
      </c>
      <c r="CV36" s="13">
        <f t="shared" si="41"/>
        <v>29.499044945197358</v>
      </c>
      <c r="CW36" s="20">
        <f t="shared" si="13"/>
        <v>244.20364535955198</v>
      </c>
      <c r="CX36" s="59">
        <f t="shared" si="14"/>
        <v>537.53697869288533</v>
      </c>
      <c r="CY36" s="59">
        <f ca="1">AVERAGE(OFFSET($CX$3,0,0,'Données projet'!$E$13+1,1))-AVERAGE(OFFSET($H$3,0,0,'Données projet'!$E$13+1,1))</f>
        <v>525.74725170626471</v>
      </c>
      <c r="CZ36" s="59">
        <f t="shared" si="42"/>
        <v>259.19103598192197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4.5856818181818184</v>
      </c>
      <c r="DO36" s="12">
        <f>IF('Données projet'!$A$166&gt;35,DO35+DN36-DW35,IF(A36&lt;'Données projet'!$A$166,$DL$205^A36,IF(A36='Données projet'!$A$166,'Données projet'!$B$166,DO35+DN36-DW35)))</f>
        <v>151.32750000000013</v>
      </c>
      <c r="DP36" s="17">
        <f>DO36*VLOOKUP('Données projet'!$B$14,Paramètres!$A$1:$I$89,3,0)*VLOOKUP('Données projet'!$B$14,Paramètres!$A$1:$I$89,5,0)</f>
        <v>136.92112200000011</v>
      </c>
      <c r="DQ36" s="13">
        <f t="shared" si="43"/>
        <v>35.5907675322022</v>
      </c>
      <c r="DR36" s="20">
        <f t="shared" si="16"/>
        <v>300.45820760191901</v>
      </c>
      <c r="DS36" s="59">
        <f t="shared" si="17"/>
        <v>593.79154093525233</v>
      </c>
      <c r="DT36" s="59">
        <f ca="1">AVERAGE(OFFSET($DS$3,0,0,'Données projet'!$E$14+1,1))-AVERAGE(OFFSET($H$3,0,0,'Données projet'!$E$14+1,1))</f>
        <v>490.06222615476065</v>
      </c>
      <c r="DU36" s="59">
        <f t="shared" si="44"/>
        <v>310.43914804089906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3.3603333333333336</v>
      </c>
      <c r="EJ36" s="12">
        <f>IF('Données projet'!$A$192&gt;35,EJ35+EI36-ER35,IF(A36&lt;'Données projet'!$A$192,$EG$205^A36,IF(A36='Données projet'!$A$192,'Données projet'!$B$192,EJ35+EI36-ER35)))</f>
        <v>110.89099999999999</v>
      </c>
      <c r="EK36" s="17">
        <f>EJ36*VLOOKUP('Données projet'!$B$15,Paramètres!$A$1:$I$89,3,0)*VLOOKUP('Données projet'!$B$15,Paramètres!$A$1:$I$89,5,0)</f>
        <v>112.44347399999999</v>
      </c>
      <c r="EL36" s="13">
        <f t="shared" si="45"/>
        <v>29.905947908104487</v>
      </c>
      <c r="EM36" s="20">
        <f t="shared" si="19"/>
        <v>247.92524315661532</v>
      </c>
      <c r="EN36" s="59">
        <f t="shared" si="20"/>
        <v>541.25857648994861</v>
      </c>
      <c r="EO36" s="59">
        <f ca="1">AVERAGE(OFFSET($EN$3,0,0,'Données projet'!$E$15+1,1))-AVERAGE(OFFSET($H$3,0,0,'Données projet'!$E$15+1,1))</f>
        <v>533.26035274112917</v>
      </c>
      <c r="EP36" s="59">
        <f t="shared" si="46"/>
        <v>262.58149402282521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4.6153846153846132</v>
      </c>
      <c r="FE36" s="12">
        <f>IF('Données projet'!$A$218&gt;35,FE35+FD36-FM35,IF(A36&lt;'Données projet'!$A$218,$FB$205^A36,IF(A36='Données projet'!$A$218,'Données projet'!$B$218,FE35+FD36-FM35)))</f>
        <v>77.307692307692292</v>
      </c>
      <c r="FF36" s="17">
        <f>FE36*VLOOKUP('Données projet'!$B$16,Paramètres!$A$1:$I$89,3,0)*VLOOKUP('Données projet'!$B$16,Paramètres!$A$1:$I$89,5,0)</f>
        <v>80.801999999999992</v>
      </c>
      <c r="FG36" s="13">
        <f t="shared" si="47"/>
        <v>22.333163311057419</v>
      </c>
      <c r="FH36" s="20">
        <f t="shared" si="22"/>
        <v>179.62707610009167</v>
      </c>
      <c r="FI36" s="59">
        <f t="shared" si="23"/>
        <v>472.96040943342496</v>
      </c>
      <c r="FJ36" s="59">
        <f ca="1">AVERAGE(OFFSET($FI$3,0,0,'Données projet'!$E$16+1,1))-AVERAGE(OFFSET($H$3,0,0,'Données projet'!$E$16+1,1))</f>
        <v>239.26156489359892</v>
      </c>
      <c r="FK36" s="59">
        <f t="shared" si="48"/>
        <v>213.97034450798111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8.541133190754989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8.541133190754989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4.016578947368421</v>
      </c>
      <c r="N37" s="13">
        <f>IF('Données projet'!$A$36&gt;35,N36+M37-V36,IF(A37&lt;'Données projet'!$A$36,$K$205^A37,IF(A37='Données projet'!$A$36,'Données projet'!$B$36,N36+M37-V36)))</f>
        <v>136.56368421052628</v>
      </c>
      <c r="O37" s="13">
        <f>N37*VLOOKUP('Données projet'!$B$9,Paramètres!$A$1:$I$89,3,0)*VLOOKUP('Données projet'!$B$9,Paramètres!$A$1:$I$89,5,0)</f>
        <v>129.95400189473682</v>
      </c>
      <c r="P37" s="13">
        <f t="shared" si="33"/>
        <v>33.985730301853138</v>
      </c>
      <c r="Q37" s="20">
        <f t="shared" si="53"/>
        <v>285.52836690906082</v>
      </c>
      <c r="R37" s="59">
        <f t="shared" si="0"/>
        <v>578.86170024239414</v>
      </c>
      <c r="S37" s="59">
        <f ca="1">AVERAGE(OFFSET($R$3,0,0,'Données projet'!$E$9+1,1))-AVERAGE(OFFSET($H$3,0,0,'Données projet'!$E$9+1,1))</f>
        <v>449.28947235329758</v>
      </c>
      <c r="T37" s="59">
        <f t="shared" si="34"/>
        <v>289.36994109443964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16.693750000000001</v>
      </c>
      <c r="AI37" s="13">
        <f>IF('Données projet'!$A$62&gt;35,AI36+AH37-AQ36,IF(A37&lt;'Données projet'!$A$62,$AF$205^A37,IF(A37='Données projet'!$A$62,'Données projet'!$B$62,AI36+AH37-AQ36)))</f>
        <v>183.88375000000002</v>
      </c>
      <c r="AJ37" s="13">
        <f>AI37*VLOOKUP('Données projet'!$B$10,Paramètres!$A$1:$I$89,3,0)*VLOOKUP('Données projet'!$B$10,Paramètres!$A$1:$I$89,5,0)</f>
        <v>109.96248250000002</v>
      </c>
      <c r="AK37" s="13">
        <f t="shared" si="35"/>
        <v>29.322144981447174</v>
      </c>
      <c r="AL37" s="20">
        <f t="shared" si="4"/>
        <v>242.58739286352048</v>
      </c>
      <c r="AM37" s="59">
        <f t="shared" si="5"/>
        <v>535.92072619685382</v>
      </c>
      <c r="AN37" s="59">
        <f ca="1">AVERAGE(OFFSET($AM$3,0,0,'Données projet'!$E$10+1,1))-AVERAGE(OFFSET($H$3,0,0,'Données projet'!$E$10+1,1))</f>
        <v>349.71285006949597</v>
      </c>
      <c r="AO37" s="59">
        <f t="shared" si="36"/>
        <v>258.51550516456842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11.064567938166578</v>
      </c>
      <c r="AV37" s="21">
        <f>EXP(-LN(2)/25)*AV36+(1-EXP(-LN(2)/25))/(LN(2)/25)*Calculateur!AQ37*Calculateur!AS37*VLOOKUP('Données projet'!$B$10,Paramètres!$A$1:$I$89,3,0)*0.475*44/12</f>
        <v>15.530410710797261</v>
      </c>
      <c r="AW37" s="21">
        <f>EXP(-LN(2)/2)*AW36+(1-EXP(-LN(2)/2))/(LN(2)/2)*AQ37*AT37*VLOOKUP('Données projet'!$B$10,Paramètres!$A$1:$I$89,3,0)*0.475*44/12</f>
        <v>10.254325955511746</v>
      </c>
      <c r="AX37" s="21">
        <f t="shared" si="6"/>
        <v>36.849304604475584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17.804285714285715</v>
      </c>
      <c r="BD37" s="12">
        <f>IF('Données projet'!$A$88&gt;35,BD36+BC37-BL36,IF(A37&lt;'Données projet'!$A$88,$BA$205^A37,IF(A37='Données projet'!$A$88,'Données projet'!$B$88,BD36+BC37-BL36)))</f>
        <v>276.9614285714286</v>
      </c>
      <c r="BE37" s="13">
        <f>BD37*VLOOKUP('Données projet'!$B$11,Paramètres!$A$1:$I$89,3,0)*VLOOKUP('Données projet'!$B$11,Paramètres!$A$1:$I$89,5,0)</f>
        <v>165.62293428571431</v>
      </c>
      <c r="BF37" s="13">
        <f t="shared" si="37"/>
        <v>42.108223194605671</v>
      </c>
      <c r="BG37" s="20">
        <f t="shared" si="7"/>
        <v>361.7984326115573</v>
      </c>
      <c r="BH37" s="59">
        <f t="shared" si="8"/>
        <v>655.13176594489062</v>
      </c>
      <c r="BI37" s="59">
        <f ca="1">AVERAGE(OFFSET($BH$3,0,0,'Données projet'!$E$11+1,1))-AVERAGE(OFFSET($H$3,0,0,'Données projet'!$E$11+1,1))</f>
        <v>302.00825291248458</v>
      </c>
      <c r="BJ37" s="59">
        <f t="shared" si="38"/>
        <v>307.35115839449355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14.853369192171066</v>
      </c>
      <c r="BQ37" s="21">
        <f>EXP(-LN(2)/25)*BQ36+(1-EXP(-LN(2)/25))/(LN(2)/25)*Calculateur!BL37*Calculateur!BN37*VLOOKUP('Données projet'!$B$11,Paramètres!$A$1:$I$89,3,0)*0.475*44/12</f>
        <v>13.633455088459984</v>
      </c>
      <c r="BR37" s="21">
        <f>EXP(-LN(2)/2)*BR36+(1-EXP(-LN(2)/2))/(LN(2)/2)*BL37*BO37*VLOOKUP('Données projet'!$B$11,Paramètres!$A$1:$I$89,3,0)*0.475*44/12</f>
        <v>1.6862428935531688</v>
      </c>
      <c r="BS37" s="22">
        <f t="shared" si="9"/>
        <v>30.173067174184215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7.7715686274509812</v>
      </c>
      <c r="BY37" s="12">
        <f>IF('Données projet'!$A$114&gt;35,BY36+BX37-CG36,IF(A37&lt;'Données projet'!$A$114,$BV$205^A37,IF(A37='Données projet'!$A$114,'Données projet'!$B$114,BY36+BX37-CG36)))</f>
        <v>264.23333333333341</v>
      </c>
      <c r="BZ37" s="13">
        <f>BY37*VLOOKUP('Données projet'!$B$12,Paramètres!$A$1:$I$89,3,0)*VLOOKUP('Données projet'!$B$12,Paramètres!$A$1:$I$89,5,0)</f>
        <v>123.66120000000004</v>
      </c>
      <c r="CA37" s="13">
        <f t="shared" si="39"/>
        <v>32.527414732098869</v>
      </c>
      <c r="CB37" s="20">
        <f t="shared" si="10"/>
        <v>272.02850399173889</v>
      </c>
      <c r="CC37" s="59">
        <f t="shared" si="11"/>
        <v>565.3618373250722</v>
      </c>
      <c r="CD37" s="59">
        <f ca="1">AVERAGE(OFFSET($CC$3,0,0,'Données projet'!$E$12+1,1))-AVERAGE(OFFSET($H$3,0,0,'Données projet'!$E$12+1,1))</f>
        <v>337.10499990421835</v>
      </c>
      <c r="CE37" s="59">
        <f t="shared" si="40"/>
        <v>277.4254079562175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3.3603333333333336</v>
      </c>
      <c r="CT37" s="12">
        <f>IF('Données projet'!$A$140&gt;35,CT36+CS37-DB36,IF(A37&lt;'Données projet'!$A$140,$CQ$205^A37,IF(A37='Données projet'!$A$140,'Données projet'!$B$140,CT36+CS37-DB36)))</f>
        <v>114.25133333333332</v>
      </c>
      <c r="CU37" s="17">
        <f>CT37*VLOOKUP('Données projet'!$B$13,Paramètres!$A$1:$I$89,3,0)*VLOOKUP('Données projet'!$B$13,Paramètres!$A$1:$I$89,5,0)</f>
        <v>114.0685312</v>
      </c>
      <c r="CV37" s="13">
        <f t="shared" si="41"/>
        <v>30.287526658434505</v>
      </c>
      <c r="CW37" s="20">
        <f t="shared" si="13"/>
        <v>251.42013410344009</v>
      </c>
      <c r="CX37" s="59">
        <f t="shared" si="14"/>
        <v>544.75346743677346</v>
      </c>
      <c r="CY37" s="59">
        <f ca="1">AVERAGE(OFFSET($CX$3,0,0,'Données projet'!$E$13+1,1))-AVERAGE(OFFSET($H$3,0,0,'Données projet'!$E$13+1,1))</f>
        <v>525.74725170626471</v>
      </c>
      <c r="CZ37" s="59">
        <f t="shared" si="42"/>
        <v>259.19103598192197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4.5856818181818184</v>
      </c>
      <c r="DO37" s="12">
        <f>IF('Données projet'!$A$166&gt;35,DO36+DN37-DW36,IF(A37&lt;'Données projet'!$A$166,$DL$205^A37,IF(A37='Données projet'!$A$166,'Données projet'!$B$166,DO36+DN37-DW36)))</f>
        <v>155.91318181818195</v>
      </c>
      <c r="DP37" s="17">
        <f>DO37*VLOOKUP('Données projet'!$B$14,Paramètres!$A$1:$I$89,3,0)*VLOOKUP('Données projet'!$B$14,Paramètres!$A$1:$I$89,5,0)</f>
        <v>141.07024690909103</v>
      </c>
      <c r="DQ37" s="13">
        <f t="shared" si="43"/>
        <v>36.542075257972613</v>
      </c>
      <c r="DR37" s="20">
        <f t="shared" si="16"/>
        <v>309.34146110763578</v>
      </c>
      <c r="DS37" s="59">
        <f t="shared" si="17"/>
        <v>602.67479444096909</v>
      </c>
      <c r="DT37" s="59">
        <f ca="1">AVERAGE(OFFSET($DS$3,0,0,'Données projet'!$E$14+1,1))-AVERAGE(OFFSET($H$3,0,0,'Données projet'!$E$14+1,1))</f>
        <v>490.06222615476065</v>
      </c>
      <c r="DU37" s="59">
        <f t="shared" si="44"/>
        <v>310.43914804089906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3.3603333333333336</v>
      </c>
      <c r="EJ37" s="12">
        <f>IF('Données projet'!$A$192&gt;35,EJ36+EI37-ER36,IF(A37&lt;'Données projet'!$A$192,$EG$205^A37,IF(A37='Données projet'!$A$192,'Données projet'!$B$192,EJ36+EI37-ER36)))</f>
        <v>114.25133333333332</v>
      </c>
      <c r="EK37" s="17">
        <f>EJ37*VLOOKUP('Données projet'!$B$15,Paramètres!$A$1:$I$89,3,0)*VLOOKUP('Données projet'!$B$15,Paramètres!$A$1:$I$89,5,0)</f>
        <v>115.85085199999999</v>
      </c>
      <c r="EL37" s="13">
        <f t="shared" si="45"/>
        <v>30.705305754650677</v>
      </c>
      <c r="EM37" s="20">
        <f t="shared" si="19"/>
        <v>255.25197475601655</v>
      </c>
      <c r="EN37" s="59">
        <f t="shared" si="20"/>
        <v>548.58530808934984</v>
      </c>
      <c r="EO37" s="59">
        <f ca="1">AVERAGE(OFFSET($EN$3,0,0,'Données projet'!$E$15+1,1))-AVERAGE(OFFSET($H$3,0,0,'Données projet'!$E$15+1,1))</f>
        <v>533.26035274112917</v>
      </c>
      <c r="EP37" s="59">
        <f t="shared" si="46"/>
        <v>262.58149402282521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4.6153846153846132</v>
      </c>
      <c r="FE37" s="12">
        <f>IF('Données projet'!$A$218&gt;35,FE36+FD37-FM36,IF(A37&lt;'Données projet'!$A$218,$FB$205^A37,IF(A37='Données projet'!$A$218,'Données projet'!$B$218,FE36+FD37-FM36)))</f>
        <v>81.923076923076906</v>
      </c>
      <c r="FF37" s="17">
        <f>FE37*VLOOKUP('Données projet'!$B$16,Paramètres!$A$1:$I$89,3,0)*VLOOKUP('Données projet'!$B$16,Paramètres!$A$1:$I$89,5,0)</f>
        <v>85.625999999999991</v>
      </c>
      <c r="FG37" s="13">
        <f t="shared" si="47"/>
        <v>23.507282308556064</v>
      </c>
      <c r="FH37" s="20">
        <f t="shared" si="22"/>
        <v>190.07380002073512</v>
      </c>
      <c r="FI37" s="59">
        <f t="shared" si="23"/>
        <v>483.40713335406843</v>
      </c>
      <c r="FJ37" s="59">
        <f ca="1">AVERAGE(OFFSET($FI$3,0,0,'Données projet'!$E$16+1,1))-AVERAGE(OFFSET($H$3,0,0,'Données projet'!$E$16+1,1))</f>
        <v>239.26156489359892</v>
      </c>
      <c r="FK37" s="59">
        <f t="shared" si="48"/>
        <v>213.97034450798111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8.3075754544951206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8.3075754544951206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4.016578947368421</v>
      </c>
      <c r="N38" s="13">
        <f>IF('Données projet'!$A$36&gt;35,N37+M38-V37,IF(A38&lt;'Données projet'!$A$36,$K$205^A38,IF(A38='Données projet'!$A$36,'Données projet'!$B$36,N37+M38-V37)))</f>
        <v>140.58026315789471</v>
      </c>
      <c r="O38" s="13">
        <f>N38*VLOOKUP('Données projet'!$B$9,Paramètres!$A$1:$I$89,3,0)*VLOOKUP('Données projet'!$B$9,Paramètres!$A$1:$I$89,5,0)</f>
        <v>133.77617842105261</v>
      </c>
      <c r="P38" s="13">
        <f t="shared" si="33"/>
        <v>34.867463871880652</v>
      </c>
      <c r="Q38" s="20">
        <f t="shared" si="53"/>
        <v>293.72101032685873</v>
      </c>
      <c r="R38" s="59">
        <f t="shared" si="0"/>
        <v>587.05434366019199</v>
      </c>
      <c r="S38" s="59">
        <f ca="1">AVERAGE(OFFSET($R$3,0,0,'Données projet'!$E$9+1,1))-AVERAGE(OFFSET($H$3,0,0,'Données projet'!$E$9+1,1))</f>
        <v>449.28947235329758</v>
      </c>
      <c r="T38" s="59">
        <f t="shared" si="34"/>
        <v>289.36994109443964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16.693750000000001</v>
      </c>
      <c r="AI38" s="13">
        <f>IF('Données projet'!$A$62&gt;35,AI37+AH38-AQ37,IF(A38&lt;'Données projet'!$A$62,$AF$205^A38,IF(A38='Données projet'!$A$62,'Données projet'!$B$62,AI37+AH38-AQ37)))</f>
        <v>200.57750000000001</v>
      </c>
      <c r="AJ38" s="13">
        <f>AI38*VLOOKUP('Données projet'!$B$10,Paramètres!$A$1:$I$89,3,0)*VLOOKUP('Données projet'!$B$10,Paramètres!$A$1:$I$89,5,0)</f>
        <v>119.94534500000002</v>
      </c>
      <c r="AK38" s="13">
        <f t="shared" si="35"/>
        <v>31.662251574949313</v>
      </c>
      <c r="AL38" s="20">
        <f t="shared" si="4"/>
        <v>264.04989736803674</v>
      </c>
      <c r="AM38" s="59">
        <f t="shared" si="5"/>
        <v>557.38323070137005</v>
      </c>
      <c r="AN38" s="59">
        <f ca="1">AVERAGE(OFFSET($AM$3,0,0,'Données projet'!$E$10+1,1))-AVERAGE(OFFSET($H$3,0,0,'Données projet'!$E$10+1,1))</f>
        <v>349.71285006949597</v>
      </c>
      <c r="AO38" s="59">
        <f t="shared" si="36"/>
        <v>258.51550516456842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10.847598509619193</v>
      </c>
      <c r="AV38" s="21">
        <f>EXP(-LN(2)/25)*AV37+(1-EXP(-LN(2)/25))/(LN(2)/25)*Calculateur!AQ38*Calculateur!AS38*VLOOKUP('Données projet'!$B$10,Paramètres!$A$1:$I$89,3,0)*0.475*44/12</f>
        <v>15.105730813201706</v>
      </c>
      <c r="AW38" s="21">
        <f>EXP(-LN(2)/2)*AW37+(1-EXP(-LN(2)/2))/(LN(2)/2)*AQ38*AT38*VLOOKUP('Données projet'!$B$10,Paramètres!$A$1:$I$89,3,0)*0.475*44/12</f>
        <v>7.2509034196395792</v>
      </c>
      <c r="AX38" s="21">
        <f t="shared" si="6"/>
        <v>33.204232742460476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17.804285714285715</v>
      </c>
      <c r="BD38" s="12">
        <f>IF('Données projet'!$A$88&gt;35,BD37+BC38-BL37,IF(A38&lt;'Données projet'!$A$88,$BA$205^A38,IF(A38='Données projet'!$A$88,'Données projet'!$B$88,BD37+BC38-BL37)))</f>
        <v>294.7657142857143</v>
      </c>
      <c r="BE38" s="13">
        <f>BD38*VLOOKUP('Données projet'!$B$11,Paramètres!$A$1:$I$89,3,0)*VLOOKUP('Données projet'!$B$11,Paramètres!$A$1:$I$89,5,0)</f>
        <v>176.26989714285719</v>
      </c>
      <c r="BF38" s="13">
        <f t="shared" si="37"/>
        <v>44.491298310145091</v>
      </c>
      <c r="BG38" s="20">
        <f t="shared" si="7"/>
        <v>384.49241541397896</v>
      </c>
      <c r="BH38" s="59">
        <f t="shared" si="8"/>
        <v>677.82574874731222</v>
      </c>
      <c r="BI38" s="59">
        <f ca="1">AVERAGE(OFFSET($BH$3,0,0,'Données projet'!$E$11+1,1))-AVERAGE(OFFSET($H$3,0,0,'Données projet'!$E$11+1,1))</f>
        <v>302.00825291248458</v>
      </c>
      <c r="BJ38" s="59">
        <f t="shared" si="38"/>
        <v>307.35115839449355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14.56210368197323</v>
      </c>
      <c r="BQ38" s="21">
        <f>EXP(-LN(2)/25)*BQ37+(1-EXP(-LN(2)/25))/(LN(2)/25)*Calculateur!BL38*Calculateur!BN38*VLOOKUP('Données projet'!$B$11,Paramètres!$A$1:$I$89,3,0)*0.475*44/12</f>
        <v>13.260647542113801</v>
      </c>
      <c r="BR38" s="21">
        <f>EXP(-LN(2)/2)*BR37+(1-EXP(-LN(2)/2))/(LN(2)/2)*BL38*BO38*VLOOKUP('Données projet'!$B$11,Paramètres!$A$1:$I$89,3,0)*0.475*44/12</f>
        <v>1.1923537847590713</v>
      </c>
      <c r="BS38" s="22">
        <f t="shared" si="9"/>
        <v>29.015105008846103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7.7715686274509812</v>
      </c>
      <c r="BY38" s="12">
        <f>IF('Données projet'!$A$114&gt;35,BY37+BX38-CG37,IF(A38&lt;'Données projet'!$A$114,$BV$205^A38,IF(A38='Données projet'!$A$114,'Données projet'!$B$114,BY37+BX38-CG37)))</f>
        <v>272.00490196078437</v>
      </c>
      <c r="BZ38" s="13">
        <f>BY38*VLOOKUP('Données projet'!$B$12,Paramètres!$A$1:$I$89,3,0)*VLOOKUP('Données projet'!$B$12,Paramètres!$A$1:$I$89,5,0)</f>
        <v>127.29829411764709</v>
      </c>
      <c r="CA38" s="13">
        <f t="shared" si="39"/>
        <v>33.371313429015686</v>
      </c>
      <c r="CB38" s="20">
        <f t="shared" si="10"/>
        <v>279.83289981043765</v>
      </c>
      <c r="CC38" s="59">
        <f t="shared" si="11"/>
        <v>573.16623314377102</v>
      </c>
      <c r="CD38" s="59">
        <f ca="1">AVERAGE(OFFSET($CC$3,0,0,'Données projet'!$E$12+1,1))-AVERAGE(OFFSET($H$3,0,0,'Données projet'!$E$12+1,1))</f>
        <v>337.10499990421835</v>
      </c>
      <c r="CE38" s="59">
        <f t="shared" si="40"/>
        <v>277.4254079562175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3.3603333333333336</v>
      </c>
      <c r="CT38" s="12">
        <f>IF('Données projet'!$A$140&gt;35,CT37+CS38-DB37,IF(A38&lt;'Données projet'!$A$140,$CQ$205^A38,IF(A38='Données projet'!$A$140,'Données projet'!$B$140,CT37+CS38-DB37)))</f>
        <v>117.61166666666665</v>
      </c>
      <c r="CU38" s="17">
        <f>CT38*VLOOKUP('Données projet'!$B$13,Paramètres!$A$1:$I$89,3,0)*VLOOKUP('Données projet'!$B$13,Paramètres!$A$1:$I$89,5,0)</f>
        <v>117.42348799999999</v>
      </c>
      <c r="CV38" s="13">
        <f t="shared" si="41"/>
        <v>31.073313186211099</v>
      </c>
      <c r="CW38" s="20">
        <f t="shared" si="13"/>
        <v>258.63192873265098</v>
      </c>
      <c r="CX38" s="59">
        <f t="shared" si="14"/>
        <v>551.96526206598423</v>
      </c>
      <c r="CY38" s="59">
        <f ca="1">AVERAGE(OFFSET($CX$3,0,0,'Données projet'!$E$13+1,1))-AVERAGE(OFFSET($H$3,0,0,'Données projet'!$E$13+1,1))</f>
        <v>525.74725170626471</v>
      </c>
      <c r="CZ38" s="59">
        <f t="shared" si="42"/>
        <v>259.19103598192197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4.5856818181818184</v>
      </c>
      <c r="DO38" s="12">
        <f>IF('Données projet'!$A$166&gt;35,DO37+DN38-DW37,IF(A38&lt;'Données projet'!$A$166,$DL$205^A38,IF(A38='Données projet'!$A$166,'Données projet'!$B$166,DO37+DN38-DW37)))</f>
        <v>160.49886363636378</v>
      </c>
      <c r="DP38" s="17">
        <f>DO38*VLOOKUP('Données projet'!$B$14,Paramètres!$A$1:$I$89,3,0)*VLOOKUP('Données projet'!$B$14,Paramètres!$A$1:$I$89,5,0)</f>
        <v>145.21937181818194</v>
      </c>
      <c r="DQ38" s="13">
        <f t="shared" si="43"/>
        <v>37.49013122697059</v>
      </c>
      <c r="DR38" s="20">
        <f t="shared" si="16"/>
        <v>318.21905113697397</v>
      </c>
      <c r="DS38" s="59">
        <f t="shared" si="17"/>
        <v>611.55238447030729</v>
      </c>
      <c r="DT38" s="59">
        <f ca="1">AVERAGE(OFFSET($DS$3,0,0,'Données projet'!$E$14+1,1))-AVERAGE(OFFSET($H$3,0,0,'Données projet'!$E$14+1,1))</f>
        <v>490.06222615476065</v>
      </c>
      <c r="DU38" s="59">
        <f t="shared" si="44"/>
        <v>310.43914804089906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3.3603333333333336</v>
      </c>
      <c r="EJ38" s="12">
        <f>IF('Données projet'!$A$192&gt;35,EJ37+EI38-ER37,IF(A38&lt;'Données projet'!$A$192,$EG$205^A38,IF(A38='Données projet'!$A$192,'Données projet'!$B$192,EJ37+EI38-ER37)))</f>
        <v>117.61166666666665</v>
      </c>
      <c r="EK38" s="17">
        <f>EJ38*VLOOKUP('Données projet'!$B$15,Paramètres!$A$1:$I$89,3,0)*VLOOKUP('Données projet'!$B$15,Paramètres!$A$1:$I$89,5,0)</f>
        <v>119.25823</v>
      </c>
      <c r="EL38" s="13">
        <f t="shared" si="45"/>
        <v>31.501931238975171</v>
      </c>
      <c r="EM38" s="20">
        <f t="shared" si="19"/>
        <v>262.57394749121505</v>
      </c>
      <c r="EN38" s="59">
        <f t="shared" si="20"/>
        <v>555.90728082454837</v>
      </c>
      <c r="EO38" s="59">
        <f ca="1">AVERAGE(OFFSET($EN$3,0,0,'Données projet'!$E$15+1,1))-AVERAGE(OFFSET($H$3,0,0,'Données projet'!$E$15+1,1))</f>
        <v>533.26035274112917</v>
      </c>
      <c r="EP38" s="59">
        <f t="shared" si="46"/>
        <v>262.58149402282521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86.538461538461533</v>
      </c>
      <c r="FC38" s="12">
        <f>VLOOKUP(A38,'Données projet'!$A$217:$I$237,9,0)</f>
        <v>4.6153846153846132</v>
      </c>
      <c r="FD38" s="12">
        <f t="array" ref="FD38">INDEX(FC:FC,MIN(IF(ISNUMBER(FC38:FC234),ROW(FC38:FC234),"")))</f>
        <v>4.6153846153846132</v>
      </c>
      <c r="FE38" s="12">
        <f>IF('Données projet'!$A$218&gt;35,FE37+FD38-FM37,IF(A38&lt;'Données projet'!$A$218,$FB$205^A38,IF(A38='Données projet'!$A$218,'Données projet'!$B$218,FE37+FD38-FM37)))</f>
        <v>86.538461538461519</v>
      </c>
      <c r="FF38" s="17">
        <f>FE38*VLOOKUP('Données projet'!$B$16,Paramètres!$A$1:$I$89,3,0)*VLOOKUP('Données projet'!$B$16,Paramètres!$A$1:$I$89,5,0)</f>
        <v>90.449999999999989</v>
      </c>
      <c r="FG38" s="13">
        <f t="shared" si="47"/>
        <v>24.673722634554377</v>
      </c>
      <c r="FH38" s="20">
        <f t="shared" si="22"/>
        <v>200.50715025518218</v>
      </c>
      <c r="FI38" s="59">
        <f t="shared" si="23"/>
        <v>493.8404835885155</v>
      </c>
      <c r="FJ38" s="59">
        <f ca="1">AVERAGE(OFFSET($FI$3,0,0,'Données projet'!$E$16+1,1))-AVERAGE(OFFSET($H$3,0,0,'Données projet'!$E$16+1,1))</f>
        <v>239.26156489359892</v>
      </c>
      <c r="FK38" s="59">
        <f t="shared" si="48"/>
        <v>213.97034450798111</v>
      </c>
      <c r="FL38" s="15">
        <f>IF(ISNA(VLOOKUP(A38,'Données projet'!$A$217:$I$237,3,0)),0,VLOOKUP(A38,'Données projet'!$A$217:$I$237,3,0))</f>
        <v>4</v>
      </c>
      <c r="FM38" s="15">
        <f>IF(ISNA(VLOOKUP(A38,'Données projet'!$A$217:$I$237,4,0)),0,VLOOKUP(A38,'Données projet'!$A$217:$I$237,4,0))</f>
        <v>12.820512820512819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0.215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11.252724522259671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11.252724522259671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4.016578947368421</v>
      </c>
      <c r="N39" s="13">
        <f>IF('Données projet'!$A$36&gt;35,N38+M39-V38,IF(A39&lt;'Données projet'!$A$36,$K$205^A39,IF(A39='Données projet'!$A$36,'Données projet'!$B$36,N38+M39-V38)))</f>
        <v>144.59684210526314</v>
      </c>
      <c r="O39" s="13">
        <f>N39*VLOOKUP('Données projet'!$B$9,Paramètres!$A$1:$I$89,3,0)*VLOOKUP('Données projet'!$B$9,Paramètres!$A$1:$I$89,5,0)</f>
        <v>137.59835494736839</v>
      </c>
      <c r="P39" s="13">
        <f t="shared" si="33"/>
        <v>35.746269497802267</v>
      </c>
      <c r="Q39" s="20">
        <f t="shared" si="53"/>
        <v>301.90855424200555</v>
      </c>
      <c r="R39" s="59">
        <f t="shared" si="0"/>
        <v>595.24188757533886</v>
      </c>
      <c r="S39" s="59">
        <f ca="1">AVERAGE(OFFSET($R$3,0,0,'Données projet'!$E$9+1,1))-AVERAGE(OFFSET($H$3,0,0,'Données projet'!$E$9+1,1))</f>
        <v>449.28947235329758</v>
      </c>
      <c r="T39" s="59">
        <f t="shared" si="34"/>
        <v>289.36994109443964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16.693750000000001</v>
      </c>
      <c r="AI39" s="13">
        <f>IF('Données projet'!$A$62&gt;35,AI38+AH39-AQ38,IF(A39&lt;'Données projet'!$A$62,$AF$205^A39,IF(A39='Données projet'!$A$62,'Données projet'!$B$62,AI38+AH39-AQ38)))</f>
        <v>217.27125000000001</v>
      </c>
      <c r="AJ39" s="13">
        <f>AI39*VLOOKUP('Données projet'!$B$10,Paramètres!$A$1:$I$89,3,0)*VLOOKUP('Données projet'!$B$10,Paramètres!$A$1:$I$89,5,0)</f>
        <v>129.92820750000001</v>
      </c>
      <c r="AK39" s="13">
        <f t="shared" si="35"/>
        <v>33.97976966017913</v>
      </c>
      <c r="AL39" s="20">
        <f t="shared" si="4"/>
        <v>285.47306022064532</v>
      </c>
      <c r="AM39" s="59">
        <f t="shared" si="5"/>
        <v>578.80639355397864</v>
      </c>
      <c r="AN39" s="59">
        <f ca="1">AVERAGE(OFFSET($AM$3,0,0,'Données projet'!$E$10+1,1))-AVERAGE(OFFSET($H$3,0,0,'Données projet'!$E$10+1,1))</f>
        <v>349.71285006949597</v>
      </c>
      <c r="AO39" s="59">
        <f t="shared" si="36"/>
        <v>258.51550516456842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10.634883719227338</v>
      </c>
      <c r="AV39" s="21">
        <f>EXP(-LN(2)/25)*AV38+(1-EXP(-LN(2)/25))/(LN(2)/25)*Calculateur!AQ39*Calculateur!AS39*VLOOKUP('Données projet'!$B$10,Paramètres!$A$1:$I$89,3,0)*0.475*44/12</f>
        <v>14.692663809738846</v>
      </c>
      <c r="AW39" s="21">
        <f>EXP(-LN(2)/2)*AW38+(1-EXP(-LN(2)/2))/(LN(2)/2)*AQ39*AT39*VLOOKUP('Données projet'!$B$10,Paramètres!$A$1:$I$89,3,0)*0.475*44/12</f>
        <v>5.1271629777558738</v>
      </c>
      <c r="AX39" s="21">
        <f t="shared" si="6"/>
        <v>30.454710506722058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312.57</v>
      </c>
      <c r="BB39" s="12">
        <f>VLOOKUP(A39,'Données projet'!$A$87:$I$107,9,0)</f>
        <v>17.804285714285715</v>
      </c>
      <c r="BC39" s="12">
        <f t="array" ref="BC39">INDEX(BB:BB,MIN(IF(ISNUMBER(BB39:BB235),ROW(BB39:BB235),"")))</f>
        <v>17.804285714285715</v>
      </c>
      <c r="BD39" s="12">
        <f>IF('Données projet'!$A$88&gt;35,BD38+BC39-BL38,IF(A39&lt;'Données projet'!$A$88,$BA$205^A39,IF(A39='Données projet'!$A$88,'Données projet'!$B$88,BD38+BC39-BL38)))</f>
        <v>312.57</v>
      </c>
      <c r="BE39" s="13">
        <f>BD39*VLOOKUP('Données projet'!$B$11,Paramètres!$A$1:$I$89,3,0)*VLOOKUP('Données projet'!$B$11,Paramètres!$A$1:$I$89,5,0)</f>
        <v>186.91685999999999</v>
      </c>
      <c r="BF39" s="13">
        <f t="shared" si="37"/>
        <v>46.857666701992478</v>
      </c>
      <c r="BG39" s="20">
        <f t="shared" si="7"/>
        <v>407.15730067263689</v>
      </c>
      <c r="BH39" s="59">
        <f t="shared" si="8"/>
        <v>700.49063400597015</v>
      </c>
      <c r="BI39" s="59">
        <f ca="1">AVERAGE(OFFSET($BH$3,0,0,'Données projet'!$E$11+1,1))-AVERAGE(OFFSET($H$3,0,0,'Données projet'!$E$11+1,1))</f>
        <v>302.00825291248458</v>
      </c>
      <c r="BJ39" s="59">
        <f t="shared" si="38"/>
        <v>307.35115839449355</v>
      </c>
      <c r="BK39" s="15">
        <f>IF(ISNA(VLOOKUP(A39,'Données projet'!$A$87:$I$107,3,0)),0,VLOOKUP(A39,'Données projet'!$A$87:$I$107,3,0))</f>
        <v>4</v>
      </c>
      <c r="BL39" s="15">
        <f>IF(ISNA(VLOOKUP(A39,'Données projet'!$A$87:$I$107,4,0)),0,VLOOKUP(A39,'Données projet'!$A$87:$I$107,4,0))</f>
        <v>76.509999999999991</v>
      </c>
      <c r="BM39" s="16">
        <f>IF(ISNA(VLOOKUP(A39,'Données projet'!$A$87:$I$107,5,0)),0%,VLOOKUP(A39,'Données projet'!$A$87:$I$107,5,0)*VLOOKUP('Données projet'!$B$11,Paramètres!$A$1:$I$89,7,0))</f>
        <v>0.27</v>
      </c>
      <c r="BN39" s="16">
        <f>IF(ISNA(VLOOKUP(A39,'Données projet'!$A$87:$I$107,6,0)),0%,VLOOKUP(A39,'Données projet'!$A$87:$I$107,6,0)*VLOOKUP('Données projet'!$B$11,Paramètres!$A$1:$I$89,7,0))</f>
        <v>9.0000000000000011E-2</v>
      </c>
      <c r="BO39" s="16">
        <f>IF(ISNA(VLOOKUP(A39,'Données projet'!$A$87:$I$107,7,0)),0%,VLOOKUP(A39,'Données projet'!$A$87:$I$107,7,0))</f>
        <v>0.2</v>
      </c>
      <c r="BP39" s="21">
        <f>EXP(-LN(2)/35)*BP38+(1-EXP(-LN(2)/35))/(LN(2)/35)*BL39*BM39*VLOOKUP('Données projet'!$B$11,Paramètres!$A$1:$I$89,3,0)*0.475*44/12</f>
        <v>30.66400450035372</v>
      </c>
      <c r="BQ39" s="21">
        <f>EXP(-LN(2)/25)*BQ38+(1-EXP(-LN(2)/25))/(LN(2)/25)*Calculateur!BL39*Calculateur!BN39*VLOOKUP('Données projet'!$B$11,Paramètres!$A$1:$I$89,3,0)*0.475*44/12</f>
        <v>18.339011483048019</v>
      </c>
      <c r="BR39" s="21">
        <f>EXP(-LN(2)/2)*BR38+(1-EXP(-LN(2)/2))/(LN(2)/2)*BL39*BO39*VLOOKUP('Données projet'!$B$11,Paramètres!$A$1:$I$89,3,0)*0.475*44/12</f>
        <v>11.203721779593071</v>
      </c>
      <c r="BS39" s="22">
        <f t="shared" si="9"/>
        <v>60.206737762994806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7.7715686274509812</v>
      </c>
      <c r="BY39" s="12">
        <f>IF('Données projet'!$A$114&gt;35,BY38+BX39-CG38,IF(A39&lt;'Données projet'!$A$114,$BV$205^A39,IF(A39='Données projet'!$A$114,'Données projet'!$B$114,BY38+BX39-CG38)))</f>
        <v>279.77647058823533</v>
      </c>
      <c r="BZ39" s="13">
        <f>BY39*VLOOKUP('Données projet'!$B$12,Paramètres!$A$1:$I$89,3,0)*VLOOKUP('Données projet'!$B$12,Paramètres!$A$1:$I$89,5,0)</f>
        <v>130.93538823529414</v>
      </c>
      <c r="CA39" s="13">
        <f t="shared" si="39"/>
        <v>34.212409818864202</v>
      </c>
      <c r="CB39" s="20">
        <f t="shared" si="10"/>
        <v>287.63241494432572</v>
      </c>
      <c r="CC39" s="59">
        <f t="shared" si="11"/>
        <v>580.96574827765903</v>
      </c>
      <c r="CD39" s="59">
        <f ca="1">AVERAGE(OFFSET($CC$3,0,0,'Données projet'!$E$12+1,1))-AVERAGE(OFFSET($H$3,0,0,'Données projet'!$E$12+1,1))</f>
        <v>337.10499990421835</v>
      </c>
      <c r="CE39" s="59">
        <f t="shared" si="40"/>
        <v>277.4254079562175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3.3603333333333336</v>
      </c>
      <c r="CT39" s="12">
        <f>IF('Données projet'!$A$140&gt;35,CT38+CS39-DB38,IF(A39&lt;'Données projet'!$A$140,$CQ$205^A39,IF(A39='Données projet'!$A$140,'Données projet'!$B$140,CT38+CS39-DB38)))</f>
        <v>120.97199999999998</v>
      </c>
      <c r="CU39" s="17">
        <f>CT39*VLOOKUP('Données projet'!$B$13,Paramètres!$A$1:$I$89,3,0)*VLOOKUP('Données projet'!$B$13,Paramètres!$A$1:$I$89,5,0)</f>
        <v>120.77844479999999</v>
      </c>
      <c r="CV39" s="13">
        <f t="shared" si="41"/>
        <v>31.856490378117194</v>
      </c>
      <c r="CW39" s="20">
        <f t="shared" si="13"/>
        <v>265.83917876855406</v>
      </c>
      <c r="CX39" s="59">
        <f t="shared" si="14"/>
        <v>559.17251210188738</v>
      </c>
      <c r="CY39" s="59">
        <f ca="1">AVERAGE(OFFSET($CX$3,0,0,'Données projet'!$E$13+1,1))-AVERAGE(OFFSET($H$3,0,0,'Données projet'!$E$13+1,1))</f>
        <v>525.74725170626471</v>
      </c>
      <c r="CZ39" s="59">
        <f t="shared" si="42"/>
        <v>259.19103598192197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4.5856818181818184</v>
      </c>
      <c r="DO39" s="12">
        <f>IF('Données projet'!$A$166&gt;35,DO38+DN39-DW38,IF(A39&lt;'Données projet'!$A$166,$DL$205^A39,IF(A39='Données projet'!$A$166,'Données projet'!$B$166,DO38+DN39-DW38)))</f>
        <v>165.08454545454561</v>
      </c>
      <c r="DP39" s="17">
        <f>DO39*VLOOKUP('Données projet'!$B$14,Paramètres!$A$1:$I$89,3,0)*VLOOKUP('Données projet'!$B$14,Paramètres!$A$1:$I$89,5,0)</f>
        <v>149.36849672727286</v>
      </c>
      <c r="DQ39" s="13">
        <f t="shared" si="43"/>
        <v>38.435039017220589</v>
      </c>
      <c r="DR39" s="20">
        <f t="shared" si="16"/>
        <v>327.09115808832604</v>
      </c>
      <c r="DS39" s="59">
        <f t="shared" si="17"/>
        <v>620.42449142165935</v>
      </c>
      <c r="DT39" s="59">
        <f ca="1">AVERAGE(OFFSET($DS$3,0,0,'Données projet'!$E$14+1,1))-AVERAGE(OFFSET($H$3,0,0,'Données projet'!$E$14+1,1))</f>
        <v>490.06222615476065</v>
      </c>
      <c r="DU39" s="59">
        <f t="shared" si="44"/>
        <v>310.43914804089906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3.3603333333333336</v>
      </c>
      <c r="EJ39" s="12">
        <f>IF('Données projet'!$A$192&gt;35,EJ38+EI39-ER38,IF(A39&lt;'Données projet'!$A$192,$EG$205^A39,IF(A39='Données projet'!$A$192,'Données projet'!$B$192,EJ38+EI39-ER38)))</f>
        <v>120.97199999999998</v>
      </c>
      <c r="EK39" s="17">
        <f>EJ39*VLOOKUP('Données projet'!$B$15,Paramètres!$A$1:$I$89,3,0)*VLOOKUP('Données projet'!$B$15,Paramètres!$A$1:$I$89,5,0)</f>
        <v>122.66560799999998</v>
      </c>
      <c r="EL39" s="13">
        <f t="shared" si="45"/>
        <v>32.295911394857214</v>
      </c>
      <c r="EM39" s="20">
        <f t="shared" si="19"/>
        <v>269.89131294604289</v>
      </c>
      <c r="EN39" s="59">
        <f t="shared" si="20"/>
        <v>563.2246462793762</v>
      </c>
      <c r="EO39" s="59">
        <f ca="1">AVERAGE(OFFSET($EN$3,0,0,'Données projet'!$E$15+1,1))-AVERAGE(OFFSET($H$3,0,0,'Données projet'!$E$15+1,1))</f>
        <v>533.26035274112917</v>
      </c>
      <c r="EP39" s="59">
        <f t="shared" si="46"/>
        <v>262.58149402282521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4.4871794871794863</v>
      </c>
      <c r="FE39" s="12">
        <f>IF('Données projet'!$A$218&gt;35,FE38+FD39-FM38,IF(A39&lt;'Données projet'!$A$218,$FB$205^A39,IF(A39='Données projet'!$A$218,'Données projet'!$B$218,FE38+FD39-FM38)))</f>
        <v>78.20512820512819</v>
      </c>
      <c r="FF39" s="17">
        <f>FE39*VLOOKUP('Données projet'!$B$16,Paramètres!$A$1:$I$89,3,0)*VLOOKUP('Données projet'!$B$16,Paramètres!$A$1:$I$89,5,0)</f>
        <v>81.739999999999995</v>
      </c>
      <c r="FG39" s="13">
        <f t="shared" si="47"/>
        <v>22.56208894179845</v>
      </c>
      <c r="FH39" s="20">
        <f t="shared" si="22"/>
        <v>181.65947157363226</v>
      </c>
      <c r="FI39" s="59">
        <f t="shared" si="23"/>
        <v>474.9928049069656</v>
      </c>
      <c r="FJ39" s="59">
        <f ca="1">AVERAGE(OFFSET($FI$3,0,0,'Données projet'!$E$16+1,1))-AVERAGE(OFFSET($H$3,0,0,'Données projet'!$E$16+1,1))</f>
        <v>239.26156489359892</v>
      </c>
      <c r="FK39" s="59">
        <f t="shared" si="48"/>
        <v>213.97034450798111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10.945018178443416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10.945018178443416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4.016578947368421</v>
      </c>
      <c r="N40" s="13">
        <f>IF('Données projet'!$A$36&gt;35,N39+M40-V39,IF(A40&lt;'Données projet'!$A$36,$K$205^A40,IF(A40='Données projet'!$A$36,'Données projet'!$B$36,N39+M40-V39)))</f>
        <v>148.61342105263157</v>
      </c>
      <c r="O40" s="13">
        <f>N40*VLOOKUP('Données projet'!$B$9,Paramètres!$A$1:$I$89,3,0)*VLOOKUP('Données projet'!$B$9,Paramètres!$A$1:$I$89,5,0)</f>
        <v>141.42053147368418</v>
      </c>
      <c r="P40" s="13">
        <f t="shared" si="33"/>
        <v>36.62223785540634</v>
      </c>
      <c r="Q40" s="20">
        <f t="shared" si="53"/>
        <v>310.09115658149926</v>
      </c>
      <c r="R40" s="59">
        <f t="shared" si="0"/>
        <v>603.42448991483252</v>
      </c>
      <c r="S40" s="59">
        <f ca="1">AVERAGE(OFFSET($R$3,0,0,'Données projet'!$E$9+1,1))-AVERAGE(OFFSET($H$3,0,0,'Données projet'!$E$9+1,1))</f>
        <v>449.28947235329758</v>
      </c>
      <c r="T40" s="59">
        <f t="shared" si="34"/>
        <v>289.36994109443964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16.693750000000001</v>
      </c>
      <c r="AI40" s="13">
        <f>IF('Données projet'!$A$62&gt;35,AI39+AH40-AQ39,IF(A40&lt;'Données projet'!$A$62,$AF$205^A40,IF(A40='Données projet'!$A$62,'Données projet'!$B$62,AI39+AH40-AQ39)))</f>
        <v>233.965</v>
      </c>
      <c r="AJ40" s="13">
        <f>AI40*VLOOKUP('Données projet'!$B$10,Paramètres!$A$1:$I$89,3,0)*VLOOKUP('Données projet'!$B$10,Paramètres!$A$1:$I$89,5,0)</f>
        <v>139.91107000000002</v>
      </c>
      <c r="AK40" s="13">
        <f t="shared" si="35"/>
        <v>36.276632127461212</v>
      </c>
      <c r="AL40" s="20">
        <f t="shared" si="4"/>
        <v>306.860247871995</v>
      </c>
      <c r="AM40" s="59">
        <f t="shared" si="5"/>
        <v>600.19358120532831</v>
      </c>
      <c r="AN40" s="59">
        <f ca="1">AVERAGE(OFFSET($AM$3,0,0,'Données projet'!$E$10+1,1))-AVERAGE(OFFSET($H$3,0,0,'Données projet'!$E$10+1,1))</f>
        <v>349.71285006949597</v>
      </c>
      <c r="AO40" s="59">
        <f t="shared" si="36"/>
        <v>258.51550516456842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10.426340136131856</v>
      </c>
      <c r="AV40" s="21">
        <f>EXP(-LN(2)/25)*AV39+(1-EXP(-LN(2)/25))/(LN(2)/25)*Calculateur!AQ40*Calculateur!AS40*VLOOKUP('Données projet'!$B$10,Paramètres!$A$1:$I$89,3,0)*0.475*44/12</f>
        <v>14.290892145207929</v>
      </c>
      <c r="AW40" s="21">
        <f>EXP(-LN(2)/2)*AW39+(1-EXP(-LN(2)/2))/(LN(2)/2)*AQ40*AT40*VLOOKUP('Données projet'!$B$10,Paramètres!$A$1:$I$89,3,0)*0.475*44/12</f>
        <v>3.6254517098197905</v>
      </c>
      <c r="AX40" s="21">
        <f t="shared" si="6"/>
        <v>28.342683991159575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16.583750000000002</v>
      </c>
      <c r="BD40" s="12">
        <f>IF('Données projet'!$A$88&gt;35,BD39+BC40-BL39,IF(A40&lt;'Données projet'!$A$88,$BA$205^A40,IF(A40='Données projet'!$A$88,'Données projet'!$B$88,BD39+BC40-BL39)))</f>
        <v>252.64375000000001</v>
      </c>
      <c r="BE40" s="13">
        <f>BD40*VLOOKUP('Données projet'!$B$11,Paramètres!$A$1:$I$89,3,0)*VLOOKUP('Données projet'!$B$11,Paramètres!$A$1:$I$89,5,0)</f>
        <v>151.0809625</v>
      </c>
      <c r="BF40" s="13">
        <f t="shared" si="37"/>
        <v>38.824135473109777</v>
      </c>
      <c r="BG40" s="20">
        <f t="shared" si="7"/>
        <v>330.75137896983284</v>
      </c>
      <c r="BH40" s="59">
        <f t="shared" si="8"/>
        <v>624.08471230316616</v>
      </c>
      <c r="BI40" s="59">
        <f ca="1">AVERAGE(OFFSET($BH$3,0,0,'Données projet'!$E$11+1,1))-AVERAGE(OFFSET($H$3,0,0,'Données projet'!$E$11+1,1))</f>
        <v>302.00825291248458</v>
      </c>
      <c r="BJ40" s="59">
        <f t="shared" si="38"/>
        <v>307.35115839449355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30.062702075297739</v>
      </c>
      <c r="BQ40" s="21">
        <f>EXP(-LN(2)/25)*BQ39+(1-EXP(-LN(2)/25))/(LN(2)/25)*Calculateur!BL40*Calculateur!BN40*VLOOKUP('Données projet'!$B$11,Paramètres!$A$1:$I$89,3,0)*0.475*44/12</f>
        <v>17.837530249637371</v>
      </c>
      <c r="BR40" s="21">
        <f>EXP(-LN(2)/2)*BR39+(1-EXP(-LN(2)/2))/(LN(2)/2)*BL40*BO40*VLOOKUP('Données projet'!$B$11,Paramètres!$A$1:$I$89,3,0)*0.475*44/12</f>
        <v>7.9222276448776752</v>
      </c>
      <c r="BS40" s="22">
        <f t="shared" si="9"/>
        <v>55.822459969812783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7.7715686274509812</v>
      </c>
      <c r="BY40" s="12">
        <f>IF('Données projet'!$A$114&gt;35,BY39+BX40-CG39,IF(A40&lt;'Données projet'!$A$114,$BV$205^A40,IF(A40='Données projet'!$A$114,'Données projet'!$B$114,BY39+BX40-CG39)))</f>
        <v>287.54803921568629</v>
      </c>
      <c r="BZ40" s="13">
        <f>BY40*VLOOKUP('Données projet'!$B$12,Paramètres!$A$1:$I$89,3,0)*VLOOKUP('Données projet'!$B$12,Paramètres!$A$1:$I$89,5,0)</f>
        <v>134.57248235294117</v>
      </c>
      <c r="CA40" s="13">
        <f t="shared" si="39"/>
        <v>35.050790686567069</v>
      </c>
      <c r="CB40" s="20">
        <f t="shared" si="10"/>
        <v>295.42720054381022</v>
      </c>
      <c r="CC40" s="59">
        <f t="shared" si="11"/>
        <v>588.76053387714353</v>
      </c>
      <c r="CD40" s="59">
        <f ca="1">AVERAGE(OFFSET($CC$3,0,0,'Données projet'!$E$12+1,1))-AVERAGE(OFFSET($H$3,0,0,'Données projet'!$E$12+1,1))</f>
        <v>337.10499990421835</v>
      </c>
      <c r="CE40" s="59">
        <f t="shared" si="40"/>
        <v>277.4254079562175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3.3603333333333336</v>
      </c>
      <c r="CT40" s="12">
        <f>IF('Données projet'!$A$140&gt;35,CT39+CS40-DB39,IF(A40&lt;'Données projet'!$A$140,$CQ$205^A40,IF(A40='Données projet'!$A$140,'Données projet'!$B$140,CT39+CS40-DB39)))</f>
        <v>124.33233333333331</v>
      </c>
      <c r="CU40" s="17">
        <f>CT40*VLOOKUP('Données projet'!$B$13,Paramètres!$A$1:$I$89,3,0)*VLOOKUP('Données projet'!$B$13,Paramètres!$A$1:$I$89,5,0)</f>
        <v>124.13340159999998</v>
      </c>
      <c r="CV40" s="13">
        <f t="shared" si="41"/>
        <v>32.63713904293143</v>
      </c>
      <c r="CW40" s="20">
        <f t="shared" si="13"/>
        <v>273.04202495310557</v>
      </c>
      <c r="CX40" s="59">
        <f t="shared" si="14"/>
        <v>566.37535828643888</v>
      </c>
      <c r="CY40" s="59">
        <f ca="1">AVERAGE(OFFSET($CX$3,0,0,'Données projet'!$E$13+1,1))-AVERAGE(OFFSET($H$3,0,0,'Données projet'!$E$13+1,1))</f>
        <v>525.74725170626471</v>
      </c>
      <c r="CZ40" s="59">
        <f t="shared" si="42"/>
        <v>259.19103598192197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4.5856818181818184</v>
      </c>
      <c r="DO40" s="12">
        <f>IF('Données projet'!$A$166&gt;35,DO39+DN40-DW39,IF(A40&lt;'Données projet'!$A$166,$DL$205^A40,IF(A40='Données projet'!$A$166,'Données projet'!$B$166,DO39+DN40-DW39)))</f>
        <v>169.67022727272743</v>
      </c>
      <c r="DP40" s="17">
        <f>DO40*VLOOKUP('Données projet'!$B$14,Paramètres!$A$1:$I$89,3,0)*VLOOKUP('Données projet'!$B$14,Paramètres!$A$1:$I$89,5,0)</f>
        <v>153.51762163636377</v>
      </c>
      <c r="DQ40" s="13">
        <f t="shared" si="43"/>
        <v>39.376896124979325</v>
      </c>
      <c r="DR40" s="20">
        <f t="shared" si="16"/>
        <v>335.95795176767251</v>
      </c>
      <c r="DS40" s="59">
        <f t="shared" si="17"/>
        <v>629.29128510100577</v>
      </c>
      <c r="DT40" s="59">
        <f ca="1">AVERAGE(OFFSET($DS$3,0,0,'Données projet'!$E$14+1,1))-AVERAGE(OFFSET($H$3,0,0,'Données projet'!$E$14+1,1))</f>
        <v>490.06222615476065</v>
      </c>
      <c r="DU40" s="59">
        <f t="shared" si="44"/>
        <v>310.43914804089906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3.3603333333333336</v>
      </c>
      <c r="EJ40" s="12">
        <f>IF('Données projet'!$A$192&gt;35,EJ39+EI40-ER39,IF(A40&lt;'Données projet'!$A$192,$EG$205^A40,IF(A40='Données projet'!$A$192,'Données projet'!$B$192,EJ39+EI40-ER39)))</f>
        <v>124.33233333333331</v>
      </c>
      <c r="EK40" s="17">
        <f>EJ40*VLOOKUP('Données projet'!$B$15,Paramètres!$A$1:$I$89,3,0)*VLOOKUP('Données projet'!$B$15,Paramètres!$A$1:$I$89,5,0)</f>
        <v>126.07298599999999</v>
      </c>
      <c r="EL40" s="13">
        <f t="shared" si="45"/>
        <v>33.08732814573294</v>
      </c>
      <c r="EM40" s="20">
        <f t="shared" si="19"/>
        <v>277.20421380381816</v>
      </c>
      <c r="EN40" s="59">
        <f t="shared" si="20"/>
        <v>570.53754713715148</v>
      </c>
      <c r="EO40" s="59">
        <f ca="1">AVERAGE(OFFSET($EN$3,0,0,'Données projet'!$E$15+1,1))-AVERAGE(OFFSET($H$3,0,0,'Données projet'!$E$15+1,1))</f>
        <v>533.26035274112917</v>
      </c>
      <c r="EP40" s="59">
        <f t="shared" si="46"/>
        <v>262.58149402282521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4.4871794871794863</v>
      </c>
      <c r="FE40" s="12">
        <f>IF('Données projet'!$A$218&gt;35,FE39+FD40-FM39,IF(A40&lt;'Données projet'!$A$218,$FB$205^A40,IF(A40='Données projet'!$A$218,'Données projet'!$B$218,FE39+FD40-FM39)))</f>
        <v>82.692307692307679</v>
      </c>
      <c r="FF40" s="17">
        <f>FE40*VLOOKUP('Données projet'!$B$16,Paramètres!$A$1:$I$89,3,0)*VLOOKUP('Données projet'!$B$16,Paramètres!$A$1:$I$89,5,0)</f>
        <v>86.429999999999993</v>
      </c>
      <c r="FG40" s="13">
        <f t="shared" si="47"/>
        <v>23.702209286798929</v>
      </c>
      <c r="FH40" s="20">
        <f t="shared" si="22"/>
        <v>191.81359784117478</v>
      </c>
      <c r="FI40" s="59">
        <f t="shared" si="23"/>
        <v>485.1469311745081</v>
      </c>
      <c r="FJ40" s="59">
        <f ca="1">AVERAGE(OFFSET($FI$3,0,0,'Données projet'!$E$16+1,1))-AVERAGE(OFFSET($H$3,0,0,'Données projet'!$E$16+1,1))</f>
        <v>239.26156489359892</v>
      </c>
      <c r="FK40" s="59">
        <f t="shared" si="48"/>
        <v>213.97034450798111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10.64572608078039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10.64572608078039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>
        <f>VLOOKUP(A41,'Données projet'!$A$35:$I$55,2,0)</f>
        <v>152.63</v>
      </c>
      <c r="L41" s="12">
        <f>VLOOKUP(A41,'Données projet'!$A$35:$I$55,9,0)</f>
        <v>4.016578947368421</v>
      </c>
      <c r="M41" s="12">
        <f t="array" ref="M41">INDEX(L:L,MIN(IF(ISNUMBER(L41:L237),ROW(L41:L237),"")))</f>
        <v>4.016578947368421</v>
      </c>
      <c r="N41" s="13">
        <f>IF('Données projet'!$A$36&gt;35,N40+M41-V40,IF(A41&lt;'Données projet'!$A$36,$K$205^A41,IF(A41='Données projet'!$A$36,'Données projet'!$B$36,N40+M41-V40)))</f>
        <v>152.63</v>
      </c>
      <c r="O41" s="13">
        <f>N41*VLOOKUP('Données projet'!$B$9,Paramètres!$A$1:$I$89,3,0)*VLOOKUP('Données projet'!$B$9,Paramètres!$A$1:$I$89,5,0)</f>
        <v>145.24270799999999</v>
      </c>
      <c r="P41" s="13">
        <f t="shared" si="33"/>
        <v>37.495454440070851</v>
      </c>
      <c r="Q41" s="20">
        <f t="shared" si="53"/>
        <v>318.26896624979003</v>
      </c>
      <c r="R41" s="59">
        <f t="shared" si="0"/>
        <v>611.60229958312334</v>
      </c>
      <c r="S41" s="59">
        <f ca="1">AVERAGE(OFFSET($R$3,0,0,'Données projet'!$E$9+1,1))-AVERAGE(OFFSET($H$3,0,0,'Données projet'!$E$9+1,1))</f>
        <v>449.28947235329758</v>
      </c>
      <c r="T41" s="59">
        <f t="shared" si="34"/>
        <v>289.36994109443964</v>
      </c>
      <c r="U41" s="15">
        <f>IF(ISNA(VLOOKUP(A41,'Données projet'!$A$35:$I$55,3,0)),0,VLOOKUP(A41,'Données projet'!$A$35:$I$55,3,0))</f>
        <v>1</v>
      </c>
      <c r="V41" s="15">
        <f>IF(ISNA(VLOOKUP(A41,'Données projet'!$A$35:$I$55,4,0)),0,VLOOKUP(A41,'Données projet'!$A$35:$I$55,4,0))</f>
        <v>71.569999999999993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0.34400000000000003</v>
      </c>
      <c r="Y41" s="16">
        <f>IF(ISNA(VLOOKUP(A41,'Données projet'!$A$35:$I$55,7,0)),0%,VLOOKUP(A41,'Données projet'!$A$35:$I$55,7,0))</f>
        <v>0.2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25.797501441733676</v>
      </c>
      <c r="AB41" s="21">
        <f>EXP(-LN(2)/2)*AB40+(1-EXP(-LN(2)/2))/(LN(2)/2)*V41*Y41*VLOOKUP('Données projet'!$B$9,Paramètres!$A$1:$I$89,3,0)*0.475*44/12</f>
        <v>12.851971073687507</v>
      </c>
      <c r="AC41" s="22">
        <f t="shared" si="3"/>
        <v>38.649472515421181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16.693750000000001</v>
      </c>
      <c r="AI41" s="13">
        <f>IF('Données projet'!$A$62&gt;35,AI40+AH41-AQ40,IF(A41&lt;'Données projet'!$A$62,$AF$205^A41,IF(A41='Données projet'!$A$62,'Données projet'!$B$62,AI40+AH41-AQ40)))</f>
        <v>250.65875</v>
      </c>
      <c r="AJ41" s="13">
        <f>AI41*VLOOKUP('Données projet'!$B$10,Paramètres!$A$1:$I$89,3,0)*VLOOKUP('Données projet'!$B$10,Paramètres!$A$1:$I$89,5,0)</f>
        <v>149.89393250000001</v>
      </c>
      <c r="AK41" s="13">
        <f t="shared" si="35"/>
        <v>38.554480408619099</v>
      </c>
      <c r="AL41" s="20">
        <f t="shared" si="4"/>
        <v>328.21431914917827</v>
      </c>
      <c r="AM41" s="59">
        <f t="shared" si="5"/>
        <v>621.54765248251158</v>
      </c>
      <c r="AN41" s="59">
        <f ca="1">AVERAGE(OFFSET($AM$3,0,0,'Données projet'!$E$10+1,1))-AVERAGE(OFFSET($H$3,0,0,'Données projet'!$E$10+1,1))</f>
        <v>349.71285006949597</v>
      </c>
      <c r="AO41" s="59">
        <f t="shared" si="36"/>
        <v>258.51550516456842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10.221885965501851</v>
      </c>
      <c r="AV41" s="21">
        <f>EXP(-LN(2)/25)*AV40+(1-EXP(-LN(2)/25))/(LN(2)/25)*Calculateur!AQ41*Calculateur!AS41*VLOOKUP('Données projet'!$B$10,Paramètres!$A$1:$I$89,3,0)*0.475*44/12</f>
        <v>13.900106947971862</v>
      </c>
      <c r="AW41" s="21">
        <f>EXP(-LN(2)/2)*AW40+(1-EXP(-LN(2)/2))/(LN(2)/2)*AQ41*AT41*VLOOKUP('Données projet'!$B$10,Paramètres!$A$1:$I$89,3,0)*0.475*44/12</f>
        <v>2.5635814888779374</v>
      </c>
      <c r="AX41" s="21">
        <f t="shared" si="6"/>
        <v>26.685574402351648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16.583750000000002</v>
      </c>
      <c r="BD41" s="12">
        <f>IF('Données projet'!$A$88&gt;35,BD40+BC41-BL40,IF(A41&lt;'Données projet'!$A$88,$BA$205^A41,IF(A41='Données projet'!$A$88,'Données projet'!$B$88,BD40+BC41-BL40)))</f>
        <v>269.22750000000002</v>
      </c>
      <c r="BE41" s="13">
        <f>BD41*VLOOKUP('Données projet'!$B$11,Paramètres!$A$1:$I$89,3,0)*VLOOKUP('Données projet'!$B$11,Paramètres!$A$1:$I$89,5,0)</f>
        <v>160.99804500000002</v>
      </c>
      <c r="BF41" s="13">
        <f t="shared" si="37"/>
        <v>41.067545707058052</v>
      </c>
      <c r="BG41" s="20">
        <f t="shared" si="7"/>
        <v>351.93090381479277</v>
      </c>
      <c r="BH41" s="59">
        <f t="shared" si="8"/>
        <v>645.26423714812609</v>
      </c>
      <c r="BI41" s="59">
        <f ca="1">AVERAGE(OFFSET($BH$3,0,0,'Données projet'!$E$11+1,1))-AVERAGE(OFFSET($H$3,0,0,'Données projet'!$E$11+1,1))</f>
        <v>302.00825291248458</v>
      </c>
      <c r="BJ41" s="59">
        <f t="shared" si="38"/>
        <v>307.35115839449355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29.473190824038845</v>
      </c>
      <c r="BQ41" s="21">
        <f>EXP(-LN(2)/25)*BQ40+(1-EXP(-LN(2)/25))/(LN(2)/25)*Calculateur!BL41*Calculateur!BN41*VLOOKUP('Données projet'!$B$11,Paramètres!$A$1:$I$89,3,0)*0.475*44/12</f>
        <v>17.349762046926088</v>
      </c>
      <c r="BR41" s="21">
        <f>EXP(-LN(2)/2)*BR40+(1-EXP(-LN(2)/2))/(LN(2)/2)*BL41*BO41*VLOOKUP('Données projet'!$B$11,Paramètres!$A$1:$I$89,3,0)*0.475*44/12</f>
        <v>5.6018608897965363</v>
      </c>
      <c r="BS41" s="22">
        <f t="shared" si="9"/>
        <v>52.424813760761467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7.7715686274509812</v>
      </c>
      <c r="BY41" s="12">
        <f>IF('Données projet'!$A$114&gt;35,BY40+BX41-CG40,IF(A41&lt;'Données projet'!$A$114,$BV$205^A41,IF(A41='Données projet'!$A$114,'Données projet'!$B$114,BY40+BX41-CG40)))</f>
        <v>295.31960784313725</v>
      </c>
      <c r="BZ41" s="13">
        <f>BY41*VLOOKUP('Données projet'!$B$12,Paramètres!$A$1:$I$89,3,0)*VLOOKUP('Données projet'!$B$12,Paramètres!$A$1:$I$89,5,0)</f>
        <v>138.20957647058825</v>
      </c>
      <c r="CA41" s="13">
        <f t="shared" si="39"/>
        <v>35.886537858926076</v>
      </c>
      <c r="CB41" s="20">
        <f t="shared" si="10"/>
        <v>303.21739912390404</v>
      </c>
      <c r="CC41" s="59">
        <f t="shared" si="11"/>
        <v>596.55073245723736</v>
      </c>
      <c r="CD41" s="59">
        <f ca="1">AVERAGE(OFFSET($CC$3,0,0,'Données projet'!$E$12+1,1))-AVERAGE(OFFSET($H$3,0,0,'Données projet'!$E$12+1,1))</f>
        <v>337.10499990421835</v>
      </c>
      <c r="CE41" s="59">
        <f t="shared" si="40"/>
        <v>277.4254079562175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3.3603333333333336</v>
      </c>
      <c r="CT41" s="12">
        <f>IF('Données projet'!$A$140&gt;35,CT40+CS41-DB40,IF(A41&lt;'Données projet'!$A$140,$CQ$205^A41,IF(A41='Données projet'!$A$140,'Données projet'!$B$140,CT40+CS41-DB40)))</f>
        <v>127.69266666666664</v>
      </c>
      <c r="CU41" s="17">
        <f>CT41*VLOOKUP('Données projet'!$B$13,Paramètres!$A$1:$I$89,3,0)*VLOOKUP('Données projet'!$B$13,Paramètres!$A$1:$I$89,5,0)</f>
        <v>127.48835839999997</v>
      </c>
      <c r="CV41" s="13">
        <f t="shared" si="41"/>
        <v>33.415335372735512</v>
      </c>
      <c r="CW41" s="20">
        <f t="shared" si="13"/>
        <v>280.24059998751426</v>
      </c>
      <c r="CX41" s="59">
        <f t="shared" si="14"/>
        <v>573.57393332084757</v>
      </c>
      <c r="CY41" s="59">
        <f ca="1">AVERAGE(OFFSET($CX$3,0,0,'Données projet'!$E$13+1,1))-AVERAGE(OFFSET($H$3,0,0,'Données projet'!$E$13+1,1))</f>
        <v>525.74725170626471</v>
      </c>
      <c r="CZ41" s="59">
        <f t="shared" si="42"/>
        <v>259.19103598192197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4.5856818181818184</v>
      </c>
      <c r="DO41" s="12">
        <f>IF('Données projet'!$A$166&gt;35,DO40+DN41-DW40,IF(A41&lt;'Données projet'!$A$166,$DL$205^A41,IF(A41='Données projet'!$A$166,'Données projet'!$B$166,DO40+DN41-DW40)))</f>
        <v>174.25590909090926</v>
      </c>
      <c r="DP41" s="17">
        <f>DO41*VLOOKUP('Données projet'!$B$14,Paramètres!$A$1:$I$89,3,0)*VLOOKUP('Données projet'!$B$14,Paramètres!$A$1:$I$89,5,0)</f>
        <v>157.66674654545469</v>
      </c>
      <c r="DQ41" s="13">
        <f t="shared" si="43"/>
        <v>40.315794476431826</v>
      </c>
      <c r="DR41" s="20">
        <f t="shared" si="16"/>
        <v>344.81959227978564</v>
      </c>
      <c r="DS41" s="59">
        <f t="shared" si="17"/>
        <v>638.1529256131189</v>
      </c>
      <c r="DT41" s="59">
        <f ca="1">AVERAGE(OFFSET($DS$3,0,0,'Données projet'!$E$14+1,1))-AVERAGE(OFFSET($H$3,0,0,'Données projet'!$E$14+1,1))</f>
        <v>490.06222615476065</v>
      </c>
      <c r="DU41" s="59">
        <f t="shared" si="44"/>
        <v>310.43914804089906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3.3603333333333336</v>
      </c>
      <c r="EJ41" s="12">
        <f>IF('Données projet'!$A$192&gt;35,EJ40+EI41-ER40,IF(A41&lt;'Données projet'!$A$192,$EG$205^A41,IF(A41='Données projet'!$A$192,'Données projet'!$B$192,EJ40+EI41-ER40)))</f>
        <v>127.69266666666664</v>
      </c>
      <c r="EK41" s="17">
        <f>EJ41*VLOOKUP('Données projet'!$B$15,Paramètres!$A$1:$I$89,3,0)*VLOOKUP('Données projet'!$B$15,Paramètres!$A$1:$I$89,5,0)</f>
        <v>129.48036399999998</v>
      </c>
      <c r="EL41" s="13">
        <f t="shared" si="45"/>
        <v>33.876258734659984</v>
      </c>
      <c r="EM41" s="20">
        <f t="shared" si="19"/>
        <v>284.51278459619942</v>
      </c>
      <c r="EN41" s="59">
        <f t="shared" si="20"/>
        <v>577.84611792953274</v>
      </c>
      <c r="EO41" s="59">
        <f ca="1">AVERAGE(OFFSET($EN$3,0,0,'Données projet'!$E$15+1,1))-AVERAGE(OFFSET($H$3,0,0,'Données projet'!$E$15+1,1))</f>
        <v>533.26035274112917</v>
      </c>
      <c r="EP41" s="59">
        <f t="shared" si="46"/>
        <v>262.58149402282521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4.4871794871794863</v>
      </c>
      <c r="FE41" s="12">
        <f>IF('Données projet'!$A$218&gt;35,FE40+FD41-FM40,IF(A41&lt;'Données projet'!$A$218,$FB$205^A41,IF(A41='Données projet'!$A$218,'Données projet'!$B$218,FE40+FD41-FM40)))</f>
        <v>87.179487179487168</v>
      </c>
      <c r="FF41" s="17">
        <f>FE41*VLOOKUP('Données projet'!$B$16,Paramètres!$A$1:$I$89,3,0)*VLOOKUP('Données projet'!$B$16,Paramètres!$A$1:$I$89,5,0)</f>
        <v>91.12</v>
      </c>
      <c r="FG41" s="13">
        <f t="shared" si="47"/>
        <v>24.835147287678563</v>
      </c>
      <c r="FH41" s="20">
        <f t="shared" si="22"/>
        <v>201.95521485937351</v>
      </c>
      <c r="FI41" s="59">
        <f t="shared" si="23"/>
        <v>495.2885481927068</v>
      </c>
      <c r="FJ41" s="59">
        <f ca="1">AVERAGE(OFFSET($FI$3,0,0,'Données projet'!$E$16+1,1))-AVERAGE(OFFSET($H$3,0,0,'Données projet'!$E$16+1,1))</f>
        <v>239.26156489359892</v>
      </c>
      <c r="FK41" s="59">
        <f t="shared" si="48"/>
        <v>213.97034450798111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10.354618141267046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10.354618141267046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9.8128571428571423</v>
      </c>
      <c r="N42" s="13">
        <f>IF('Données projet'!$A$36&gt;35,N41+M42-V41,IF(A42&lt;'Données projet'!$A$36,$K$205^A42,IF(A42='Données projet'!$A$36,'Données projet'!$B$36,N41+M42-V41)))</f>
        <v>90.872857142857157</v>
      </c>
      <c r="O42" s="13">
        <f>N42*VLOOKUP('Données projet'!$B$9,Paramètres!$A$1:$I$89,3,0)*VLOOKUP('Données projet'!$B$9,Paramètres!$A$1:$I$89,5,0)</f>
        <v>86.474610857142878</v>
      </c>
      <c r="P42" s="13">
        <f t="shared" si="33"/>
        <v>23.713018835104659</v>
      </c>
      <c r="Q42" s="20">
        <f t="shared" si="53"/>
        <v>191.9101217139978</v>
      </c>
      <c r="R42" s="59">
        <f t="shared" si="0"/>
        <v>485.24345504733111</v>
      </c>
      <c r="S42" s="59">
        <f ca="1">AVERAGE(OFFSET($R$3,0,0,'Données projet'!$E$9+1,1))-AVERAGE(OFFSET($H$3,0,0,'Données projet'!$E$9+1,1))</f>
        <v>449.28947235329758</v>
      </c>
      <c r="T42" s="59">
        <f t="shared" si="34"/>
        <v>289.36994109443964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25.092067408177829</v>
      </c>
      <c r="AB42" s="21">
        <f>EXP(-LN(2)/2)*AB41+(1-EXP(-LN(2)/2))/(LN(2)/2)*V42*Y42*VLOOKUP('Données projet'!$B$9,Paramètres!$A$1:$I$89,3,0)*0.475*44/12</f>
        <v>9.087715897817791</v>
      </c>
      <c r="AC42" s="22">
        <f t="shared" si="3"/>
        <v>34.17978330599562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16.693750000000001</v>
      </c>
      <c r="AI42" s="13">
        <f>IF('Données projet'!$A$62&gt;35,AI41+AH42-AQ41,IF(A42&lt;'Données projet'!$A$62,$AF$205^A42,IF(A42='Données projet'!$A$62,'Données projet'!$B$62,AI41+AH42-AQ41)))</f>
        <v>267.35250000000002</v>
      </c>
      <c r="AJ42" s="13">
        <f>AI42*VLOOKUP('Données projet'!$B$10,Paramètres!$A$1:$I$89,3,0)*VLOOKUP('Données projet'!$B$10,Paramètres!$A$1:$I$89,5,0)</f>
        <v>159.87679500000002</v>
      </c>
      <c r="AK42" s="13">
        <f t="shared" si="35"/>
        <v>40.814724929285397</v>
      </c>
      <c r="AL42" s="20">
        <f t="shared" si="4"/>
        <v>349.5377305435054</v>
      </c>
      <c r="AM42" s="59">
        <f t="shared" si="5"/>
        <v>642.87106387683866</v>
      </c>
      <c r="AN42" s="59">
        <f ca="1">AVERAGE(OFFSET($AM$3,0,0,'Données projet'!$E$10+1,1))-AVERAGE(OFFSET($H$3,0,0,'Données projet'!$E$10+1,1))</f>
        <v>349.71285006949597</v>
      </c>
      <c r="AO42" s="59">
        <f t="shared" si="36"/>
        <v>258.51550516456842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10.021441016453171</v>
      </c>
      <c r="AV42" s="21">
        <f>EXP(-LN(2)/25)*AV41+(1-EXP(-LN(2)/25))/(LN(2)/25)*Calculateur!AQ42*Calculateur!AS42*VLOOKUP('Données projet'!$B$10,Paramètres!$A$1:$I$89,3,0)*0.475*44/12</f>
        <v>13.520007792504716</v>
      </c>
      <c r="AW42" s="21">
        <f>EXP(-LN(2)/2)*AW41+(1-EXP(-LN(2)/2))/(LN(2)/2)*AQ42*AT42*VLOOKUP('Données projet'!$B$10,Paramètres!$A$1:$I$89,3,0)*0.475*44/12</f>
        <v>1.8127258549098955</v>
      </c>
      <c r="AX42" s="21">
        <f t="shared" si="6"/>
        <v>25.354174663867784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16.583750000000002</v>
      </c>
      <c r="BD42" s="12">
        <f>IF('Données projet'!$A$88&gt;35,BD41+BC42-BL41,IF(A42&lt;'Données projet'!$A$88,$BA$205^A42,IF(A42='Données projet'!$A$88,'Données projet'!$B$88,BD41+BC42-BL41)))</f>
        <v>285.81125000000003</v>
      </c>
      <c r="BE42" s="13">
        <f>BD42*VLOOKUP('Données projet'!$B$11,Paramètres!$A$1:$I$89,3,0)*VLOOKUP('Données projet'!$B$11,Paramètres!$A$1:$I$89,5,0)</f>
        <v>170.91512750000004</v>
      </c>
      <c r="BF42" s="13">
        <f t="shared" si="37"/>
        <v>43.294917618591782</v>
      </c>
      <c r="BG42" s="20">
        <f t="shared" si="7"/>
        <v>373.08249524821412</v>
      </c>
      <c r="BH42" s="59">
        <f t="shared" si="8"/>
        <v>666.41582858154743</v>
      </c>
      <c r="BI42" s="59">
        <f ca="1">AVERAGE(OFFSET($BH$3,0,0,'Données projet'!$E$11+1,1))-AVERAGE(OFFSET($H$3,0,0,'Données projet'!$E$11+1,1))</f>
        <v>302.00825291248458</v>
      </c>
      <c r="BJ42" s="59">
        <f t="shared" si="38"/>
        <v>307.35115839449355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28.895239528850777</v>
      </c>
      <c r="BQ42" s="21">
        <f>EXP(-LN(2)/25)*BQ41+(1-EXP(-LN(2)/25))/(LN(2)/25)*Calculateur!BL42*Calculateur!BN42*VLOOKUP('Données projet'!$B$11,Paramètres!$A$1:$I$89,3,0)*0.475*44/12</f>
        <v>16.87533189136856</v>
      </c>
      <c r="BR42" s="21">
        <f>EXP(-LN(2)/2)*BR41+(1-EXP(-LN(2)/2))/(LN(2)/2)*BL42*BO42*VLOOKUP('Données projet'!$B$11,Paramètres!$A$1:$I$89,3,0)*0.475*44/12</f>
        <v>3.961113822438838</v>
      </c>
      <c r="BS42" s="22">
        <f t="shared" si="9"/>
        <v>49.73168524265818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7.7715686274509812</v>
      </c>
      <c r="BY42" s="12">
        <f>IF('Données projet'!$A$114&gt;35,BY41+BX42-CG41,IF(A42&lt;'Données projet'!$A$114,$BV$205^A42,IF(A42='Données projet'!$A$114,'Données projet'!$B$114,BY41+BX42-CG41)))</f>
        <v>303.09117647058821</v>
      </c>
      <c r="BZ42" s="13">
        <f>BY42*VLOOKUP('Données projet'!$B$12,Paramètres!$A$1:$I$89,3,0)*VLOOKUP('Données projet'!$B$12,Paramètres!$A$1:$I$89,5,0)</f>
        <v>141.8466705882353</v>
      </c>
      <c r="CA42" s="13">
        <f t="shared" si="39"/>
        <v>36.719728610807536</v>
      </c>
      <c r="CB42" s="20">
        <f t="shared" si="10"/>
        <v>311.00314527166626</v>
      </c>
      <c r="CC42" s="59">
        <f t="shared" si="11"/>
        <v>604.33647860499957</v>
      </c>
      <c r="CD42" s="59">
        <f ca="1">AVERAGE(OFFSET($CC$3,0,0,'Données projet'!$E$12+1,1))-AVERAGE(OFFSET($H$3,0,0,'Données projet'!$E$12+1,1))</f>
        <v>337.10499990421835</v>
      </c>
      <c r="CE42" s="59">
        <f t="shared" si="40"/>
        <v>277.4254079562175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3.3603333333333336</v>
      </c>
      <c r="CT42" s="12">
        <f>IF('Données projet'!$A$140&gt;35,CT41+CS42-DB41,IF(A42&lt;'Données projet'!$A$140,$CQ$205^A42,IF(A42='Données projet'!$A$140,'Données projet'!$B$140,CT41+CS42-DB41)))</f>
        <v>131.05299999999997</v>
      </c>
      <c r="CU42" s="17">
        <f>CT42*VLOOKUP('Données projet'!$B$13,Paramètres!$A$1:$I$89,3,0)*VLOOKUP('Données projet'!$B$13,Paramètres!$A$1:$I$89,5,0)</f>
        <v>130.84331519999998</v>
      </c>
      <c r="CV42" s="13">
        <f t="shared" si="41"/>
        <v>34.191151321128977</v>
      </c>
      <c r="CW42" s="20">
        <f t="shared" si="13"/>
        <v>287.43502919096625</v>
      </c>
      <c r="CX42" s="59">
        <f t="shared" si="14"/>
        <v>580.76836252429962</v>
      </c>
      <c r="CY42" s="59">
        <f ca="1">AVERAGE(OFFSET($CX$3,0,0,'Données projet'!$E$13+1,1))-AVERAGE(OFFSET($H$3,0,0,'Données projet'!$E$13+1,1))</f>
        <v>525.74725170626471</v>
      </c>
      <c r="CZ42" s="59">
        <f t="shared" si="42"/>
        <v>259.19103598192197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4.5856818181818184</v>
      </c>
      <c r="DO42" s="12">
        <f>IF('Données projet'!$A$166&gt;35,DO41+DN42-DW41,IF(A42&lt;'Données projet'!$A$166,$DL$205^A42,IF(A42='Données projet'!$A$166,'Données projet'!$B$166,DO41+DN42-DW41)))</f>
        <v>178.84159090909108</v>
      </c>
      <c r="DP42" s="17">
        <f>DO42*VLOOKUP('Données projet'!$B$14,Paramètres!$A$1:$I$89,3,0)*VLOOKUP('Données projet'!$B$14,Paramètres!$A$1:$I$89,5,0)</f>
        <v>161.8158714545456</v>
      </c>
      <c r="DQ42" s="13">
        <f t="shared" si="43"/>
        <v>41.251820884010222</v>
      </c>
      <c r="DR42" s="20">
        <f t="shared" si="16"/>
        <v>353.67623082298468</v>
      </c>
      <c r="DS42" s="59">
        <f t="shared" si="17"/>
        <v>647.00956415631799</v>
      </c>
      <c r="DT42" s="59">
        <f ca="1">AVERAGE(OFFSET($DS$3,0,0,'Données projet'!$E$14+1,1))-AVERAGE(OFFSET($H$3,0,0,'Données projet'!$E$14+1,1))</f>
        <v>490.06222615476065</v>
      </c>
      <c r="DU42" s="59">
        <f t="shared" si="44"/>
        <v>310.43914804089906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3.3603333333333336</v>
      </c>
      <c r="EJ42" s="12">
        <f>IF('Données projet'!$A$192&gt;35,EJ41+EI42-ER41,IF(A42&lt;'Données projet'!$A$192,$EG$205^A42,IF(A42='Données projet'!$A$192,'Données projet'!$B$192,EJ41+EI42-ER41)))</f>
        <v>131.05299999999997</v>
      </c>
      <c r="EK42" s="17">
        <f>EJ42*VLOOKUP('Données projet'!$B$15,Paramètres!$A$1:$I$89,3,0)*VLOOKUP('Données projet'!$B$15,Paramètres!$A$1:$I$89,5,0)</f>
        <v>132.88774199999997</v>
      </c>
      <c r="EL42" s="13">
        <f t="shared" si="45"/>
        <v>34.662776107749004</v>
      </c>
      <c r="EM42" s="20">
        <f t="shared" si="19"/>
        <v>291.81715237099615</v>
      </c>
      <c r="EN42" s="59">
        <f t="shared" si="20"/>
        <v>585.15048570432941</v>
      </c>
      <c r="EO42" s="59">
        <f ca="1">AVERAGE(OFFSET($EN$3,0,0,'Données projet'!$E$15+1,1))-AVERAGE(OFFSET($H$3,0,0,'Données projet'!$E$15+1,1))</f>
        <v>533.26035274112917</v>
      </c>
      <c r="EP42" s="59">
        <f t="shared" si="46"/>
        <v>262.58149402282521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4.4871794871794863</v>
      </c>
      <c r="FE42" s="12">
        <f>IF('Données projet'!$A$218&gt;35,FE41+FD42-FM41,IF(A42&lt;'Données projet'!$A$218,$FB$205^A42,IF(A42='Données projet'!$A$218,'Données projet'!$B$218,FE41+FD42-FM41)))</f>
        <v>91.666666666666657</v>
      </c>
      <c r="FF42" s="17">
        <f>FE42*VLOOKUP('Données projet'!$B$16,Paramètres!$A$1:$I$89,3,0)*VLOOKUP('Données projet'!$B$16,Paramètres!$A$1:$I$89,5,0)</f>
        <v>95.81</v>
      </c>
      <c r="FG42" s="13">
        <f t="shared" si="47"/>
        <v>25.961314793499493</v>
      </c>
      <c r="FH42" s="20">
        <f t="shared" si="22"/>
        <v>212.08503993201165</v>
      </c>
      <c r="FI42" s="59">
        <f t="shared" si="23"/>
        <v>505.41837326534494</v>
      </c>
      <c r="FJ42" s="59">
        <f ca="1">AVERAGE(OFFSET($FI$3,0,0,'Données projet'!$E$16+1,1))-AVERAGE(OFFSET($H$3,0,0,'Données projet'!$E$16+1,1))</f>
        <v>239.26156489359892</v>
      </c>
      <c r="FK42" s="59">
        <f t="shared" si="48"/>
        <v>213.97034450798111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10.071470563668397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10.071470563668397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9.8128571428571423</v>
      </c>
      <c r="N43" s="13">
        <f>IF('Données projet'!$A$36&gt;35,N42+M43-V42,IF(A43&lt;'Données projet'!$A$36,$K$205^A43,IF(A43='Données projet'!$A$36,'Données projet'!$B$36,N42+M43-V42)))</f>
        <v>100.6857142857143</v>
      </c>
      <c r="O43" s="13">
        <f>N43*VLOOKUP('Données projet'!$B$9,Paramètres!$A$1:$I$89,3,0)*VLOOKUP('Données projet'!$B$9,Paramètres!$A$1:$I$89,5,0)</f>
        <v>95.812525714285727</v>
      </c>
      <c r="P43" s="13">
        <f t="shared" si="33"/>
        <v>25.961919514574856</v>
      </c>
      <c r="Q43" s="20">
        <f t="shared" si="53"/>
        <v>212.09049210693217</v>
      </c>
      <c r="R43" s="59">
        <f t="shared" si="0"/>
        <v>505.42382544026549</v>
      </c>
      <c r="S43" s="59">
        <f ca="1">AVERAGE(OFFSET($R$3,0,0,'Données projet'!$E$9+1,1))-AVERAGE(OFFSET($H$3,0,0,'Données projet'!$E$9+1,1))</f>
        <v>449.28947235329758</v>
      </c>
      <c r="T43" s="59">
        <f t="shared" si="34"/>
        <v>289.36994109443964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24.405923505366729</v>
      </c>
      <c r="AB43" s="21">
        <f>EXP(-LN(2)/2)*AB42+(1-EXP(-LN(2)/2))/(LN(2)/2)*V43*Y43*VLOOKUP('Données projet'!$B$9,Paramètres!$A$1:$I$89,3,0)*0.475*44/12</f>
        <v>6.4259855368437542</v>
      </c>
      <c r="AC43" s="22">
        <f t="shared" si="3"/>
        <v>30.831909042210484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16.693750000000001</v>
      </c>
      <c r="AI43" s="13">
        <f>IF('Données projet'!$A$62&gt;35,AI42+AH43-AQ42,IF(A43&lt;'Données projet'!$A$62,$AF$205^A43,IF(A43='Données projet'!$A$62,'Données projet'!$B$62,AI42+AH43-AQ42)))</f>
        <v>284.04625000000004</v>
      </c>
      <c r="AJ43" s="13">
        <f>AI43*VLOOKUP('Données projet'!$B$10,Paramètres!$A$1:$I$89,3,0)*VLOOKUP('Données projet'!$B$10,Paramètres!$A$1:$I$89,5,0)</f>
        <v>169.85965750000003</v>
      </c>
      <c r="AK43" s="13">
        <f t="shared" si="35"/>
        <v>43.058590023226742</v>
      </c>
      <c r="AL43" s="20">
        <f t="shared" si="4"/>
        <v>370.83261443628663</v>
      </c>
      <c r="AM43" s="59">
        <f t="shared" si="5"/>
        <v>664.16594776961995</v>
      </c>
      <c r="AN43" s="59">
        <f ca="1">AVERAGE(OFFSET($AM$3,0,0,'Données projet'!$E$10+1,1))-AVERAGE(OFFSET($H$3,0,0,'Données projet'!$E$10+1,1))</f>
        <v>349.71285006949597</v>
      </c>
      <c r="AO43" s="59">
        <f t="shared" si="36"/>
        <v>258.51550516456842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9.8249266705959872</v>
      </c>
      <c r="AV43" s="21">
        <f>EXP(-LN(2)/25)*AV42+(1-EXP(-LN(2)/25))/(LN(2)/25)*Calculateur!AQ43*Calculateur!AS43*VLOOKUP('Données projet'!$B$10,Paramètres!$A$1:$I$89,3,0)*0.475*44/12</f>
        <v>13.150302468432365</v>
      </c>
      <c r="AW43" s="21">
        <f>EXP(-LN(2)/2)*AW42+(1-EXP(-LN(2)/2))/(LN(2)/2)*AQ43*AT43*VLOOKUP('Données projet'!$B$10,Paramètres!$A$1:$I$89,3,0)*0.475*44/12</f>
        <v>1.2817907444389689</v>
      </c>
      <c r="AX43" s="21">
        <f t="shared" si="6"/>
        <v>24.257019883467319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16.583750000000002</v>
      </c>
      <c r="BD43" s="12">
        <f>IF('Données projet'!$A$88&gt;35,BD42+BC43-BL42,IF(A43&lt;'Données projet'!$A$88,$BA$205^A43,IF(A43='Données projet'!$A$88,'Données projet'!$B$88,BD42+BC43-BL42)))</f>
        <v>302.39500000000004</v>
      </c>
      <c r="BE43" s="13">
        <f>BD43*VLOOKUP('Données projet'!$B$11,Paramètres!$A$1:$I$89,3,0)*VLOOKUP('Données projet'!$B$11,Paramètres!$A$1:$I$89,5,0)</f>
        <v>180.83221000000003</v>
      </c>
      <c r="BF43" s="13">
        <f t="shared" si="37"/>
        <v>45.507287823747916</v>
      </c>
      <c r="BG43" s="20">
        <f t="shared" si="7"/>
        <v>394.20795870969431</v>
      </c>
      <c r="BH43" s="59">
        <f t="shared" si="8"/>
        <v>687.54129204302762</v>
      </c>
      <c r="BI43" s="59">
        <f ca="1">AVERAGE(OFFSET($BH$3,0,0,'Données projet'!$E$11+1,1))-AVERAGE(OFFSET($H$3,0,0,'Données projet'!$E$11+1,1))</f>
        <v>302.00825291248458</v>
      </c>
      <c r="BJ43" s="59">
        <f t="shared" si="38"/>
        <v>307.35115839449355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28.328621506045867</v>
      </c>
      <c r="BQ43" s="21">
        <f>EXP(-LN(2)/25)*BQ42+(1-EXP(-LN(2)/25))/(LN(2)/25)*Calculateur!BL43*Calculateur!BN43*VLOOKUP('Données projet'!$B$11,Paramètres!$A$1:$I$89,3,0)*0.475*44/12</f>
        <v>16.413875053363952</v>
      </c>
      <c r="BR43" s="21">
        <f>EXP(-LN(2)/2)*BR42+(1-EXP(-LN(2)/2))/(LN(2)/2)*BL43*BO43*VLOOKUP('Données projet'!$B$11,Paramètres!$A$1:$I$89,3,0)*0.475*44/12</f>
        <v>2.8009304448982686</v>
      </c>
      <c r="BS43" s="22">
        <f t="shared" si="9"/>
        <v>47.543427004308086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7.7715686274509812</v>
      </c>
      <c r="BY43" s="12">
        <f>IF('Données projet'!$A$114&gt;35,BY42+BX43-CG42,IF(A43&lt;'Données projet'!$A$114,$BV$205^A43,IF(A43='Données projet'!$A$114,'Données projet'!$B$114,BY42+BX43-CG42)))</f>
        <v>310.86274509803917</v>
      </c>
      <c r="BZ43" s="13">
        <f>BY43*VLOOKUP('Données projet'!$B$12,Paramètres!$A$1:$I$89,3,0)*VLOOKUP('Données projet'!$B$12,Paramètres!$A$1:$I$89,5,0)</f>
        <v>145.48376470588232</v>
      </c>
      <c r="CA43" s="13">
        <f t="shared" si="39"/>
        <v>37.550436028495511</v>
      </c>
      <c r="CB43" s="20">
        <f t="shared" si="10"/>
        <v>318.78456627904137</v>
      </c>
      <c r="CC43" s="59">
        <f t="shared" si="11"/>
        <v>612.11789961237469</v>
      </c>
      <c r="CD43" s="59">
        <f ca="1">AVERAGE(OFFSET($CC$3,0,0,'Données projet'!$E$12+1,1))-AVERAGE(OFFSET($H$3,0,0,'Données projet'!$E$12+1,1))</f>
        <v>337.10499990421835</v>
      </c>
      <c r="CE43" s="59">
        <f t="shared" si="40"/>
        <v>277.4254079562175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3.3603333333333336</v>
      </c>
      <c r="CT43" s="12">
        <f>IF('Données projet'!$A$140&gt;35,CT42+CS43-DB42,IF(A43&lt;'Données projet'!$A$140,$CQ$205^A43,IF(A43='Données projet'!$A$140,'Données projet'!$B$140,CT42+CS43-DB42)))</f>
        <v>134.4133333333333</v>
      </c>
      <c r="CU43" s="17">
        <f>CT43*VLOOKUP('Données projet'!$B$13,Paramètres!$A$1:$I$89,3,0)*VLOOKUP('Données projet'!$B$13,Paramètres!$A$1:$I$89,5,0)</f>
        <v>134.19827199999997</v>
      </c>
      <c r="CV43" s="13">
        <f t="shared" si="41"/>
        <v>34.964654941561356</v>
      </c>
      <c r="CW43" s="20">
        <f t="shared" si="13"/>
        <v>294.62543108988598</v>
      </c>
      <c r="CX43" s="59">
        <f t="shared" si="14"/>
        <v>587.95876442321924</v>
      </c>
      <c r="CY43" s="59">
        <f ca="1">AVERAGE(OFFSET($CX$3,0,0,'Données projet'!$E$13+1,1))-AVERAGE(OFFSET($H$3,0,0,'Données projet'!$E$13+1,1))</f>
        <v>525.74725170626471</v>
      </c>
      <c r="CZ43" s="59">
        <f t="shared" si="42"/>
        <v>259.19103598192197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4.5856818181818184</v>
      </c>
      <c r="DO43" s="12">
        <f>IF('Données projet'!$A$166&gt;35,DO42+DN43-DW42,IF(A43&lt;'Données projet'!$A$166,$DL$205^A43,IF(A43='Données projet'!$A$166,'Données projet'!$B$166,DO42+DN43-DW42)))</f>
        <v>183.42727272727291</v>
      </c>
      <c r="DP43" s="17">
        <f>DO43*VLOOKUP('Données projet'!$B$14,Paramètres!$A$1:$I$89,3,0)*VLOOKUP('Données projet'!$B$14,Paramètres!$A$1:$I$89,5,0)</f>
        <v>165.96499636363652</v>
      </c>
      <c r="DQ43" s="13">
        <f t="shared" si="43"/>
        <v>42.185057454593114</v>
      </c>
      <c r="DR43" s="20">
        <f t="shared" si="16"/>
        <v>362.52801040008325</v>
      </c>
      <c r="DS43" s="59">
        <f t="shared" si="17"/>
        <v>655.86134373341656</v>
      </c>
      <c r="DT43" s="59">
        <f ca="1">AVERAGE(OFFSET($DS$3,0,0,'Données projet'!$E$14+1,1))-AVERAGE(OFFSET($H$3,0,0,'Données projet'!$E$14+1,1))</f>
        <v>490.06222615476065</v>
      </c>
      <c r="DU43" s="59">
        <f t="shared" si="44"/>
        <v>310.43914804089906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3.3603333333333336</v>
      </c>
      <c r="EJ43" s="12">
        <f>IF('Données projet'!$A$192&gt;35,EJ42+EI43-ER42,IF(A43&lt;'Données projet'!$A$192,$EG$205^A43,IF(A43='Données projet'!$A$192,'Données projet'!$B$192,EJ42+EI43-ER42)))</f>
        <v>134.4133333333333</v>
      </c>
      <c r="EK43" s="17">
        <f>EJ43*VLOOKUP('Données projet'!$B$15,Paramètres!$A$1:$I$89,3,0)*VLOOKUP('Données projet'!$B$15,Paramètres!$A$1:$I$89,5,0)</f>
        <v>136.29511999999997</v>
      </c>
      <c r="EL43" s="13">
        <f t="shared" si="45"/>
        <v>35.44694925716302</v>
      </c>
      <c r="EM43" s="20">
        <f t="shared" si="19"/>
        <v>299.11743728955889</v>
      </c>
      <c r="EN43" s="59">
        <f t="shared" si="20"/>
        <v>592.45077062289215</v>
      </c>
      <c r="EO43" s="59">
        <f ca="1">AVERAGE(OFFSET($EN$3,0,0,'Données projet'!$E$15+1,1))-AVERAGE(OFFSET($H$3,0,0,'Données projet'!$E$15+1,1))</f>
        <v>533.26035274112917</v>
      </c>
      <c r="EP43" s="59">
        <f t="shared" si="46"/>
        <v>262.58149402282521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96.153846153846146</v>
      </c>
      <c r="FC43" s="12">
        <f>VLOOKUP(A43,'Données projet'!$A$217:$I$237,9,0)</f>
        <v>4.4871794871794863</v>
      </c>
      <c r="FD43" s="12">
        <f t="array" ref="FD43">INDEX(FC:FC,MIN(IF(ISNUMBER(FC43:FC239),ROW(FC43:FC239),"")))</f>
        <v>4.4871794871794863</v>
      </c>
      <c r="FE43" s="12">
        <f>IF('Données projet'!$A$218&gt;35,FE42+FD43-FM42,IF(A43&lt;'Données projet'!$A$218,$FB$205^A43,IF(A43='Données projet'!$A$218,'Données projet'!$B$218,FE42+FD43-FM42)))</f>
        <v>96.153846153846146</v>
      </c>
      <c r="FF43" s="17">
        <f>FE43*VLOOKUP('Données projet'!$B$16,Paramètres!$A$1:$I$89,3,0)*VLOOKUP('Données projet'!$B$16,Paramètres!$A$1:$I$89,5,0)</f>
        <v>100.5</v>
      </c>
      <c r="FG43" s="13">
        <f t="shared" si="47"/>
        <v>27.081081054477867</v>
      </c>
      <c r="FH43" s="20">
        <f t="shared" si="22"/>
        <v>222.20371616988226</v>
      </c>
      <c r="FI43" s="59">
        <f t="shared" si="23"/>
        <v>515.5370495032156</v>
      </c>
      <c r="FJ43" s="59">
        <f ca="1">AVERAGE(OFFSET($FI$3,0,0,'Données projet'!$E$16+1,1))-AVERAGE(OFFSET($H$3,0,0,'Données projet'!$E$16+1,1))</f>
        <v>239.26156489359892</v>
      </c>
      <c r="FK43" s="59">
        <f t="shared" si="48"/>
        <v>213.97034450798111</v>
      </c>
      <c r="FL43" s="15">
        <f>IF(ISNA(VLOOKUP(A43,'Données projet'!$A$217:$I$237,3,0)),0,VLOOKUP(A43,'Données projet'!$A$217:$I$237,3,0))</f>
        <v>5</v>
      </c>
      <c r="FM43" s="15">
        <f>IF(ISNA(VLOOKUP(A43,'Données projet'!$A$217:$I$237,4,0)),0,VLOOKUP(A43,'Données projet'!$A$217:$I$237,4,0))</f>
        <v>12.820512820512819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0.215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12.968385826913392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12.968385826913392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9.8128571428571423</v>
      </c>
      <c r="N44" s="13">
        <f>IF('Données projet'!$A$36&gt;35,N43+M44-V43,IF(A44&lt;'Données projet'!$A$36,$K$205^A44,IF(A44='Données projet'!$A$36,'Données projet'!$B$36,N43+M44-V43)))</f>
        <v>110.49857142857144</v>
      </c>
      <c r="O44" s="13">
        <f>N44*VLOOKUP('Données projet'!$B$9,Paramètres!$A$1:$I$89,3,0)*VLOOKUP('Données projet'!$B$9,Paramètres!$A$1:$I$89,5,0)</f>
        <v>105.15044057142858</v>
      </c>
      <c r="P44" s="13">
        <f t="shared" si="33"/>
        <v>28.185409559827399</v>
      </c>
      <c r="Q44" s="20">
        <f t="shared" si="53"/>
        <v>232.22660564527078</v>
      </c>
      <c r="R44" s="59">
        <f t="shared" si="0"/>
        <v>525.55993897860412</v>
      </c>
      <c r="S44" s="59">
        <f ca="1">AVERAGE(OFFSET($R$3,0,0,'Données projet'!$E$9+1,1))-AVERAGE(OFFSET($H$3,0,0,'Données projet'!$E$9+1,1))</f>
        <v>449.28947235329758</v>
      </c>
      <c r="T44" s="59">
        <f t="shared" si="34"/>
        <v>289.36994109443964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23.738542243660739</v>
      </c>
      <c r="AB44" s="21">
        <f>EXP(-LN(2)/2)*AB43+(1-EXP(-LN(2)/2))/(LN(2)/2)*V44*Y44*VLOOKUP('Données projet'!$B$9,Paramètres!$A$1:$I$89,3,0)*0.475*44/12</f>
        <v>4.5438579489088955</v>
      </c>
      <c r="AC44" s="22">
        <f t="shared" si="3"/>
        <v>28.282400192569632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300.74</v>
      </c>
      <c r="AG44" s="12">
        <f>VLOOKUP(A44,'Données projet'!$A$61:$I$81,9,0)</f>
        <v>16.693750000000001</v>
      </c>
      <c r="AH44" s="12">
        <f t="array" ref="AH44">INDEX(AG:AG,MIN(IF(ISNUMBER(AG44:AG240),ROW(AG44:AG240),"")))</f>
        <v>16.693750000000001</v>
      </c>
      <c r="AI44" s="13">
        <f>IF('Données projet'!$A$62&gt;35,AI43+AH44-AQ43,IF(A44&lt;'Données projet'!$A$62,$AF$205^A44,IF(A44='Données projet'!$A$62,'Données projet'!$B$62,AI43+AH44-AQ43)))</f>
        <v>300.74000000000007</v>
      </c>
      <c r="AJ44" s="13">
        <f>AI44*VLOOKUP('Données projet'!$B$10,Paramètres!$A$1:$I$89,3,0)*VLOOKUP('Données projet'!$B$10,Paramètres!$A$1:$I$89,5,0)</f>
        <v>179.84252000000006</v>
      </c>
      <c r="AK44" s="13">
        <f t="shared" si="35"/>
        <v>45.287147983377729</v>
      </c>
      <c r="AL44" s="20">
        <f t="shared" si="4"/>
        <v>392.10083840438301</v>
      </c>
      <c r="AM44" s="59">
        <f t="shared" si="5"/>
        <v>685.43417173771627</v>
      </c>
      <c r="AN44" s="59">
        <f ca="1">AVERAGE(OFFSET($AM$3,0,0,'Données projet'!$E$10+1,1))-AVERAGE(OFFSET($H$3,0,0,'Données projet'!$E$10+1,1))</f>
        <v>349.71285006949597</v>
      </c>
      <c r="AO44" s="59">
        <f t="shared" si="36"/>
        <v>258.51550516456842</v>
      </c>
      <c r="AP44" s="15">
        <f>IF(ISNA(VLOOKUP(A44,'Données projet'!$A$61:$I$81,3,0)),0,VLOOKUP(A44,'Données projet'!$A$61:$I$81,3,0))</f>
        <v>4</v>
      </c>
      <c r="AQ44" s="15">
        <f>IF(ISNA(VLOOKUP(A44,'Données projet'!$A$61:$I$81,4,0)),0,VLOOKUP(A44,'Données projet'!$A$61:$I$81,4,0))</f>
        <v>72.16</v>
      </c>
      <c r="AR44" s="16">
        <f>IF(ISNA(VLOOKUP(A44,'Données projet'!$A$61:$I$81,5,0)),0%,VLOOKUP(A44,'Données projet'!$A$61:$I$81,5,0)*VLOOKUP('Données projet'!$B$10,Paramètres!$A$1:$I$89,7,0))</f>
        <v>0.27</v>
      </c>
      <c r="AS44" s="16">
        <f>IF(ISNA(VLOOKUP(A44,'Données projet'!$A$61:$I$81,6,0)),0%,VLOOKUP(A44,'Données projet'!$A$61:$I$81,6,0)*VLOOKUP('Données projet'!$B$10,Paramètres!$A$1:$I$89,7,0))</f>
        <v>9.0000000000000011E-2</v>
      </c>
      <c r="AT44" s="16">
        <f>IF(ISNA(VLOOKUP(A44,'Données projet'!$A$61:$I$81,7,0)),0%,VLOOKUP(A44,'Données projet'!$A$61:$I$81,7,0))</f>
        <v>0.2</v>
      </c>
      <c r="AU44" s="21">
        <f>EXP(-LN(2)/35)*AU43+(1-EXP(-LN(2)/35))/(LN(2)/35)*AQ44*AR44*VLOOKUP('Données projet'!$B$10,Paramètres!$A$1:$I$89,3,0)*0.475*44/12</f>
        <v>25.088006768934498</v>
      </c>
      <c r="AV44" s="21">
        <f>EXP(-LN(2)/25)*AV43+(1-EXP(-LN(2)/25))/(LN(2)/25)*Calculateur!AQ44*Calculateur!AS44*VLOOKUP('Données projet'!$B$10,Paramètres!$A$1:$I$89,3,0)*0.475*44/12</f>
        <v>17.922335348103143</v>
      </c>
      <c r="AW44" s="21">
        <f>EXP(-LN(2)/2)*AW43+(1-EXP(-LN(2)/2))/(LN(2)/2)*AQ44*AT44*VLOOKUP('Données projet'!$B$10,Paramètres!$A$1:$I$89,3,0)*0.475*44/12</f>
        <v>10.677908085160318</v>
      </c>
      <c r="AX44" s="21">
        <f t="shared" si="6"/>
        <v>53.688250202197956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16.583750000000002</v>
      </c>
      <c r="BD44" s="12">
        <f>IF('Données projet'!$A$88&gt;35,BD43+BC44-BL43,IF(A44&lt;'Données projet'!$A$88,$BA$205^A44,IF(A44='Données projet'!$A$88,'Données projet'!$B$88,BD43+BC44-BL43)))</f>
        <v>318.97875000000005</v>
      </c>
      <c r="BE44" s="13">
        <f>BD44*VLOOKUP('Données projet'!$B$11,Paramètres!$A$1:$I$89,3,0)*VLOOKUP('Données projet'!$B$11,Paramètres!$A$1:$I$89,5,0)</f>
        <v>190.74929250000002</v>
      </c>
      <c r="BF44" s="13">
        <f t="shared" si="37"/>
        <v>47.705572818216723</v>
      </c>
      <c r="BG44" s="20">
        <f t="shared" si="7"/>
        <v>415.30889042922746</v>
      </c>
      <c r="BH44" s="59">
        <f t="shared" si="8"/>
        <v>708.64222376256077</v>
      </c>
      <c r="BI44" s="59">
        <f ca="1">AVERAGE(OFFSET($BH$3,0,0,'Données projet'!$E$11+1,1))-AVERAGE(OFFSET($H$3,0,0,'Données projet'!$E$11+1,1))</f>
        <v>302.00825291248458</v>
      </c>
      <c r="BJ44" s="59">
        <f t="shared" si="38"/>
        <v>307.35115839449355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27.773114517065292</v>
      </c>
      <c r="BQ44" s="21">
        <f>EXP(-LN(2)/25)*BQ43+(1-EXP(-LN(2)/25))/(LN(2)/25)*Calculateur!BL44*Calculateur!BN44*VLOOKUP('Données projet'!$B$11,Paramètres!$A$1:$I$89,3,0)*0.475*44/12</f>
        <v>15.96503677686154</v>
      </c>
      <c r="BR44" s="21">
        <f>EXP(-LN(2)/2)*BR43+(1-EXP(-LN(2)/2))/(LN(2)/2)*BL44*BO44*VLOOKUP('Données projet'!$B$11,Paramètres!$A$1:$I$89,3,0)*0.475*44/12</f>
        <v>1.9805569112194195</v>
      </c>
      <c r="BS44" s="22">
        <f t="shared" si="9"/>
        <v>45.71870820514625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7.7715686274509812</v>
      </c>
      <c r="BY44" s="12">
        <f>IF('Données projet'!$A$114&gt;35,BY43+BX44-CG43,IF(A44&lt;'Données projet'!$A$114,$BV$205^A44,IF(A44='Données projet'!$A$114,'Données projet'!$B$114,BY43+BX44-CG43)))</f>
        <v>318.63431372549013</v>
      </c>
      <c r="BZ44" s="13">
        <f>BY44*VLOOKUP('Données projet'!$B$12,Paramètres!$A$1:$I$89,3,0)*VLOOKUP('Données projet'!$B$12,Paramètres!$A$1:$I$89,5,0)</f>
        <v>149.12085882352937</v>
      </c>
      <c r="CA44" s="13">
        <f t="shared" si="39"/>
        <v>38.378729335686863</v>
      </c>
      <c r="CB44" s="20">
        <f t="shared" si="10"/>
        <v>326.56178271063499</v>
      </c>
      <c r="CC44" s="59">
        <f t="shared" si="11"/>
        <v>619.8951160439683</v>
      </c>
      <c r="CD44" s="59">
        <f ca="1">AVERAGE(OFFSET($CC$3,0,0,'Données projet'!$E$12+1,1))-AVERAGE(OFFSET($H$3,0,0,'Données projet'!$E$12+1,1))</f>
        <v>337.10499990421835</v>
      </c>
      <c r="CE44" s="59">
        <f t="shared" si="40"/>
        <v>277.4254079562175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3.3603333333333336</v>
      </c>
      <c r="CT44" s="12">
        <f>IF('Données projet'!$A$140&gt;35,CT43+CS44-DB43,IF(A44&lt;'Données projet'!$A$140,$CQ$205^A44,IF(A44='Données projet'!$A$140,'Données projet'!$B$140,CT43+CS44-DB43)))</f>
        <v>137.77366666666663</v>
      </c>
      <c r="CU44" s="17">
        <f>CT44*VLOOKUP('Données projet'!$B$13,Paramètres!$A$1:$I$89,3,0)*VLOOKUP('Données projet'!$B$13,Paramètres!$A$1:$I$89,5,0)</f>
        <v>137.55322879999997</v>
      </c>
      <c r="CV44" s="13">
        <f t="shared" si="41"/>
        <v>35.735910690878725</v>
      </c>
      <c r="CW44" s="20">
        <f t="shared" si="13"/>
        <v>301.81191794661373</v>
      </c>
      <c r="CX44" s="59">
        <f t="shared" si="14"/>
        <v>595.14525127994705</v>
      </c>
      <c r="CY44" s="59">
        <f ca="1">AVERAGE(OFFSET($CX$3,0,0,'Données projet'!$E$13+1,1))-AVERAGE(OFFSET($H$3,0,0,'Données projet'!$E$13+1,1))</f>
        <v>525.74725170626471</v>
      </c>
      <c r="CZ44" s="59">
        <f t="shared" si="42"/>
        <v>259.19103598192197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4.5856818181818184</v>
      </c>
      <c r="DO44" s="12">
        <f>IF('Données projet'!$A$166&gt;35,DO43+DN44-DW43,IF(A44&lt;'Données projet'!$A$166,$DL$205^A44,IF(A44='Données projet'!$A$166,'Données projet'!$B$166,DO43+DN44-DW43)))</f>
        <v>188.01295454545473</v>
      </c>
      <c r="DP44" s="17">
        <f>DO44*VLOOKUP('Données projet'!$B$14,Paramètres!$A$1:$I$89,3,0)*VLOOKUP('Données projet'!$B$14,Paramètres!$A$1:$I$89,5,0)</f>
        <v>170.11412127272743</v>
      </c>
      <c r="DQ44" s="13">
        <f t="shared" si="43"/>
        <v>43.115581955736218</v>
      </c>
      <c r="DR44" s="20">
        <f t="shared" si="16"/>
        <v>371.3750664562408</v>
      </c>
      <c r="DS44" s="59">
        <f t="shared" si="17"/>
        <v>664.70839978957406</v>
      </c>
      <c r="DT44" s="59">
        <f ca="1">AVERAGE(OFFSET($DS$3,0,0,'Données projet'!$E$14+1,1))-AVERAGE(OFFSET($H$3,0,0,'Données projet'!$E$14+1,1))</f>
        <v>490.06222615476065</v>
      </c>
      <c r="DU44" s="59">
        <f t="shared" si="44"/>
        <v>310.43914804089906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3.3603333333333336</v>
      </c>
      <c r="EJ44" s="12">
        <f>IF('Données projet'!$A$192&gt;35,EJ43+EI44-ER43,IF(A44&lt;'Données projet'!$A$192,$EG$205^A44,IF(A44='Données projet'!$A$192,'Données projet'!$B$192,EJ43+EI44-ER43)))</f>
        <v>137.77366666666663</v>
      </c>
      <c r="EK44" s="17">
        <f>EJ44*VLOOKUP('Données projet'!$B$15,Paramètres!$A$1:$I$89,3,0)*VLOOKUP('Données projet'!$B$15,Paramètres!$A$1:$I$89,5,0)</f>
        <v>139.70249799999996</v>
      </c>
      <c r="EL44" s="13">
        <f t="shared" si="45"/>
        <v>36.228843528850774</v>
      </c>
      <c r="EM44" s="20">
        <f t="shared" si="19"/>
        <v>306.41375316274832</v>
      </c>
      <c r="EN44" s="59">
        <f t="shared" si="20"/>
        <v>599.74708649608169</v>
      </c>
      <c r="EO44" s="59">
        <f ca="1">AVERAGE(OFFSET($EN$3,0,0,'Données projet'!$E$15+1,1))-AVERAGE(OFFSET($H$3,0,0,'Données projet'!$E$15+1,1))</f>
        <v>533.26035274112917</v>
      </c>
      <c r="EP44" s="59">
        <f t="shared" si="46"/>
        <v>262.58149402282521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4.1025641025641022</v>
      </c>
      <c r="FE44" s="12">
        <f>IF('Données projet'!$A$218&gt;35,FE43+FD44-FM43,IF(A44&lt;'Données projet'!$A$218,$FB$205^A44,IF(A44='Données projet'!$A$218,'Données projet'!$B$218,FE43+FD44-FM43)))</f>
        <v>87.435897435897431</v>
      </c>
      <c r="FF44" s="17">
        <f>FE44*VLOOKUP('Données projet'!$B$16,Paramètres!$A$1:$I$89,3,0)*VLOOKUP('Données projet'!$B$16,Paramètres!$A$1:$I$89,5,0)</f>
        <v>91.388000000000005</v>
      </c>
      <c r="FG44" s="13">
        <f t="shared" si="47"/>
        <v>24.899678416779619</v>
      </c>
      <c r="FH44" s="20">
        <f t="shared" si="22"/>
        <v>202.53437324255785</v>
      </c>
      <c r="FI44" s="59">
        <f t="shared" si="23"/>
        <v>495.86770657589113</v>
      </c>
      <c r="FJ44" s="59">
        <f ca="1">AVERAGE(OFFSET($FI$3,0,0,'Données projet'!$E$16+1,1))-AVERAGE(OFFSET($H$3,0,0,'Données projet'!$E$16+1,1))</f>
        <v>239.26156489359892</v>
      </c>
      <c r="FK44" s="59">
        <f t="shared" si="48"/>
        <v>213.97034450798111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12.613764634498676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12.613764634498676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9.8128571428571423</v>
      </c>
      <c r="N45" s="13">
        <f>IF('Données projet'!$A$36&gt;35,N44+M45-V44,IF(A45&lt;'Données projet'!$A$36,$K$205^A45,IF(A45='Données projet'!$A$36,'Données projet'!$B$36,N44+M45-V44)))</f>
        <v>120.31142857142858</v>
      </c>
      <c r="O45" s="13">
        <f>N45*VLOOKUP('Données projet'!$B$9,Paramètres!$A$1:$I$89,3,0)*VLOOKUP('Données projet'!$B$9,Paramètres!$A$1:$I$89,5,0)</f>
        <v>114.48835542857144</v>
      </c>
      <c r="P45" s="13">
        <f t="shared" si="33"/>
        <v>30.386002172379861</v>
      </c>
      <c r="Q45" s="20">
        <f t="shared" si="53"/>
        <v>252.32283948832352</v>
      </c>
      <c r="R45" s="59">
        <f t="shared" si="0"/>
        <v>545.65617282165681</v>
      </c>
      <c r="S45" s="59">
        <f ca="1">AVERAGE(OFFSET($R$3,0,0,'Données projet'!$E$9+1,1))-AVERAGE(OFFSET($H$3,0,0,'Données projet'!$E$9+1,1))</f>
        <v>449.28947235329758</v>
      </c>
      <c r="T45" s="59">
        <f t="shared" si="34"/>
        <v>289.36994109443964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23.089410557652155</v>
      </c>
      <c r="AB45" s="21">
        <f>EXP(-LN(2)/2)*AB44+(1-EXP(-LN(2)/2))/(LN(2)/2)*V45*Y45*VLOOKUP('Données projet'!$B$9,Paramètres!$A$1:$I$89,3,0)*0.475*44/12</f>
        <v>3.2129927684218771</v>
      </c>
      <c r="AC45" s="22">
        <f t="shared" si="3"/>
        <v>26.302403326074032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15.714444444444442</v>
      </c>
      <c r="AI45" s="13">
        <f>IF('Données projet'!$A$62&gt;35,AI44+AH45-AQ44,IF(A45&lt;'Données projet'!$A$62,$AF$205^A45,IF(A45='Données projet'!$A$62,'Données projet'!$B$62,AI44+AH45-AQ44)))</f>
        <v>244.29444444444451</v>
      </c>
      <c r="AJ45" s="13">
        <f>AI45*VLOOKUP('Données projet'!$B$10,Paramètres!$A$1:$I$89,3,0)*VLOOKUP('Données projet'!$B$10,Paramètres!$A$1:$I$89,5,0)</f>
        <v>146.08807777777784</v>
      </c>
      <c r="AK45" s="13">
        <f t="shared" si="35"/>
        <v>37.688224634642516</v>
      </c>
      <c r="AL45" s="20">
        <f t="shared" si="4"/>
        <v>320.07706003496543</v>
      </c>
      <c r="AM45" s="59">
        <f t="shared" si="5"/>
        <v>613.41039336829874</v>
      </c>
      <c r="AN45" s="59">
        <f ca="1">AVERAGE(OFFSET($AM$3,0,0,'Données projet'!$E$10+1,1))-AVERAGE(OFFSET($H$3,0,0,'Données projet'!$E$10+1,1))</f>
        <v>349.71285006949597</v>
      </c>
      <c r="AO45" s="59">
        <f t="shared" si="36"/>
        <v>258.51550516456842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24.596046258368858</v>
      </c>
      <c r="AV45" s="21">
        <f>EXP(-LN(2)/25)*AV44+(1-EXP(-LN(2)/25))/(LN(2)/25)*Calculateur!AQ45*Calculateur!AS45*VLOOKUP('Données projet'!$B$10,Paramètres!$A$1:$I$89,3,0)*0.475*44/12</f>
        <v>17.43224814551461</v>
      </c>
      <c r="AW45" s="21">
        <f>EXP(-LN(2)/2)*AW44+(1-EXP(-LN(2)/2))/(LN(2)/2)*AQ45*AT45*VLOOKUP('Données projet'!$B$10,Paramètres!$A$1:$I$89,3,0)*0.475*44/12</f>
        <v>7.5504212159035244</v>
      </c>
      <c r="AX45" s="21">
        <f t="shared" si="6"/>
        <v>49.57871561978699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16.583750000000002</v>
      </c>
      <c r="BD45" s="12">
        <f>IF('Données projet'!$A$88&gt;35,BD44+BC45-BL44,IF(A45&lt;'Données projet'!$A$88,$BA$205^A45,IF(A45='Données projet'!$A$88,'Données projet'!$B$88,BD44+BC45-BL44)))</f>
        <v>335.56250000000006</v>
      </c>
      <c r="BE45" s="13">
        <f>BD45*VLOOKUP('Données projet'!$B$11,Paramètres!$A$1:$I$89,3,0)*VLOOKUP('Données projet'!$B$11,Paramètres!$A$1:$I$89,5,0)</f>
        <v>200.66637500000007</v>
      </c>
      <c r="BF45" s="13">
        <f t="shared" si="37"/>
        <v>49.890588417680917</v>
      </c>
      <c r="BG45" s="20">
        <f t="shared" si="7"/>
        <v>436.38671128579443</v>
      </c>
      <c r="BH45" s="59">
        <f t="shared" si="8"/>
        <v>729.72004461912775</v>
      </c>
      <c r="BI45" s="59">
        <f ca="1">AVERAGE(OFFSET($BH$3,0,0,'Données projet'!$E$11+1,1))-AVERAGE(OFFSET($H$3,0,0,'Données projet'!$E$11+1,1))</f>
        <v>302.00825291248458</v>
      </c>
      <c r="BJ45" s="59">
        <f t="shared" si="38"/>
        <v>307.35115839449355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27.228500681312816</v>
      </c>
      <c r="BQ45" s="21">
        <f>EXP(-LN(2)/25)*BQ44+(1-EXP(-LN(2)/25))/(LN(2)/25)*Calculateur!BL45*Calculateur!BN45*VLOOKUP('Données projet'!$B$11,Paramètres!$A$1:$I$89,3,0)*0.475*44/12</f>
        <v>15.528472006633466</v>
      </c>
      <c r="BR45" s="21">
        <f>EXP(-LN(2)/2)*BR44+(1-EXP(-LN(2)/2))/(LN(2)/2)*BL45*BO45*VLOOKUP('Données projet'!$B$11,Paramètres!$A$1:$I$89,3,0)*0.475*44/12</f>
        <v>1.4004652224491345</v>
      </c>
      <c r="BS45" s="22">
        <f t="shared" si="9"/>
        <v>44.157437910395416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7.7715686274509812</v>
      </c>
      <c r="BY45" s="12">
        <f>IF('Données projet'!$A$114&gt;35,BY44+BX45-CG44,IF(A45&lt;'Données projet'!$A$114,$BV$205^A45,IF(A45='Données projet'!$A$114,'Données projet'!$B$114,BY44+BX45-CG44)))</f>
        <v>326.40588235294109</v>
      </c>
      <c r="BZ45" s="13">
        <f>BY45*VLOOKUP('Données projet'!$B$12,Paramètres!$A$1:$I$89,3,0)*VLOOKUP('Données projet'!$B$12,Paramètres!$A$1:$I$89,5,0)</f>
        <v>152.75795294117643</v>
      </c>
      <c r="CA45" s="13">
        <f t="shared" si="39"/>
        <v>39.204674186786249</v>
      </c>
      <c r="CB45" s="20">
        <f t="shared" si="10"/>
        <v>334.33490891453494</v>
      </c>
      <c r="CC45" s="59">
        <f t="shared" si="11"/>
        <v>627.66824224786819</v>
      </c>
      <c r="CD45" s="59">
        <f ca="1">AVERAGE(OFFSET($CC$3,0,0,'Données projet'!$E$12+1,1))-AVERAGE(OFFSET($H$3,0,0,'Données projet'!$E$12+1,1))</f>
        <v>337.10499990421835</v>
      </c>
      <c r="CE45" s="59">
        <f t="shared" si="40"/>
        <v>277.4254079562175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3.3603333333333336</v>
      </c>
      <c r="CT45" s="12">
        <f>IF('Données projet'!$A$140&gt;35,CT44+CS45-DB44,IF(A45&lt;'Données projet'!$A$140,$CQ$205^A45,IF(A45='Données projet'!$A$140,'Données projet'!$B$140,CT44+CS45-DB44)))</f>
        <v>141.13399999999996</v>
      </c>
      <c r="CU45" s="17">
        <f>CT45*VLOOKUP('Données projet'!$B$13,Paramètres!$A$1:$I$89,3,0)*VLOOKUP('Données projet'!$B$13,Paramètres!$A$1:$I$89,5,0)</f>
        <v>140.90818559999997</v>
      </c>
      <c r="CV45" s="13">
        <f t="shared" si="41"/>
        <v>36.504979702421878</v>
      </c>
      <c r="CW45" s="20">
        <f t="shared" si="13"/>
        <v>308.99459623505135</v>
      </c>
      <c r="CX45" s="59">
        <f t="shared" si="14"/>
        <v>602.32792956838466</v>
      </c>
      <c r="CY45" s="59">
        <f ca="1">AVERAGE(OFFSET($CX$3,0,0,'Données projet'!$E$13+1,1))-AVERAGE(OFFSET($H$3,0,0,'Données projet'!$E$13+1,1))</f>
        <v>525.74725170626471</v>
      </c>
      <c r="CZ45" s="59">
        <f t="shared" si="42"/>
        <v>259.19103598192197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4.5856818181818184</v>
      </c>
      <c r="DO45" s="12">
        <f>IF('Données projet'!$A$166&gt;35,DO44+DN45-DW44,IF(A45&lt;'Données projet'!$A$166,$DL$205^A45,IF(A45='Données projet'!$A$166,'Données projet'!$B$166,DO44+DN45-DW44)))</f>
        <v>192.59863636363656</v>
      </c>
      <c r="DP45" s="17">
        <f>DO45*VLOOKUP('Données projet'!$B$14,Paramètres!$A$1:$I$89,3,0)*VLOOKUP('Données projet'!$B$14,Paramètres!$A$1:$I$89,5,0)</f>
        <v>174.26324618181837</v>
      </c>
      <c r="DQ45" s="13">
        <f t="shared" si="43"/>
        <v>44.043468145167253</v>
      </c>
      <c r="DR45" s="20">
        <f t="shared" si="16"/>
        <v>380.21752745283328</v>
      </c>
      <c r="DS45" s="59">
        <f t="shared" si="17"/>
        <v>673.5508607861666</v>
      </c>
      <c r="DT45" s="59">
        <f ca="1">AVERAGE(OFFSET($DS$3,0,0,'Données projet'!$E$14+1,1))-AVERAGE(OFFSET($H$3,0,0,'Données projet'!$E$14+1,1))</f>
        <v>490.06222615476065</v>
      </c>
      <c r="DU45" s="59">
        <f t="shared" si="44"/>
        <v>310.43914804089906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3.3603333333333336</v>
      </c>
      <c r="EJ45" s="12">
        <f>IF('Données projet'!$A$192&gt;35,EJ44+EI45-ER44,IF(A45&lt;'Données projet'!$A$192,$EG$205^A45,IF(A45='Données projet'!$A$192,'Données projet'!$B$192,EJ44+EI45-ER44)))</f>
        <v>141.13399999999996</v>
      </c>
      <c r="EK45" s="17">
        <f>EJ45*VLOOKUP('Données projet'!$B$15,Paramètres!$A$1:$I$89,3,0)*VLOOKUP('Données projet'!$B$15,Paramètres!$A$1:$I$89,5,0)</f>
        <v>143.10987599999996</v>
      </c>
      <c r="EL45" s="13">
        <f t="shared" si="45"/>
        <v>37.008520899412304</v>
      </c>
      <c r="EM45" s="20">
        <f t="shared" si="19"/>
        <v>313.70620793314299</v>
      </c>
      <c r="EN45" s="59">
        <f t="shared" si="20"/>
        <v>607.03954126647636</v>
      </c>
      <c r="EO45" s="59">
        <f ca="1">AVERAGE(OFFSET($EN$3,0,0,'Données projet'!$E$15+1,1))-AVERAGE(OFFSET($H$3,0,0,'Données projet'!$E$15+1,1))</f>
        <v>533.26035274112917</v>
      </c>
      <c r="EP45" s="59">
        <f t="shared" si="46"/>
        <v>262.58149402282521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4.1025641025641022</v>
      </c>
      <c r="FE45" s="12">
        <f>IF('Données projet'!$A$218&gt;35,FE44+FD45-FM44,IF(A45&lt;'Données projet'!$A$218,$FB$205^A45,IF(A45='Données projet'!$A$218,'Données projet'!$B$218,FE44+FD45-FM44)))</f>
        <v>91.538461538461533</v>
      </c>
      <c r="FF45" s="17">
        <f>FE45*VLOOKUP('Données projet'!$B$16,Paramètres!$A$1:$I$89,3,0)*VLOOKUP('Données projet'!$B$16,Paramètres!$A$1:$I$89,5,0)</f>
        <v>95.676000000000002</v>
      </c>
      <c r="FG45" s="13">
        <f t="shared" si="47"/>
        <v>25.929229078869259</v>
      </c>
      <c r="FH45" s="20">
        <f t="shared" si="22"/>
        <v>211.79577397903063</v>
      </c>
      <c r="FI45" s="59">
        <f t="shared" si="23"/>
        <v>505.12910731236394</v>
      </c>
      <c r="FJ45" s="59">
        <f ca="1">AVERAGE(OFFSET($FI$3,0,0,'Données projet'!$E$16+1,1))-AVERAGE(OFFSET($H$3,0,0,'Données projet'!$E$16+1,1))</f>
        <v>239.26156489359892</v>
      </c>
      <c r="FK45" s="59">
        <f t="shared" si="48"/>
        <v>213.97034450798111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12.268840577239256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12.268840577239256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9.8128571428571423</v>
      </c>
      <c r="N46" s="13">
        <f>IF('Données projet'!$A$36&gt;35,N45+M46-V45,IF(A46&lt;'Données projet'!$A$36,$K$205^A46,IF(A46='Données projet'!$A$36,'Données projet'!$B$36,N45+M46-V45)))</f>
        <v>130.12428571428572</v>
      </c>
      <c r="O46" s="13">
        <f>N46*VLOOKUP('Données projet'!$B$9,Paramètres!$A$1:$I$89,3,0)*VLOOKUP('Données projet'!$B$9,Paramètres!$A$1:$I$89,5,0)</f>
        <v>123.82627028571429</v>
      </c>
      <c r="P46" s="13">
        <f t="shared" si="33"/>
        <v>32.565777238714922</v>
      </c>
      <c r="Q46" s="20">
        <f t="shared" si="53"/>
        <v>272.38281610504754</v>
      </c>
      <c r="R46" s="59">
        <f t="shared" si="0"/>
        <v>565.71614943838085</v>
      </c>
      <c r="S46" s="59">
        <f ca="1">AVERAGE(OFFSET($R$3,0,0,'Données projet'!$E$9+1,1))-AVERAGE(OFFSET($H$3,0,0,'Données projet'!$E$9+1,1))</f>
        <v>449.28947235329758</v>
      </c>
      <c r="T46" s="59">
        <f t="shared" si="34"/>
        <v>289.36994109443964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22.458029411733825</v>
      </c>
      <c r="AB46" s="21">
        <f>EXP(-LN(2)/2)*AB45+(1-EXP(-LN(2)/2))/(LN(2)/2)*V46*Y46*VLOOKUP('Données projet'!$B$9,Paramètres!$A$1:$I$89,3,0)*0.475*44/12</f>
        <v>2.2719289744544477</v>
      </c>
      <c r="AC46" s="22">
        <f t="shared" si="3"/>
        <v>24.729958386188272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15.714444444444442</v>
      </c>
      <c r="AI46" s="13">
        <f>IF('Données projet'!$A$62&gt;35,AI45+AH46-AQ45,IF(A46&lt;'Données projet'!$A$62,$AF$205^A46,IF(A46='Données projet'!$A$62,'Données projet'!$B$62,AI45+AH46-AQ45)))</f>
        <v>260.00888888888898</v>
      </c>
      <c r="AJ46" s="13">
        <f>AI46*VLOOKUP('Données projet'!$B$10,Paramètres!$A$1:$I$89,3,0)*VLOOKUP('Données projet'!$B$10,Paramètres!$A$1:$I$89,5,0)</f>
        <v>155.48531555555562</v>
      </c>
      <c r="AK46" s="13">
        <f t="shared" si="35"/>
        <v>39.822525633411466</v>
      </c>
      <c r="AL46" s="20">
        <f t="shared" si="4"/>
        <v>340.16115673745094</v>
      </c>
      <c r="AM46" s="59">
        <f t="shared" si="5"/>
        <v>633.4944900707842</v>
      </c>
      <c r="AN46" s="59">
        <f ca="1">AVERAGE(OFFSET($AM$3,0,0,'Données projet'!$E$10+1,1))-AVERAGE(OFFSET($H$3,0,0,'Données projet'!$E$10+1,1))</f>
        <v>349.71285006949597</v>
      </c>
      <c r="AO46" s="59">
        <f t="shared" si="36"/>
        <v>258.51550516456842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24.113732793349126</v>
      </c>
      <c r="AV46" s="21">
        <f>EXP(-LN(2)/25)*AV45+(1-EXP(-LN(2)/25))/(LN(2)/25)*Calculateur!AQ46*Calculateur!AS46*VLOOKUP('Données projet'!$B$10,Paramètres!$A$1:$I$89,3,0)*0.475*44/12</f>
        <v>16.955562403253424</v>
      </c>
      <c r="AW46" s="21">
        <f>EXP(-LN(2)/2)*AW45+(1-EXP(-LN(2)/2))/(LN(2)/2)*AQ46*AT46*VLOOKUP('Données projet'!$B$10,Paramètres!$A$1:$I$89,3,0)*0.475*44/12</f>
        <v>5.33895404258016</v>
      </c>
      <c r="AX46" s="21">
        <f t="shared" si="6"/>
        <v>46.408249239182716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16.583750000000002</v>
      </c>
      <c r="BD46" s="12">
        <f>IF('Données projet'!$A$88&gt;35,BD45+BC46-BL45,IF(A46&lt;'Données projet'!$A$88,$BA$205^A46,IF(A46='Données projet'!$A$88,'Données projet'!$B$88,BD45+BC46-BL45)))</f>
        <v>352.14625000000007</v>
      </c>
      <c r="BE46" s="13">
        <f>BD46*VLOOKUP('Données projet'!$B$11,Paramètres!$A$1:$I$89,3,0)*VLOOKUP('Données projet'!$B$11,Paramètres!$A$1:$I$89,5,0)</f>
        <v>210.58345750000007</v>
      </c>
      <c r="BF46" s="13">
        <f t="shared" si="37"/>
        <v>52.063065246002132</v>
      </c>
      <c r="BG46" s="20">
        <f t="shared" si="7"/>
        <v>457.44269378262044</v>
      </c>
      <c r="BH46" s="59">
        <f t="shared" si="8"/>
        <v>750.77602711595375</v>
      </c>
      <c r="BI46" s="59">
        <f ca="1">AVERAGE(OFFSET($BH$3,0,0,'Données projet'!$E$11+1,1))-AVERAGE(OFFSET($H$3,0,0,'Données projet'!$E$11+1,1))</f>
        <v>302.00825291248458</v>
      </c>
      <c r="BJ46" s="59">
        <f t="shared" si="38"/>
        <v>307.35115839449355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26.694566390697808</v>
      </c>
      <c r="BQ46" s="21">
        <f>EXP(-LN(2)/25)*BQ45+(1-EXP(-LN(2)/25))/(LN(2)/25)*Calculateur!BL46*Calculateur!BN46*VLOOKUP('Données projet'!$B$11,Paramètres!$A$1:$I$89,3,0)*0.475*44/12</f>
        <v>15.103845123005222</v>
      </c>
      <c r="BR46" s="21">
        <f>EXP(-LN(2)/2)*BR45+(1-EXP(-LN(2)/2))/(LN(2)/2)*BL46*BO46*VLOOKUP('Données projet'!$B$11,Paramètres!$A$1:$I$89,3,0)*0.475*44/12</f>
        <v>0.99027845560970984</v>
      </c>
      <c r="BS46" s="22">
        <f t="shared" si="9"/>
        <v>42.788689969312742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7.7715686274509812</v>
      </c>
      <c r="BY46" s="12">
        <f>IF('Données projet'!$A$114&gt;35,BY45+BX46-CG45,IF(A46&lt;'Données projet'!$A$114,$BV$205^A46,IF(A46='Données projet'!$A$114,'Données projet'!$B$114,BY45+BX46-CG45)))</f>
        <v>334.17745098039205</v>
      </c>
      <c r="BZ46" s="13">
        <f>BY46*VLOOKUP('Données projet'!$B$12,Paramètres!$A$1:$I$89,3,0)*VLOOKUP('Données projet'!$B$12,Paramètres!$A$1:$I$89,5,0)</f>
        <v>156.39504705882348</v>
      </c>
      <c r="CA46" s="13">
        <f t="shared" si="39"/>
        <v>40.028332931481749</v>
      </c>
      <c r="CB46" s="20">
        <f t="shared" si="10"/>
        <v>342.10405348311491</v>
      </c>
      <c r="CC46" s="59">
        <f t="shared" si="11"/>
        <v>635.43738681644822</v>
      </c>
      <c r="CD46" s="59">
        <f ca="1">AVERAGE(OFFSET($CC$3,0,0,'Données projet'!$E$12+1,1))-AVERAGE(OFFSET($H$3,0,0,'Données projet'!$E$12+1,1))</f>
        <v>337.10499990421835</v>
      </c>
      <c r="CE46" s="59">
        <f t="shared" si="40"/>
        <v>277.4254079562175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3.3603333333333336</v>
      </c>
      <c r="CT46" s="12">
        <f>IF('Données projet'!$A$140&gt;35,CT45+CS46-DB45,IF(A46&lt;'Données projet'!$A$140,$CQ$205^A46,IF(A46='Données projet'!$A$140,'Données projet'!$B$140,CT45+CS46-DB45)))</f>
        <v>144.49433333333329</v>
      </c>
      <c r="CU46" s="17">
        <f>CT46*VLOOKUP('Données projet'!$B$13,Paramètres!$A$1:$I$89,3,0)*VLOOKUP('Données projet'!$B$13,Paramètres!$A$1:$I$89,5,0)</f>
        <v>144.26314239999996</v>
      </c>
      <c r="CV46" s="13">
        <f t="shared" si="41"/>
        <v>37.271920032382951</v>
      </c>
      <c r="CW46" s="20">
        <f t="shared" si="13"/>
        <v>316.17356706973356</v>
      </c>
      <c r="CX46" s="59">
        <f t="shared" si="14"/>
        <v>609.50690040306688</v>
      </c>
      <c r="CY46" s="59">
        <f ca="1">AVERAGE(OFFSET($CX$3,0,0,'Données projet'!$E$13+1,1))-AVERAGE(OFFSET($H$3,0,0,'Données projet'!$E$13+1,1))</f>
        <v>525.74725170626471</v>
      </c>
      <c r="CZ46" s="59">
        <f t="shared" si="42"/>
        <v>259.19103598192197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4.5856818181818184</v>
      </c>
      <c r="DO46" s="12">
        <f>IF('Données projet'!$A$166&gt;35,DO45+DN46-DW45,IF(A46&lt;'Données projet'!$A$166,$DL$205^A46,IF(A46='Données projet'!$A$166,'Données projet'!$B$166,DO45+DN46-DW45)))</f>
        <v>197.18431818181838</v>
      </c>
      <c r="DP46" s="17">
        <f>DO46*VLOOKUP('Données projet'!$B$14,Paramètres!$A$1:$I$89,3,0)*VLOOKUP('Données projet'!$B$14,Paramètres!$A$1:$I$89,5,0)</f>
        <v>178.41237109090926</v>
      </c>
      <c r="DQ46" s="13">
        <f t="shared" si="43"/>
        <v>44.968786068016108</v>
      </c>
      <c r="DR46" s="20">
        <f t="shared" si="16"/>
        <v>389.05551538512827</v>
      </c>
      <c r="DS46" s="59">
        <f t="shared" si="17"/>
        <v>682.38884871846153</v>
      </c>
      <c r="DT46" s="59">
        <f ca="1">AVERAGE(OFFSET($DS$3,0,0,'Données projet'!$E$14+1,1))-AVERAGE(OFFSET($H$3,0,0,'Données projet'!$E$14+1,1))</f>
        <v>490.06222615476065</v>
      </c>
      <c r="DU46" s="59">
        <f t="shared" si="44"/>
        <v>310.43914804089906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3.3603333333333336</v>
      </c>
      <c r="EJ46" s="12">
        <f>IF('Données projet'!$A$192&gt;35,EJ45+EI46-ER45,IF(A46&lt;'Données projet'!$A$192,$EG$205^A46,IF(A46='Données projet'!$A$192,'Données projet'!$B$192,EJ45+EI46-ER45)))</f>
        <v>144.49433333333329</v>
      </c>
      <c r="EK46" s="17">
        <f>EJ46*VLOOKUP('Données projet'!$B$15,Paramètres!$A$1:$I$89,3,0)*VLOOKUP('Données projet'!$B$15,Paramètres!$A$1:$I$89,5,0)</f>
        <v>146.51725399999995</v>
      </c>
      <c r="EL46" s="13">
        <f t="shared" si="45"/>
        <v>37.786040225853256</v>
      </c>
      <c r="EM46" s="20">
        <f t="shared" si="19"/>
        <v>320.99490411002768</v>
      </c>
      <c r="EN46" s="59">
        <f t="shared" si="20"/>
        <v>614.32823744336099</v>
      </c>
      <c r="EO46" s="59">
        <f ca="1">AVERAGE(OFFSET($EN$3,0,0,'Données projet'!$E$15+1,1))-AVERAGE(OFFSET($H$3,0,0,'Données projet'!$E$15+1,1))</f>
        <v>533.26035274112917</v>
      </c>
      <c r="EP46" s="59">
        <f t="shared" si="46"/>
        <v>262.58149402282521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4.1025641025641022</v>
      </c>
      <c r="FE46" s="12">
        <f>IF('Données projet'!$A$218&gt;35,FE45+FD46-FM45,IF(A46&lt;'Données projet'!$A$218,$FB$205^A46,IF(A46='Données projet'!$A$218,'Données projet'!$B$218,FE45+FD46-FM45)))</f>
        <v>95.641025641025635</v>
      </c>
      <c r="FF46" s="17">
        <f>FE46*VLOOKUP('Données projet'!$B$16,Paramètres!$A$1:$I$89,3,0)*VLOOKUP('Données projet'!$B$16,Paramètres!$A$1:$I$89,5,0)</f>
        <v>99.963999999999999</v>
      </c>
      <c r="FG46" s="13">
        <f t="shared" si="47"/>
        <v>26.953420865059858</v>
      </c>
      <c r="FH46" s="20">
        <f t="shared" si="22"/>
        <v>221.04784133997921</v>
      </c>
      <c r="FI46" s="59">
        <f t="shared" si="23"/>
        <v>514.38117467331256</v>
      </c>
      <c r="FJ46" s="59">
        <f ca="1">AVERAGE(OFFSET($FI$3,0,0,'Données projet'!$E$16+1,1))-AVERAGE(OFFSET($H$3,0,0,'Données projet'!$E$16+1,1))</f>
        <v>239.26156489359892</v>
      </c>
      <c r="FK46" s="59">
        <f t="shared" si="48"/>
        <v>213.97034450798111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11.933348486464364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11.933348486464364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9.8128571428571423</v>
      </c>
      <c r="N47" s="13">
        <f>IF('Données projet'!$A$36&gt;35,N46+M47-V46,IF(A47&lt;'Données projet'!$A$36,$K$205^A47,IF(A47='Données projet'!$A$36,'Données projet'!$B$36,N46+M47-V46)))</f>
        <v>139.93714285714287</v>
      </c>
      <c r="O47" s="13">
        <f>N47*VLOOKUP('Données projet'!$B$9,Paramètres!$A$1:$I$89,3,0)*VLOOKUP('Données projet'!$B$9,Paramètres!$A$1:$I$89,5,0)</f>
        <v>133.16418514285718</v>
      </c>
      <c r="P47" s="13">
        <f t="shared" si="33"/>
        <v>34.726483144583192</v>
      </c>
      <c r="Q47" s="20">
        <f t="shared" si="53"/>
        <v>292.4095806006253</v>
      </c>
      <c r="R47" s="59">
        <f t="shared" si="0"/>
        <v>585.74291393395856</v>
      </c>
      <c r="S47" s="59">
        <f ca="1">AVERAGE(OFFSET($R$3,0,0,'Données projet'!$E$9+1,1))-AVERAGE(OFFSET($H$3,0,0,'Données projet'!$E$9+1,1))</f>
        <v>449.28947235329758</v>
      </c>
      <c r="T47" s="59">
        <f t="shared" si="34"/>
        <v>289.36994109443964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21.843913416453525</v>
      </c>
      <c r="AB47" s="21">
        <f>EXP(-LN(2)/2)*AB46+(1-EXP(-LN(2)/2))/(LN(2)/2)*V47*Y47*VLOOKUP('Données projet'!$B$9,Paramètres!$A$1:$I$89,3,0)*0.475*44/12</f>
        <v>1.6064963842109385</v>
      </c>
      <c r="AC47" s="22">
        <f t="shared" si="3"/>
        <v>23.450409800664463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15.714444444444442</v>
      </c>
      <c r="AI47" s="13">
        <f>IF('Données projet'!$A$62&gt;35,AI46+AH47-AQ46,IF(A47&lt;'Données projet'!$A$62,$AF$205^A47,IF(A47='Données projet'!$A$62,'Données projet'!$B$62,AI46+AH47-AQ46)))</f>
        <v>275.72333333333341</v>
      </c>
      <c r="AJ47" s="13">
        <f>AI47*VLOOKUP('Données projet'!$B$10,Paramètres!$A$1:$I$89,3,0)*VLOOKUP('Données projet'!$B$10,Paramètres!$A$1:$I$89,5,0)</f>
        <v>164.88255333333339</v>
      </c>
      <c r="AK47" s="13">
        <f t="shared" si="35"/>
        <v>41.941854905576896</v>
      </c>
      <c r="AL47" s="20">
        <f t="shared" si="4"/>
        <v>360.2191776827687</v>
      </c>
      <c r="AM47" s="59">
        <f t="shared" si="5"/>
        <v>653.55251101610202</v>
      </c>
      <c r="AN47" s="59">
        <f ca="1">AVERAGE(OFFSET($AM$3,0,0,'Données projet'!$E$10+1,1))-AVERAGE(OFFSET($H$3,0,0,'Données projet'!$E$10+1,1))</f>
        <v>349.71285006949597</v>
      </c>
      <c r="AO47" s="59">
        <f t="shared" si="36"/>
        <v>258.51550516456842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23.640877201196265</v>
      </c>
      <c r="AV47" s="21">
        <f>EXP(-LN(2)/25)*AV46+(1-EXP(-LN(2)/25))/(LN(2)/25)*Calculateur!AQ47*Calculateur!AS47*VLOOKUP('Données projet'!$B$10,Paramètres!$A$1:$I$89,3,0)*0.475*44/12</f>
        <v>16.491911657682184</v>
      </c>
      <c r="AW47" s="21">
        <f>EXP(-LN(2)/2)*AW46+(1-EXP(-LN(2)/2))/(LN(2)/2)*AQ47*AT47*VLOOKUP('Données projet'!$B$10,Paramètres!$A$1:$I$89,3,0)*0.475*44/12</f>
        <v>3.7752106079517627</v>
      </c>
      <c r="AX47" s="21">
        <f t="shared" si="6"/>
        <v>43.907999466830212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368.73</v>
      </c>
      <c r="BB47" s="12">
        <f>VLOOKUP(A47,'Données projet'!$A$87:$I$107,9,0)</f>
        <v>16.583750000000002</v>
      </c>
      <c r="BC47" s="12">
        <f t="array" ref="BC47">INDEX(BB:BB,MIN(IF(ISNUMBER(BB47:BB243),ROW(BB47:BB243),"")))</f>
        <v>16.583750000000002</v>
      </c>
      <c r="BD47" s="12">
        <f>IF('Données projet'!$A$88&gt;35,BD46+BC47-BL46,IF(A47&lt;'Données projet'!$A$88,$BA$205^A47,IF(A47='Données projet'!$A$88,'Données projet'!$B$88,BD46+BC47-BL46)))</f>
        <v>368.73000000000008</v>
      </c>
      <c r="BE47" s="13">
        <f>BD47*VLOOKUP('Données projet'!$B$11,Paramètres!$A$1:$I$89,3,0)*VLOOKUP('Données projet'!$B$11,Paramètres!$A$1:$I$89,5,0)</f>
        <v>220.50054000000006</v>
      </c>
      <c r="BF47" s="13">
        <f t="shared" si="37"/>
        <v>54.223661223229719</v>
      </c>
      <c r="BG47" s="20">
        <f t="shared" si="7"/>
        <v>478.47798379712521</v>
      </c>
      <c r="BH47" s="59">
        <f t="shared" si="8"/>
        <v>771.81131713045852</v>
      </c>
      <c r="BI47" s="59">
        <f ca="1">AVERAGE(OFFSET($BH$3,0,0,'Données projet'!$E$11+1,1))-AVERAGE(OFFSET($H$3,0,0,'Données projet'!$E$11+1,1))</f>
        <v>302.00825291248458</v>
      </c>
      <c r="BJ47" s="59">
        <f t="shared" si="38"/>
        <v>307.35115839449355</v>
      </c>
      <c r="BK47" s="15">
        <f>IF(ISNA(VLOOKUP(A47,'Données projet'!$A$87:$I$107,3,0)),0,VLOOKUP(A47,'Données projet'!$A$87:$I$107,3,0))</f>
        <v>5</v>
      </c>
      <c r="BL47" s="15">
        <f>IF(ISNA(VLOOKUP(A47,'Données projet'!$A$87:$I$107,4,0)),0,VLOOKUP(A47,'Données projet'!$A$87:$I$107,4,0))</f>
        <v>78.240000000000009</v>
      </c>
      <c r="BM47" s="16">
        <f>IF(ISNA(VLOOKUP(A47,'Données projet'!$A$87:$I$107,5,0)),0%,VLOOKUP(A47,'Données projet'!$A$87:$I$107,5,0)*VLOOKUP('Données projet'!$B$11,Paramètres!$A$1:$I$89,7,0))</f>
        <v>0.27</v>
      </c>
      <c r="BN47" s="16">
        <f>IF(ISNA(VLOOKUP(A47,'Données projet'!$A$87:$I$107,6,0)),0%,VLOOKUP(A47,'Données projet'!$A$87:$I$107,6,0)*VLOOKUP('Données projet'!$B$11,Paramètres!$A$1:$I$89,7,0))</f>
        <v>9.0000000000000011E-2</v>
      </c>
      <c r="BO47" s="16">
        <f>IF(ISNA(VLOOKUP(A47,'Données projet'!$A$87:$I$107,7,0)),0%,VLOOKUP(A47,'Données projet'!$A$87:$I$107,7,0))</f>
        <v>0.2</v>
      </c>
      <c r="BP47" s="21">
        <f>EXP(-LN(2)/35)*BP46+(1-EXP(-LN(2)/35))/(LN(2)/35)*BL47*BM47*VLOOKUP('Données projet'!$B$11,Paramètres!$A$1:$I$89,3,0)*0.475*44/12</f>
        <v>42.92910069319899</v>
      </c>
      <c r="BQ47" s="21">
        <f>EXP(-LN(2)/25)*BQ46+(1-EXP(-LN(2)/25))/(LN(2)/25)*Calculateur!BL47*Calculateur!BN47*VLOOKUP('Données projet'!$B$11,Paramètres!$A$1:$I$89,3,0)*0.475*44/12</f>
        <v>20.254834964533629</v>
      </c>
      <c r="BR47" s="21">
        <f>EXP(-LN(2)/2)*BR46+(1-EXP(-LN(2)/2))/(LN(2)/2)*BL47*BO47*VLOOKUP('Données projet'!$B$11,Paramètres!$A$1:$I$89,3,0)*0.475*44/12</f>
        <v>11.295100864257664</v>
      </c>
      <c r="BS47" s="22">
        <f t="shared" si="9"/>
        <v>74.479036521990281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7.7715686274509812</v>
      </c>
      <c r="BY47" s="12">
        <f>IF('Données projet'!$A$114&gt;35,BY46+BX47-CG46,IF(A47&lt;'Données projet'!$A$114,$BV$205^A47,IF(A47='Données projet'!$A$114,'Données projet'!$B$114,BY46+BX47-CG46)))</f>
        <v>341.94901960784301</v>
      </c>
      <c r="BZ47" s="13">
        <f>BY47*VLOOKUP('Données projet'!$B$12,Paramètres!$A$1:$I$89,3,0)*VLOOKUP('Données projet'!$B$12,Paramètres!$A$1:$I$89,5,0)</f>
        <v>160.03214117647053</v>
      </c>
      <c r="CA47" s="13">
        <f t="shared" si="39"/>
        <v>40.849764854015</v>
      </c>
      <c r="CB47" s="20">
        <f t="shared" si="10"/>
        <v>349.86931966976226</v>
      </c>
      <c r="CC47" s="59">
        <f t="shared" si="11"/>
        <v>643.20265300309552</v>
      </c>
      <c r="CD47" s="59">
        <f ca="1">AVERAGE(OFFSET($CC$3,0,0,'Données projet'!$E$12+1,1))-AVERAGE(OFFSET($H$3,0,0,'Données projet'!$E$12+1,1))</f>
        <v>337.10499990421835</v>
      </c>
      <c r="CE47" s="59">
        <f t="shared" si="40"/>
        <v>277.4254079562175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3.3603333333333336</v>
      </c>
      <c r="CT47" s="12">
        <f>IF('Données projet'!$A$140&gt;35,CT46+CS47-DB46,IF(A47&lt;'Données projet'!$A$140,$CQ$205^A47,IF(A47='Données projet'!$A$140,'Données projet'!$B$140,CT46+CS47-DB46)))</f>
        <v>147.85466666666662</v>
      </c>
      <c r="CU47" s="17">
        <f>CT47*VLOOKUP('Données projet'!$B$13,Paramètres!$A$1:$I$89,3,0)*VLOOKUP('Données projet'!$B$13,Paramètres!$A$1:$I$89,5,0)</f>
        <v>147.61809919999996</v>
      </c>
      <c r="CV47" s="13">
        <f t="shared" si="41"/>
        <v>38.036786882599102</v>
      </c>
      <c r="CW47" s="20">
        <f t="shared" si="13"/>
        <v>323.34892659386003</v>
      </c>
      <c r="CX47" s="59">
        <f t="shared" si="14"/>
        <v>616.6822599271934</v>
      </c>
      <c r="CY47" s="59">
        <f ca="1">AVERAGE(OFFSET($CX$3,0,0,'Données projet'!$E$13+1,1))-AVERAGE(OFFSET($H$3,0,0,'Données projet'!$E$13+1,1))</f>
        <v>525.74725170626471</v>
      </c>
      <c r="CZ47" s="59">
        <f t="shared" si="42"/>
        <v>259.19103598192197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201.77</v>
      </c>
      <c r="DM47" s="12">
        <f>VLOOKUP(A47,'Données projet'!$A$165:$I$185,9,0)</f>
        <v>4.5856818181818184</v>
      </c>
      <c r="DN47" s="12">
        <f t="array" ref="DN47">INDEX(DM:DM,MIN(IF(ISNUMBER(DM47:DM243),ROW(DM47:DM243),"")))</f>
        <v>4.5856818181818184</v>
      </c>
      <c r="DO47" s="12">
        <f>IF('Données projet'!$A$166&gt;35,DO46+DN47-DW46,IF(A47&lt;'Données projet'!$A$166,$DL$205^A47,IF(A47='Données projet'!$A$166,'Données projet'!$B$166,DO46+DN47-DW46)))</f>
        <v>201.77000000000021</v>
      </c>
      <c r="DP47" s="17">
        <f>DO47*VLOOKUP('Données projet'!$B$14,Paramètres!$A$1:$I$89,3,0)*VLOOKUP('Données projet'!$B$14,Paramètres!$A$1:$I$89,5,0)</f>
        <v>182.56149600000018</v>
      </c>
      <c r="DQ47" s="13">
        <f t="shared" si="43"/>
        <v>45.891602325617114</v>
      </c>
      <c r="DR47" s="20">
        <f t="shared" si="16"/>
        <v>397.8891462504501</v>
      </c>
      <c r="DS47" s="59">
        <f t="shared" si="17"/>
        <v>691.22247958378341</v>
      </c>
      <c r="DT47" s="59">
        <f ca="1">AVERAGE(OFFSET($DS$3,0,0,'Données projet'!$E$14+1,1))-AVERAGE(OFFSET($H$3,0,0,'Données projet'!$E$14+1,1))</f>
        <v>490.06222615476065</v>
      </c>
      <c r="DU47" s="59">
        <f t="shared" si="44"/>
        <v>310.43914804089906</v>
      </c>
      <c r="DV47" s="15">
        <f>IF(ISNA(VLOOKUP(A47,'Données projet'!$A$165:$I$185,3,0)),0,VLOOKUP(A47,'Données projet'!$A$165:$I$185,3,0))</f>
        <v>1</v>
      </c>
      <c r="DW47" s="15">
        <f>IF(ISNA(VLOOKUP(A47,'Données projet'!$A$165:$I$185,4,0)),0,VLOOKUP(A47,'Données projet'!$A$165:$I$185,4,0))</f>
        <v>76.680000000000007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0.34400000000000003</v>
      </c>
      <c r="DZ47" s="16">
        <f>IF(ISNA(VLOOKUP(A47,'Données projet'!$A$165:$I$185,7,0)),0%,VLOOKUP(A47,'Données projet'!$A$165:$I$185,7,0))</f>
        <v>0.2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26.280092586651165</v>
      </c>
      <c r="EC47" s="21">
        <f>EXP(-LN(2)/2)*EC46+(1-EXP(-LN(2)/2))/(LN(2)/2)*DW47*DZ47*VLOOKUP('Données projet'!$B$14,Paramètres!$A$1:$I$89,3,0)*0.475*44/12</f>
        <v>13.092391544208875</v>
      </c>
      <c r="ED47" s="22">
        <f t="shared" si="18"/>
        <v>39.372484130860038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3.3603333333333336</v>
      </c>
      <c r="EJ47" s="12">
        <f>IF('Données projet'!$A$192&gt;35,EJ46+EI47-ER46,IF(A47&lt;'Données projet'!$A$192,$EG$205^A47,IF(A47='Données projet'!$A$192,'Données projet'!$B$192,EJ46+EI47-ER46)))</f>
        <v>147.85466666666662</v>
      </c>
      <c r="EK47" s="17">
        <f>EJ47*VLOOKUP('Données projet'!$B$15,Paramètres!$A$1:$I$89,3,0)*VLOOKUP('Données projet'!$B$15,Paramètres!$A$1:$I$89,5,0)</f>
        <v>149.92463199999995</v>
      </c>
      <c r="EL47" s="13">
        <f t="shared" si="45"/>
        <v>38.561457471452059</v>
      </c>
      <c r="EM47" s="20">
        <f t="shared" si="19"/>
        <v>328.27993916277887</v>
      </c>
      <c r="EN47" s="59">
        <f t="shared" si="20"/>
        <v>621.61327249611213</v>
      </c>
      <c r="EO47" s="59">
        <f ca="1">AVERAGE(OFFSET($EN$3,0,0,'Données projet'!$E$15+1,1))-AVERAGE(OFFSET($H$3,0,0,'Données projet'!$E$15+1,1))</f>
        <v>533.26035274112917</v>
      </c>
      <c r="EP47" s="59">
        <f t="shared" si="46"/>
        <v>262.58149402282521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4.1025641025641022</v>
      </c>
      <c r="FE47" s="12">
        <f>IF('Données projet'!$A$218&gt;35,FE46+FD47-FM46,IF(A47&lt;'Données projet'!$A$218,$FB$205^A47,IF(A47='Données projet'!$A$218,'Données projet'!$B$218,FE46+FD47-FM46)))</f>
        <v>99.743589743589737</v>
      </c>
      <c r="FF47" s="17">
        <f>FE47*VLOOKUP('Données projet'!$B$16,Paramètres!$A$1:$I$89,3,0)*VLOOKUP('Données projet'!$B$16,Paramètres!$A$1:$I$89,5,0)</f>
        <v>104.252</v>
      </c>
      <c r="FG47" s="13">
        <f t="shared" si="47"/>
        <v>27.972509924429268</v>
      </c>
      <c r="FH47" s="20">
        <f t="shared" si="22"/>
        <v>230.2910214517143</v>
      </c>
      <c r="FI47" s="59">
        <f t="shared" si="23"/>
        <v>523.62435478504767</v>
      </c>
      <c r="FJ47" s="59">
        <f ca="1">AVERAGE(OFFSET($FI$3,0,0,'Données projet'!$E$16+1,1))-AVERAGE(OFFSET($H$3,0,0,'Données projet'!$E$16+1,1))</f>
        <v>239.26156489359892</v>
      </c>
      <c r="FK47" s="59">
        <f t="shared" si="48"/>
        <v>213.97034450798111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11.607030444554473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11.607030444554473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149.75</v>
      </c>
      <c r="L48" s="12">
        <f>VLOOKUP(A48,'Données projet'!$A$35:$I$55,9,0)</f>
        <v>9.8128571428571423</v>
      </c>
      <c r="M48" s="12">
        <f t="array" ref="M48">INDEX(L:L,MIN(IF(ISNUMBER(L48:L244),ROW(L48:L244),"")))</f>
        <v>9.8128571428571423</v>
      </c>
      <c r="N48" s="13">
        <f>IF('Données projet'!$A$36&gt;35,N47+M48-V47,IF(A48&lt;'Données projet'!$A$36,$K$205^A48,IF(A48='Données projet'!$A$36,'Données projet'!$B$36,N47+M48-V47)))</f>
        <v>149.75000000000003</v>
      </c>
      <c r="O48" s="13">
        <f>N48*VLOOKUP('Données projet'!$B$9,Paramètres!$A$1:$I$89,3,0)*VLOOKUP('Données projet'!$B$9,Paramètres!$A$1:$I$89,5,0)</f>
        <v>142.50210000000001</v>
      </c>
      <c r="P48" s="13">
        <f t="shared" si="33"/>
        <v>36.869609182810613</v>
      </c>
      <c r="Q48" s="20">
        <f t="shared" si="53"/>
        <v>312.40572682672854</v>
      </c>
      <c r="R48" s="59">
        <f t="shared" si="0"/>
        <v>605.73906016006185</v>
      </c>
      <c r="S48" s="59">
        <f ca="1">AVERAGE(OFFSET($R$3,0,0,'Données projet'!$E$9+1,1))-AVERAGE(OFFSET($H$3,0,0,'Données projet'!$E$9+1,1))</f>
        <v>449.28947235329758</v>
      </c>
      <c r="T48" s="59">
        <f t="shared" si="34"/>
        <v>289.36994109443964</v>
      </c>
      <c r="U48" s="15">
        <f>IF(ISNA(VLOOKUP(A48,'Données projet'!$A$35:$I$55,3,0)),0,VLOOKUP(A48,'Données projet'!$A$35:$I$55,3,0))</f>
        <v>2</v>
      </c>
      <c r="V48" s="15">
        <f>IF(ISNA(VLOOKUP(A48,'Données projet'!$A$35:$I$55,4,0)),0,VLOOKUP(A48,'Données projet'!$A$35:$I$55,4,0))</f>
        <v>41.69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0.34400000000000003</v>
      </c>
      <c r="Y48" s="16">
        <f>IF(ISNA(VLOOKUP(A48,'Données projet'!$A$35:$I$55,7,0)),0%,VLOOKUP(A48,'Données projet'!$A$35:$I$55,7,0))</f>
        <v>0.2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36.273806259549104</v>
      </c>
      <c r="AB48" s="21">
        <f>EXP(-LN(2)/2)*AB47+(1-EXP(-LN(2)/2))/(LN(2)/2)*V48*Y48*VLOOKUP('Données projet'!$B$9,Paramètres!$A$1:$I$89,3,0)*0.475*44/12</f>
        <v>8.6223229343703309</v>
      </c>
      <c r="AC48" s="22">
        <f t="shared" si="3"/>
        <v>44.896129193919435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15.714444444444442</v>
      </c>
      <c r="AI48" s="13">
        <f>IF('Données projet'!$A$62&gt;35,AI47+AH48-AQ47,IF(A48&lt;'Données projet'!$A$62,$AF$205^A48,IF(A48='Données projet'!$A$62,'Données projet'!$B$62,AI47+AH48-AQ47)))</f>
        <v>291.43777777777785</v>
      </c>
      <c r="AJ48" s="13">
        <f>AI48*VLOOKUP('Données projet'!$B$10,Paramètres!$A$1:$I$89,3,0)*VLOOKUP('Données projet'!$B$10,Paramètres!$A$1:$I$89,5,0)</f>
        <v>174.27979111111117</v>
      </c>
      <c r="AK48" s="13">
        <f t="shared" si="35"/>
        <v>44.047162970671543</v>
      </c>
      <c r="AL48" s="20">
        <f t="shared" si="4"/>
        <v>380.25277835910487</v>
      </c>
      <c r="AM48" s="59">
        <f t="shared" si="5"/>
        <v>673.58611169243818</v>
      </c>
      <c r="AN48" s="59">
        <f ca="1">AVERAGE(OFFSET($AM$3,0,0,'Données projet'!$E$10+1,1))-AVERAGE(OFFSET($H$3,0,0,'Données projet'!$E$10+1,1))</f>
        <v>349.71285006949597</v>
      </c>
      <c r="AO48" s="59">
        <f t="shared" si="36"/>
        <v>258.51550516456842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23.17729401879209</v>
      </c>
      <c r="AV48" s="21">
        <f>EXP(-LN(2)/25)*AV47+(1-EXP(-LN(2)/25))/(LN(2)/25)*Calculateur!AQ48*Calculateur!AS48*VLOOKUP('Données projet'!$B$10,Paramètres!$A$1:$I$89,3,0)*0.475*44/12</f>
        <v>16.040939466130922</v>
      </c>
      <c r="AW48" s="21">
        <f>EXP(-LN(2)/2)*AW47+(1-EXP(-LN(2)/2))/(LN(2)/2)*AQ48*AT48*VLOOKUP('Données projet'!$B$10,Paramètres!$A$1:$I$89,3,0)*0.475*44/12</f>
        <v>2.6694770212900805</v>
      </c>
      <c r="AX48" s="21">
        <f t="shared" si="6"/>
        <v>41.887710506213089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14.689999999999998</v>
      </c>
      <c r="BD48" s="12">
        <f>IF('Données projet'!$A$88&gt;35,BD47+BC48-BL47,IF(A48&lt;'Données projet'!$A$88,$BA$205^A48,IF(A48='Données projet'!$A$88,'Données projet'!$B$88,BD47+BC48-BL47)))</f>
        <v>305.18000000000006</v>
      </c>
      <c r="BE48" s="13">
        <f>BD48*VLOOKUP('Données projet'!$B$11,Paramètres!$A$1:$I$89,3,0)*VLOOKUP('Données projet'!$B$11,Paramètres!$A$1:$I$89,5,0)</f>
        <v>182.49764000000005</v>
      </c>
      <c r="BF48" s="13">
        <f t="shared" si="37"/>
        <v>45.877418600848756</v>
      </c>
      <c r="BG48" s="20">
        <f t="shared" si="7"/>
        <v>397.753227063145</v>
      </c>
      <c r="BH48" s="59">
        <f t="shared" si="8"/>
        <v>691.08656039647826</v>
      </c>
      <c r="BI48" s="59">
        <f ca="1">AVERAGE(OFFSET($BH$3,0,0,'Données projet'!$E$11+1,1))-AVERAGE(OFFSET($H$3,0,0,'Données projet'!$E$11+1,1))</f>
        <v>302.00825291248458</v>
      </c>
      <c r="BJ48" s="59">
        <f t="shared" si="38"/>
        <v>307.35115839449355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42.087287212771308</v>
      </c>
      <c r="BQ48" s="21">
        <f>EXP(-LN(2)/25)*BQ47+(1-EXP(-LN(2)/25))/(LN(2)/25)*Calculateur!BL48*Calculateur!BN48*VLOOKUP('Données projet'!$B$11,Paramètres!$A$1:$I$89,3,0)*0.475*44/12</f>
        <v>19.700965437272981</v>
      </c>
      <c r="BR48" s="21">
        <f>EXP(-LN(2)/2)*BR47+(1-EXP(-LN(2)/2))/(LN(2)/2)*BL48*BO48*VLOOKUP('Données projet'!$B$11,Paramètres!$A$1:$I$89,3,0)*0.475*44/12</f>
        <v>7.986842415302629</v>
      </c>
      <c r="BS48" s="22">
        <f t="shared" si="9"/>
        <v>69.775095065346918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7.7715686274509812</v>
      </c>
      <c r="BY48" s="12">
        <f>IF('Données projet'!$A$114&gt;35,BY47+BX48-CG47,IF(A48&lt;'Données projet'!$A$114,$BV$205^A48,IF(A48='Données projet'!$A$114,'Données projet'!$B$114,BY47+BX48-CG47)))</f>
        <v>349.72058823529397</v>
      </c>
      <c r="BZ48" s="13">
        <f>BY48*VLOOKUP('Données projet'!$B$12,Paramètres!$A$1:$I$89,3,0)*VLOOKUP('Données projet'!$B$12,Paramètres!$A$1:$I$89,5,0)</f>
        <v>163.66923529411758</v>
      </c>
      <c r="CA48" s="13">
        <f t="shared" si="39"/>
        <v>41.669026390086572</v>
      </c>
      <c r="CB48" s="20">
        <f t="shared" si="10"/>
        <v>357.63080576665556</v>
      </c>
      <c r="CC48" s="59">
        <f t="shared" si="11"/>
        <v>650.96413909998887</v>
      </c>
      <c r="CD48" s="59">
        <f ca="1">AVERAGE(OFFSET($CC$3,0,0,'Données projet'!$E$12+1,1))-AVERAGE(OFFSET($H$3,0,0,'Données projet'!$E$12+1,1))</f>
        <v>337.10499990421835</v>
      </c>
      <c r="CE48" s="59">
        <f t="shared" si="40"/>
        <v>277.4254079562175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3.3603333333333336</v>
      </c>
      <c r="CT48" s="12">
        <f>IF('Données projet'!$A$140&gt;35,CT47+CS48-DB47,IF(A48&lt;'Données projet'!$A$140,$CQ$205^A48,IF(A48='Données projet'!$A$140,'Données projet'!$B$140,CT47+CS48-DB47)))</f>
        <v>151.21499999999995</v>
      </c>
      <c r="CU48" s="17">
        <f>CT48*VLOOKUP('Données projet'!$B$13,Paramètres!$A$1:$I$89,3,0)*VLOOKUP('Données projet'!$B$13,Paramètres!$A$1:$I$89,5,0)</f>
        <v>150.97305599999996</v>
      </c>
      <c r="CV48" s="13">
        <f t="shared" si="41"/>
        <v>38.799632802521302</v>
      </c>
      <c r="CW48" s="20">
        <f t="shared" si="13"/>
        <v>330.52076633105781</v>
      </c>
      <c r="CX48" s="59">
        <f t="shared" si="14"/>
        <v>623.85409966439113</v>
      </c>
      <c r="CY48" s="59">
        <f ca="1">AVERAGE(OFFSET($CX$3,0,0,'Données projet'!$E$13+1,1))-AVERAGE(OFFSET($H$3,0,0,'Données projet'!$E$13+1,1))</f>
        <v>525.74725170626471</v>
      </c>
      <c r="CZ48" s="59">
        <f t="shared" si="42"/>
        <v>259.19103598192197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9.6799999999999979</v>
      </c>
      <c r="DO48" s="12">
        <f>IF('Données projet'!$A$166&gt;35,DO47+DN48-DW47,IF(A48&lt;'Données projet'!$A$166,$DL$205^A48,IF(A48='Données projet'!$A$166,'Données projet'!$B$166,DO47+DN48-DW47)))</f>
        <v>134.77000000000021</v>
      </c>
      <c r="DP48" s="17">
        <f>DO48*VLOOKUP('Données projet'!$B$14,Paramètres!$A$1:$I$89,3,0)*VLOOKUP('Données projet'!$B$14,Paramètres!$A$1:$I$89,5,0)</f>
        <v>121.93989600000019</v>
      </c>
      <c r="DQ48" s="13">
        <f t="shared" si="43"/>
        <v>32.127025032251971</v>
      </c>
      <c r="DR48" s="20">
        <f t="shared" si="16"/>
        <v>268.3332207978392</v>
      </c>
      <c r="DS48" s="59">
        <f t="shared" si="17"/>
        <v>561.66655413117246</v>
      </c>
      <c r="DT48" s="59">
        <f ca="1">AVERAGE(OFFSET($DS$3,0,0,'Données projet'!$E$14+1,1))-AVERAGE(OFFSET($H$3,0,0,'Données projet'!$E$14+1,1))</f>
        <v>490.06222615476065</v>
      </c>
      <c r="DU48" s="59">
        <f t="shared" si="44"/>
        <v>310.43914804089906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25.561462072859182</v>
      </c>
      <c r="EC48" s="21">
        <f>EXP(-LN(2)/2)*EC47+(1-EXP(-LN(2)/2))/(LN(2)/2)*DW48*DZ48*VLOOKUP('Données projet'!$B$14,Paramètres!$A$1:$I$89,3,0)*0.475*44/12</f>
        <v>9.2577188428595107</v>
      </c>
      <c r="ED48" s="22">
        <f t="shared" si="18"/>
        <v>34.81918091571869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3.3603333333333336</v>
      </c>
      <c r="EJ48" s="12">
        <f>IF('Données projet'!$A$192&gt;35,EJ47+EI48-ER47,IF(A48&lt;'Données projet'!$A$192,$EG$205^A48,IF(A48='Données projet'!$A$192,'Données projet'!$B$192,EJ47+EI48-ER47)))</f>
        <v>151.21499999999995</v>
      </c>
      <c r="EK48" s="17">
        <f>EJ48*VLOOKUP('Données projet'!$B$15,Paramètres!$A$1:$I$89,3,0)*VLOOKUP('Données projet'!$B$15,Paramètres!$A$1:$I$89,5,0)</f>
        <v>153.33200999999997</v>
      </c>
      <c r="EL48" s="13">
        <f t="shared" si="45"/>
        <v>39.334825910514574</v>
      </c>
      <c r="EM48" s="20">
        <f t="shared" si="19"/>
        <v>335.5614058774795</v>
      </c>
      <c r="EN48" s="59">
        <f t="shared" si="20"/>
        <v>628.89473921081276</v>
      </c>
      <c r="EO48" s="59">
        <f ca="1">AVERAGE(OFFSET($EN$3,0,0,'Données projet'!$E$15+1,1))-AVERAGE(OFFSET($H$3,0,0,'Données projet'!$E$15+1,1))</f>
        <v>533.26035274112917</v>
      </c>
      <c r="EP48" s="59">
        <f t="shared" si="46"/>
        <v>262.58149402282521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103.84615384615384</v>
      </c>
      <c r="FC48" s="12">
        <f>VLOOKUP(A48,'Données projet'!$A$217:$I$237,9,0)</f>
        <v>4.1025641025641022</v>
      </c>
      <c r="FD48" s="12">
        <f t="array" ref="FD48">INDEX(FC:FC,MIN(IF(ISNUMBER(FC48:FC244),ROW(FC48:FC244),"")))</f>
        <v>4.1025641025641022</v>
      </c>
      <c r="FE48" s="12">
        <f>IF('Données projet'!$A$218&gt;35,FE47+FD48-FM47,IF(A48&lt;'Données projet'!$A$218,$FB$205^A48,IF(A48='Données projet'!$A$218,'Données projet'!$B$218,FE47+FD48-FM47)))</f>
        <v>103.84615384615384</v>
      </c>
      <c r="FF48" s="17">
        <f>FE48*VLOOKUP('Données projet'!$B$16,Paramètres!$A$1:$I$89,3,0)*VLOOKUP('Données projet'!$B$16,Paramètres!$A$1:$I$89,5,0)</f>
        <v>108.54</v>
      </c>
      <c r="FG48" s="13">
        <f t="shared" si="47"/>
        <v>28.986730142355373</v>
      </c>
      <c r="FH48" s="20">
        <f t="shared" si="22"/>
        <v>239.52572166460229</v>
      </c>
      <c r="FI48" s="59">
        <f t="shared" si="23"/>
        <v>532.85905499793557</v>
      </c>
      <c r="FJ48" s="59">
        <f ca="1">AVERAGE(OFFSET($FI$3,0,0,'Données projet'!$E$16+1,1))-AVERAGE(OFFSET($H$3,0,0,'Données projet'!$E$16+1,1))</f>
        <v>239.26156489359892</v>
      </c>
      <c r="FK48" s="59">
        <f t="shared" si="48"/>
        <v>213.97034450798111</v>
      </c>
      <c r="FL48" s="15">
        <f>IF(ISNA(VLOOKUP(A48,'Données projet'!$A$217:$I$237,3,0)),0,VLOOKUP(A48,'Données projet'!$A$217:$I$237,3,0))</f>
        <v>6</v>
      </c>
      <c r="FM48" s="15">
        <f>IF(ISNA(VLOOKUP(A48,'Données projet'!$A$217:$I$237,4,0)),0,VLOOKUP(A48,'Données projet'!$A$217:$I$237,4,0))</f>
        <v>12.179487179487179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0.215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14.303339734332848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14.303339734332848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10.001428571428571</v>
      </c>
      <c r="N49" s="13">
        <f>IF('Données projet'!$A$36&gt;35,N48+M49-V48,IF(A49&lt;'Données projet'!$A$36,$K$205^A49,IF(A49='Données projet'!$A$36,'Données projet'!$B$36,N48+M49-V48)))</f>
        <v>118.06142857142859</v>
      </c>
      <c r="O49" s="13">
        <f>N49*VLOOKUP('Données projet'!$B$9,Paramètres!$A$1:$I$89,3,0)*VLOOKUP('Données projet'!$B$9,Paramètres!$A$1:$I$89,5,0)</f>
        <v>112.34725542857144</v>
      </c>
      <c r="P49" s="13">
        <f t="shared" si="33"/>
        <v>29.883334836157822</v>
      </c>
      <c r="Q49" s="20">
        <f t="shared" si="53"/>
        <v>247.71827804440349</v>
      </c>
      <c r="R49" s="59">
        <f t="shared" si="0"/>
        <v>541.05161137773678</v>
      </c>
      <c r="S49" s="59">
        <f ca="1">AVERAGE(OFFSET($R$3,0,0,'Données projet'!$E$9+1,1))-AVERAGE(OFFSET($H$3,0,0,'Données projet'!$E$9+1,1))</f>
        <v>449.28947235329758</v>
      </c>
      <c r="T49" s="59">
        <f t="shared" si="34"/>
        <v>289.36994109443964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35.281897119825167</v>
      </c>
      <c r="AB49" s="21">
        <f>EXP(-LN(2)/2)*AB48+(1-EXP(-LN(2)/2))/(LN(2)/2)*V49*Y49*VLOOKUP('Données projet'!$B$9,Paramètres!$A$1:$I$89,3,0)*0.475*44/12</f>
        <v>6.0969030164735525</v>
      </c>
      <c r="AC49" s="22">
        <f t="shared" si="3"/>
        <v>41.378800136298722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15.714444444444442</v>
      </c>
      <c r="AI49" s="13">
        <f>IF('Données projet'!$A$62&gt;35,AI48+AH49-AQ48,IF(A49&lt;'Données projet'!$A$62,$AF$205^A49,IF(A49='Données projet'!$A$62,'Données projet'!$B$62,AI48+AH49-AQ48)))</f>
        <v>307.15222222222229</v>
      </c>
      <c r="AJ49" s="13">
        <f>AI49*VLOOKUP('Données projet'!$B$10,Paramètres!$A$1:$I$89,3,0)*VLOOKUP('Données projet'!$B$10,Paramètres!$A$1:$I$89,5,0)</f>
        <v>183.67702888888894</v>
      </c>
      <c r="AK49" s="13">
        <f t="shared" si="35"/>
        <v>46.139292054148385</v>
      </c>
      <c r="AL49" s="20">
        <f t="shared" si="4"/>
        <v>400.2634256424567</v>
      </c>
      <c r="AM49" s="59">
        <f t="shared" si="5"/>
        <v>693.59675897578995</v>
      </c>
      <c r="AN49" s="59">
        <f ca="1">AVERAGE(OFFSET($AM$3,0,0,'Données projet'!$E$10+1,1))-AVERAGE(OFFSET($H$3,0,0,'Données projet'!$E$10+1,1))</f>
        <v>349.71285006949597</v>
      </c>
      <c r="AO49" s="59">
        <f t="shared" si="36"/>
        <v>258.51550516456842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22.72280141983704</v>
      </c>
      <c r="AV49" s="21">
        <f>EXP(-LN(2)/25)*AV48+(1-EXP(-LN(2)/25))/(LN(2)/25)*Calculateur!AQ49*Calculateur!AS49*VLOOKUP('Données projet'!$B$10,Paramètres!$A$1:$I$89,3,0)*0.475*44/12</f>
        <v>15.602299132873227</v>
      </c>
      <c r="AW49" s="21">
        <f>EXP(-LN(2)/2)*AW48+(1-EXP(-LN(2)/2))/(LN(2)/2)*AQ49*AT49*VLOOKUP('Données projet'!$B$10,Paramètres!$A$1:$I$89,3,0)*0.475*44/12</f>
        <v>1.8876053039758818</v>
      </c>
      <c r="AX49" s="21">
        <f t="shared" si="6"/>
        <v>40.212705856686149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14.689999999999998</v>
      </c>
      <c r="BD49" s="12">
        <f>IF('Données projet'!$A$88&gt;35,BD48+BC49-BL48,IF(A49&lt;'Données projet'!$A$88,$BA$205^A49,IF(A49='Données projet'!$A$88,'Données projet'!$B$88,BD48+BC49-BL48)))</f>
        <v>319.87000000000006</v>
      </c>
      <c r="BE49" s="13">
        <f>BD49*VLOOKUP('Données projet'!$B$11,Paramètres!$A$1:$I$89,3,0)*VLOOKUP('Données projet'!$B$11,Paramètres!$A$1:$I$89,5,0)</f>
        <v>191.28226000000004</v>
      </c>
      <c r="BF49" s="13">
        <f t="shared" si="37"/>
        <v>47.823331262073218</v>
      </c>
      <c r="BG49" s="20">
        <f t="shared" si="7"/>
        <v>416.44223811477758</v>
      </c>
      <c r="BH49" s="59">
        <f t="shared" si="8"/>
        <v>709.7755714481109</v>
      </c>
      <c r="BI49" s="59">
        <f ca="1">AVERAGE(OFFSET($BH$3,0,0,'Données projet'!$E$11+1,1))-AVERAGE(OFFSET($H$3,0,0,'Données projet'!$E$11+1,1))</f>
        <v>302.00825291248458</v>
      </c>
      <c r="BJ49" s="59">
        <f t="shared" si="38"/>
        <v>307.35115839449355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41.261981181239292</v>
      </c>
      <c r="BQ49" s="21">
        <f>EXP(-LN(2)/25)*BQ48+(1-EXP(-LN(2)/25))/(LN(2)/25)*Calculateur!BL49*Calculateur!BN49*VLOOKUP('Données projet'!$B$11,Paramètres!$A$1:$I$89,3,0)*0.475*44/12</f>
        <v>19.162241501362004</v>
      </c>
      <c r="BR49" s="21">
        <f>EXP(-LN(2)/2)*BR48+(1-EXP(-LN(2)/2))/(LN(2)/2)*BL49*BO49*VLOOKUP('Données projet'!$B$11,Paramètres!$A$1:$I$89,3,0)*0.475*44/12</f>
        <v>5.647550432128833</v>
      </c>
      <c r="BS49" s="22">
        <f t="shared" si="9"/>
        <v>66.071773114730135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7.7715686274509812</v>
      </c>
      <c r="BY49" s="12">
        <f>IF('Données projet'!$A$114&gt;35,BY48+BX49-CG48,IF(A49&lt;'Données projet'!$A$114,$BV$205^A49,IF(A49='Données projet'!$A$114,'Données projet'!$B$114,BY48+BX49-CG48)))</f>
        <v>357.49215686274493</v>
      </c>
      <c r="BZ49" s="13">
        <f>BY49*VLOOKUP('Données projet'!$B$12,Paramètres!$A$1:$I$89,3,0)*VLOOKUP('Données projet'!$B$12,Paramètres!$A$1:$I$89,5,0)</f>
        <v>167.30632941176464</v>
      </c>
      <c r="CA49" s="13">
        <f t="shared" si="39"/>
        <v>42.486171323937178</v>
      </c>
      <c r="CB49" s="20">
        <f t="shared" si="10"/>
        <v>365.388605448014</v>
      </c>
      <c r="CC49" s="59">
        <f t="shared" si="11"/>
        <v>658.72193878134726</v>
      </c>
      <c r="CD49" s="59">
        <f ca="1">AVERAGE(OFFSET($CC$3,0,0,'Données projet'!$E$12+1,1))-AVERAGE(OFFSET($H$3,0,0,'Données projet'!$E$12+1,1))</f>
        <v>337.10499990421835</v>
      </c>
      <c r="CE49" s="59">
        <f t="shared" si="40"/>
        <v>277.4254079562175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3.3603333333333336</v>
      </c>
      <c r="CT49" s="12">
        <f>IF('Données projet'!$A$140&gt;35,CT48+CS49-DB48,IF(A49&lt;'Données projet'!$A$140,$CQ$205^A49,IF(A49='Données projet'!$A$140,'Données projet'!$B$140,CT48+CS49-DB48)))</f>
        <v>154.57533333333328</v>
      </c>
      <c r="CU49" s="17">
        <f>CT49*VLOOKUP('Données projet'!$B$13,Paramètres!$A$1:$I$89,3,0)*VLOOKUP('Données projet'!$B$13,Paramètres!$A$1:$I$89,5,0)</f>
        <v>154.32801279999995</v>
      </c>
      <c r="CV49" s="13">
        <f t="shared" si="41"/>
        <v>39.560507872724209</v>
      </c>
      <c r="CW49" s="20">
        <f t="shared" si="13"/>
        <v>337.68917350499459</v>
      </c>
      <c r="CX49" s="59">
        <f t="shared" si="14"/>
        <v>631.0225068383279</v>
      </c>
      <c r="CY49" s="59">
        <f ca="1">AVERAGE(OFFSET($CX$3,0,0,'Données projet'!$E$13+1,1))-AVERAGE(OFFSET($H$3,0,0,'Données projet'!$E$13+1,1))</f>
        <v>525.74725170626471</v>
      </c>
      <c r="CZ49" s="59">
        <f t="shared" si="42"/>
        <v>259.19103598192197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9.6799999999999979</v>
      </c>
      <c r="DO49" s="12">
        <f>IF('Données projet'!$A$166&gt;35,DO48+DN49-DW48,IF(A49&lt;'Données projet'!$A$166,$DL$205^A49,IF(A49='Données projet'!$A$166,'Données projet'!$B$166,DO48+DN49-DW48)))</f>
        <v>144.45000000000022</v>
      </c>
      <c r="DP49" s="17">
        <f>DO49*VLOOKUP('Données projet'!$B$14,Paramètres!$A$1:$I$89,3,0)*VLOOKUP('Données projet'!$B$14,Paramètres!$A$1:$I$89,5,0)</f>
        <v>130.69836000000018</v>
      </c>
      <c r="DQ49" s="13">
        <f t="shared" si="43"/>
        <v>34.157679472020803</v>
      </c>
      <c r="DR49" s="20">
        <f t="shared" si="16"/>
        <v>287.12426874710326</v>
      </c>
      <c r="DS49" s="59">
        <f t="shared" si="17"/>
        <v>580.45760208043657</v>
      </c>
      <c r="DT49" s="59">
        <f ca="1">AVERAGE(OFFSET($DS$3,0,0,'Données projet'!$E$14+1,1))-AVERAGE(OFFSET($H$3,0,0,'Données projet'!$E$14+1,1))</f>
        <v>490.06222615476065</v>
      </c>
      <c r="DU49" s="59">
        <f t="shared" si="44"/>
        <v>310.43914804089906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24.862482548257979</v>
      </c>
      <c r="EC49" s="21">
        <f>EXP(-LN(2)/2)*EC48+(1-EXP(-LN(2)/2))/(LN(2)/2)*DW49*DZ49*VLOOKUP('Données projet'!$B$14,Paramètres!$A$1:$I$89,3,0)*0.475*44/12</f>
        <v>6.5461957721044381</v>
      </c>
      <c r="ED49" s="22">
        <f t="shared" si="18"/>
        <v>31.408678320362419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3.3603333333333336</v>
      </c>
      <c r="EJ49" s="12">
        <f>IF('Données projet'!$A$192&gt;35,EJ48+EI49-ER48,IF(A49&lt;'Données projet'!$A$192,$EG$205^A49,IF(A49='Données projet'!$A$192,'Données projet'!$B$192,EJ48+EI49-ER48)))</f>
        <v>154.57533333333328</v>
      </c>
      <c r="EK49" s="17">
        <f>EJ49*VLOOKUP('Données projet'!$B$15,Paramètres!$A$1:$I$89,3,0)*VLOOKUP('Données projet'!$B$15,Paramètres!$A$1:$I$89,5,0)</f>
        <v>156.73938799999993</v>
      </c>
      <c r="EL49" s="13">
        <f t="shared" si="45"/>
        <v>40.106196314415328</v>
      </c>
      <c r="EM49" s="20">
        <f t="shared" si="19"/>
        <v>342.83939268093991</v>
      </c>
      <c r="EN49" s="59">
        <f t="shared" si="20"/>
        <v>636.17272601427317</v>
      </c>
      <c r="EO49" s="59">
        <f ca="1">AVERAGE(OFFSET($EN$3,0,0,'Données projet'!$E$15+1,1))-AVERAGE(OFFSET($H$3,0,0,'Données projet'!$E$15+1,1))</f>
        <v>533.26035274112917</v>
      </c>
      <c r="EP49" s="59">
        <f t="shared" si="46"/>
        <v>262.58149402282521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3.8461538461538454</v>
      </c>
      <c r="FE49" s="12">
        <f>IF('Données projet'!$A$218&gt;35,FE48+FD49-FM48,IF(A49&lt;'Données projet'!$A$218,$FB$205^A49,IF(A49='Données projet'!$A$218,'Données projet'!$B$218,FE48+FD49-FM48)))</f>
        <v>95.512820512820497</v>
      </c>
      <c r="FF49" s="17">
        <f>FE49*VLOOKUP('Données projet'!$B$16,Paramètres!$A$1:$I$89,3,0)*VLOOKUP('Données projet'!$B$16,Paramètres!$A$1:$I$89,5,0)</f>
        <v>99.83</v>
      </c>
      <c r="FG49" s="13">
        <f t="shared" si="47"/>
        <v>26.92149338297099</v>
      </c>
      <c r="FH49" s="20">
        <f t="shared" si="22"/>
        <v>220.75885097534115</v>
      </c>
      <c r="FI49" s="59">
        <f t="shared" si="23"/>
        <v>514.0921843086744</v>
      </c>
      <c r="FJ49" s="59">
        <f ca="1">AVERAGE(OFFSET($FI$3,0,0,'Données projet'!$E$16+1,1))-AVERAGE(OFFSET($H$3,0,0,'Données projet'!$E$16+1,1))</f>
        <v>239.26156489359892</v>
      </c>
      <c r="FK49" s="59">
        <f t="shared" si="48"/>
        <v>213.97034450798111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13.912214157117571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13.912214157117571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10.001428571428571</v>
      </c>
      <c r="N50" s="13">
        <f>IF('Données projet'!$A$36&gt;35,N49+M50-V49,IF(A50&lt;'Données projet'!$A$36,$K$205^A50,IF(A50='Données projet'!$A$36,'Données projet'!$B$36,N49+M50-V49)))</f>
        <v>128.06285714285715</v>
      </c>
      <c r="O50" s="13">
        <f>N50*VLOOKUP('Données projet'!$B$9,Paramètres!$A$1:$I$89,3,0)*VLOOKUP('Données projet'!$B$9,Paramètres!$A$1:$I$89,5,0)</f>
        <v>121.86461485714287</v>
      </c>
      <c r="P50" s="13">
        <f t="shared" si="33"/>
        <v>32.109499056362758</v>
      </c>
      <c r="Q50" s="20">
        <f t="shared" si="53"/>
        <v>268.17158173268894</v>
      </c>
      <c r="R50" s="59">
        <f t="shared" si="0"/>
        <v>561.50491506602225</v>
      </c>
      <c r="S50" s="59">
        <f ca="1">AVERAGE(OFFSET($R$3,0,0,'Données projet'!$E$9+1,1))-AVERAGE(OFFSET($H$3,0,0,'Données projet'!$E$9+1,1))</f>
        <v>449.28947235329758</v>
      </c>
      <c r="T50" s="59">
        <f t="shared" si="34"/>
        <v>289.36994109443964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34.317111787689214</v>
      </c>
      <c r="AB50" s="21">
        <f>EXP(-LN(2)/2)*AB49+(1-EXP(-LN(2)/2))/(LN(2)/2)*V50*Y50*VLOOKUP('Données projet'!$B$9,Paramètres!$A$1:$I$89,3,0)*0.475*44/12</f>
        <v>4.3111614671851664</v>
      </c>
      <c r="AC50" s="22">
        <f t="shared" si="3"/>
        <v>38.628273254874379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15.714444444444442</v>
      </c>
      <c r="AI50" s="13">
        <f>IF('Données projet'!$A$62&gt;35,AI49+AH50-AQ49,IF(A50&lt;'Données projet'!$A$62,$AF$205^A50,IF(A50='Données projet'!$A$62,'Données projet'!$B$62,AI49+AH50-AQ49)))</f>
        <v>322.86666666666673</v>
      </c>
      <c r="AJ50" s="13">
        <f>AI50*VLOOKUP('Données projet'!$B$10,Paramètres!$A$1:$I$89,3,0)*VLOOKUP('Données projet'!$B$10,Paramètres!$A$1:$I$89,5,0)</f>
        <v>193.07426666666672</v>
      </c>
      <c r="AK50" s="13">
        <f t="shared" si="35"/>
        <v>48.218993334236252</v>
      </c>
      <c r="AL50" s="20">
        <f t="shared" si="4"/>
        <v>420.25242783490597</v>
      </c>
      <c r="AM50" s="59">
        <f t="shared" si="5"/>
        <v>713.58576116823929</v>
      </c>
      <c r="AN50" s="59">
        <f ca="1">AVERAGE(OFFSET($AM$3,0,0,'Données projet'!$E$10+1,1))-AVERAGE(OFFSET($H$3,0,0,'Données projet'!$E$10+1,1))</f>
        <v>349.71285006949597</v>
      </c>
      <c r="AO50" s="59">
        <f t="shared" si="36"/>
        <v>258.51550516456842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22.277221143534387</v>
      </c>
      <c r="AV50" s="21">
        <f>EXP(-LN(2)/25)*AV49+(1-EXP(-LN(2)/25))/(LN(2)/25)*Calculateur!AQ50*Calculateur!AS50*VLOOKUP('Données projet'!$B$10,Paramètres!$A$1:$I$89,3,0)*0.475*44/12</f>
        <v>15.175653442595557</v>
      </c>
      <c r="AW50" s="21">
        <f>EXP(-LN(2)/2)*AW49+(1-EXP(-LN(2)/2))/(LN(2)/2)*AQ50*AT50*VLOOKUP('Données projet'!$B$10,Paramètres!$A$1:$I$89,3,0)*0.475*44/12</f>
        <v>1.3347385106450405</v>
      </c>
      <c r="AX50" s="21">
        <f t="shared" si="6"/>
        <v>38.787613096774983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14.689999999999998</v>
      </c>
      <c r="BD50" s="12">
        <f>IF('Données projet'!$A$88&gt;35,BD49+BC50-BL49,IF(A50&lt;'Données projet'!$A$88,$BA$205^A50,IF(A50='Données projet'!$A$88,'Données projet'!$B$88,BD49+BC50-BL49)))</f>
        <v>334.56000000000006</v>
      </c>
      <c r="BE50" s="13">
        <f>BD50*VLOOKUP('Données projet'!$B$11,Paramètres!$A$1:$I$89,3,0)*VLOOKUP('Données projet'!$B$11,Paramètres!$A$1:$I$89,5,0)</f>
        <v>200.06688000000005</v>
      </c>
      <c r="BF50" s="13">
        <f t="shared" si="37"/>
        <v>49.758865639104997</v>
      </c>
      <c r="BG50" s="20">
        <f t="shared" si="7"/>
        <v>435.11317365477458</v>
      </c>
      <c r="BH50" s="59">
        <f t="shared" si="8"/>
        <v>728.4465069881079</v>
      </c>
      <c r="BI50" s="59">
        <f ca="1">AVERAGE(OFFSET($BH$3,0,0,'Données projet'!$E$11+1,1))-AVERAGE(OFFSET($H$3,0,0,'Données projet'!$E$11+1,1))</f>
        <v>302.00825291248458</v>
      </c>
      <c r="BJ50" s="59">
        <f t="shared" si="38"/>
        <v>307.35115839449355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40.452858897598645</v>
      </c>
      <c r="BQ50" s="21">
        <f>EXP(-LN(2)/25)*BQ49+(1-EXP(-LN(2)/25))/(LN(2)/25)*Calculateur!BL50*Calculateur!BN50*VLOOKUP('Données projet'!$B$11,Paramètres!$A$1:$I$89,3,0)*0.475*44/12</f>
        <v>18.638248999808777</v>
      </c>
      <c r="BR50" s="21">
        <f>EXP(-LN(2)/2)*BR49+(1-EXP(-LN(2)/2))/(LN(2)/2)*BL50*BO50*VLOOKUP('Données projet'!$B$11,Paramètres!$A$1:$I$89,3,0)*0.475*44/12</f>
        <v>3.9934212076513149</v>
      </c>
      <c r="BS50" s="22">
        <f t="shared" si="9"/>
        <v>63.084529105058742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7.7715686274509812</v>
      </c>
      <c r="BY50" s="12">
        <f>IF('Données projet'!$A$114&gt;35,BY49+BX50-CG49,IF(A50&lt;'Données projet'!$A$114,$BV$205^A50,IF(A50='Données projet'!$A$114,'Données projet'!$B$114,BY49+BX50-CG49)))</f>
        <v>365.2637254901959</v>
      </c>
      <c r="BZ50" s="13">
        <f>BY50*VLOOKUP('Données projet'!$B$12,Paramètres!$A$1:$I$89,3,0)*VLOOKUP('Données projet'!$B$12,Paramètres!$A$1:$I$89,5,0)</f>
        <v>170.94342352941169</v>
      </c>
      <c r="CA50" s="13">
        <f t="shared" si="39"/>
        <v>43.301250967807881</v>
      </c>
      <c r="CB50" s="20">
        <f t="shared" si="10"/>
        <v>373.14280808265738</v>
      </c>
      <c r="CC50" s="59">
        <f t="shared" si="11"/>
        <v>666.4761414159907</v>
      </c>
      <c r="CD50" s="59">
        <f ca="1">AVERAGE(OFFSET($CC$3,0,0,'Données projet'!$E$12+1,1))-AVERAGE(OFFSET($H$3,0,0,'Données projet'!$E$12+1,1))</f>
        <v>337.10499990421835</v>
      </c>
      <c r="CE50" s="59">
        <f t="shared" si="40"/>
        <v>277.4254079562175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3.3603333333333336</v>
      </c>
      <c r="CT50" s="12">
        <f>IF('Données projet'!$A$140&gt;35,CT49+CS50-DB49,IF(A50&lt;'Données projet'!$A$140,$CQ$205^A50,IF(A50='Données projet'!$A$140,'Données projet'!$B$140,CT49+CS50-DB49)))</f>
        <v>157.93566666666661</v>
      </c>
      <c r="CU50" s="17">
        <f>CT50*VLOOKUP('Données projet'!$B$13,Paramètres!$A$1:$I$89,3,0)*VLOOKUP('Données projet'!$B$13,Paramètres!$A$1:$I$89,5,0)</f>
        <v>157.68296959999995</v>
      </c>
      <c r="CV50" s="13">
        <f t="shared" si="41"/>
        <v>40.319459872008672</v>
      </c>
      <c r="CW50" s="20">
        <f t="shared" si="13"/>
        <v>344.85423133041496</v>
      </c>
      <c r="CX50" s="59">
        <f t="shared" si="14"/>
        <v>638.18756466374828</v>
      </c>
      <c r="CY50" s="59">
        <f ca="1">AVERAGE(OFFSET($CX$3,0,0,'Données projet'!$E$13+1,1))-AVERAGE(OFFSET($H$3,0,0,'Données projet'!$E$13+1,1))</f>
        <v>525.74725170626471</v>
      </c>
      <c r="CZ50" s="59">
        <f t="shared" si="42"/>
        <v>259.19103598192197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9.6799999999999979</v>
      </c>
      <c r="DO50" s="12">
        <f>IF('Données projet'!$A$166&gt;35,DO49+DN50-DW49,IF(A50&lt;'Données projet'!$A$166,$DL$205^A50,IF(A50='Données projet'!$A$166,'Données projet'!$B$166,DO49+DN50-DW49)))</f>
        <v>154.13000000000022</v>
      </c>
      <c r="DP50" s="17">
        <f>DO50*VLOOKUP('Données projet'!$B$14,Paramètres!$A$1:$I$89,3,0)*VLOOKUP('Données projet'!$B$14,Paramètres!$A$1:$I$89,5,0)</f>
        <v>139.45682400000021</v>
      </c>
      <c r="DQ50" s="13">
        <f t="shared" si="43"/>
        <v>36.172543362339141</v>
      </c>
      <c r="DR50" s="20">
        <f t="shared" si="16"/>
        <v>305.88781482274101</v>
      </c>
      <c r="DS50" s="59">
        <f t="shared" si="17"/>
        <v>599.22114815607438</v>
      </c>
      <c r="DT50" s="59">
        <f ca="1">AVERAGE(OFFSET($DS$3,0,0,'Données projet'!$E$14+1,1))-AVERAGE(OFFSET($H$3,0,0,'Données projet'!$E$14+1,1))</f>
        <v>490.06222615476065</v>
      </c>
      <c r="DU50" s="59">
        <f t="shared" si="44"/>
        <v>310.43914804089906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24.182616655514732</v>
      </c>
      <c r="EC50" s="21">
        <f>EXP(-LN(2)/2)*EC49+(1-EXP(-LN(2)/2))/(LN(2)/2)*DW50*DZ50*VLOOKUP('Données projet'!$B$14,Paramètres!$A$1:$I$89,3,0)*0.475*44/12</f>
        <v>4.6288594214297554</v>
      </c>
      <c r="ED50" s="22">
        <f t="shared" si="18"/>
        <v>28.811476076944487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3.3603333333333336</v>
      </c>
      <c r="EJ50" s="12">
        <f>IF('Données projet'!$A$192&gt;35,EJ49+EI50-ER49,IF(A50&lt;'Données projet'!$A$192,$EG$205^A50,IF(A50='Données projet'!$A$192,'Données projet'!$B$192,EJ49+EI50-ER49)))</f>
        <v>157.93566666666661</v>
      </c>
      <c r="EK50" s="17">
        <f>EJ50*VLOOKUP('Données projet'!$B$15,Paramètres!$A$1:$I$89,3,0)*VLOOKUP('Données projet'!$B$15,Paramètres!$A$1:$I$89,5,0)</f>
        <v>160.14676599999996</v>
      </c>
      <c r="EL50" s="13">
        <f t="shared" si="45"/>
        <v>40.875617121004808</v>
      </c>
      <c r="EM50" s="20">
        <f t="shared" si="19"/>
        <v>350.11398393574996</v>
      </c>
      <c r="EN50" s="59">
        <f t="shared" si="20"/>
        <v>643.44731726908321</v>
      </c>
      <c r="EO50" s="59">
        <f ca="1">AVERAGE(OFFSET($EN$3,0,0,'Données projet'!$E$15+1,1))-AVERAGE(OFFSET($H$3,0,0,'Données projet'!$E$15+1,1))</f>
        <v>533.26035274112917</v>
      </c>
      <c r="EP50" s="59">
        <f t="shared" si="46"/>
        <v>262.58149402282521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3.8461538461538454</v>
      </c>
      <c r="FE50" s="12">
        <f>IF('Données projet'!$A$218&gt;35,FE49+FD50-FM49,IF(A50&lt;'Données projet'!$A$218,$FB$205^A50,IF(A50='Données projet'!$A$218,'Données projet'!$B$218,FE49+FD50-FM49)))</f>
        <v>99.358974358974336</v>
      </c>
      <c r="FF50" s="17">
        <f>FE50*VLOOKUP('Données projet'!$B$16,Paramètres!$A$1:$I$89,3,0)*VLOOKUP('Données projet'!$B$16,Paramètres!$A$1:$I$89,5,0)</f>
        <v>103.84999999999998</v>
      </c>
      <c r="FG50" s="13">
        <f t="shared" si="47"/>
        <v>27.877180626240445</v>
      </c>
      <c r="FH50" s="20">
        <f t="shared" si="22"/>
        <v>229.42483959070205</v>
      </c>
      <c r="FI50" s="59">
        <f t="shared" si="23"/>
        <v>522.75817292403531</v>
      </c>
      <c r="FJ50" s="59">
        <f ca="1">AVERAGE(OFFSET($FI$3,0,0,'Données projet'!$E$16+1,1))-AVERAGE(OFFSET($H$3,0,0,'Données projet'!$E$16+1,1))</f>
        <v>239.26156489359892</v>
      </c>
      <c r="FK50" s="59">
        <f t="shared" si="48"/>
        <v>213.97034450798111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13.531783929379646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13.531783929379646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10.001428571428571</v>
      </c>
      <c r="N51" s="13">
        <f>IF('Données projet'!$A$36&gt;35,N50+M51-V50,IF(A51&lt;'Données projet'!$A$36,$K$205^A51,IF(A51='Données projet'!$A$36,'Données projet'!$B$36,N50+M51-V50)))</f>
        <v>138.06428571428572</v>
      </c>
      <c r="O51" s="13">
        <f>N51*VLOOKUP('Données projet'!$B$9,Paramètres!$A$1:$I$89,3,0)*VLOOKUP('Données projet'!$B$9,Paramètres!$A$1:$I$89,5,0)</f>
        <v>131.38197428571428</v>
      </c>
      <c r="P51" s="13">
        <f t="shared" si="33"/>
        <v>34.315496219726761</v>
      </c>
      <c r="Q51" s="20">
        <f t="shared" si="53"/>
        <v>288.5897611303098</v>
      </c>
      <c r="R51" s="59">
        <f t="shared" si="0"/>
        <v>581.92309446364311</v>
      </c>
      <c r="S51" s="59">
        <f ca="1">AVERAGE(OFFSET($R$3,0,0,'Données projet'!$E$9+1,1))-AVERAGE(OFFSET($H$3,0,0,'Données projet'!$E$9+1,1))</f>
        <v>449.28947235329758</v>
      </c>
      <c r="T51" s="59">
        <f t="shared" si="34"/>
        <v>289.36994109443964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33.378708561196376</v>
      </c>
      <c r="AB51" s="21">
        <f>EXP(-LN(2)/2)*AB50+(1-EXP(-LN(2)/2))/(LN(2)/2)*V51*Y51*VLOOKUP('Données projet'!$B$9,Paramètres!$A$1:$I$89,3,0)*0.475*44/12</f>
        <v>3.0484515082367767</v>
      </c>
      <c r="AC51" s="22">
        <f t="shared" si="3"/>
        <v>36.42716006943315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15.714444444444442</v>
      </c>
      <c r="AI51" s="13">
        <f>IF('Données projet'!$A$62&gt;35,AI50+AH51-AQ50,IF(A51&lt;'Données projet'!$A$62,$AF$205^A51,IF(A51='Données projet'!$A$62,'Données projet'!$B$62,AI50+AH51-AQ50)))</f>
        <v>338.58111111111117</v>
      </c>
      <c r="AJ51" s="13">
        <f>AI51*VLOOKUP('Données projet'!$B$10,Paramètres!$A$1:$I$89,3,0)*VLOOKUP('Données projet'!$B$10,Paramètres!$A$1:$I$89,5,0)</f>
        <v>202.47150444444449</v>
      </c>
      <c r="AK51" s="13">
        <f t="shared" si="35"/>
        <v>50.28694073581002</v>
      </c>
      <c r="AL51" s="20">
        <f t="shared" si="4"/>
        <v>440.22095868894326</v>
      </c>
      <c r="AM51" s="59">
        <f t="shared" si="5"/>
        <v>733.55429202227651</v>
      </c>
      <c r="AN51" s="59">
        <f ca="1">AVERAGE(OFFSET($AM$3,0,0,'Données projet'!$E$10+1,1))-AVERAGE(OFFSET($H$3,0,0,'Données projet'!$E$10+1,1))</f>
        <v>349.71285006949597</v>
      </c>
      <c r="AO51" s="59">
        <f t="shared" si="36"/>
        <v>258.51550516456842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21.840378424672895</v>
      </c>
      <c r="AV51" s="21">
        <f>EXP(-LN(2)/25)*AV50+(1-EXP(-LN(2)/25))/(LN(2)/25)*Calculateur!AQ51*Calculateur!AS51*VLOOKUP('Données projet'!$B$10,Paramètres!$A$1:$I$89,3,0)*0.475*44/12</f>
        <v>14.760674401154851</v>
      </c>
      <c r="AW51" s="21">
        <f>EXP(-LN(2)/2)*AW50+(1-EXP(-LN(2)/2))/(LN(2)/2)*AQ51*AT51*VLOOKUP('Données projet'!$B$10,Paramètres!$A$1:$I$89,3,0)*0.475*44/12</f>
        <v>0.943802651987941</v>
      </c>
      <c r="AX51" s="21">
        <f t="shared" si="6"/>
        <v>37.544855477815695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14.689999999999998</v>
      </c>
      <c r="BD51" s="12">
        <f>IF('Données projet'!$A$88&gt;35,BD50+BC51-BL50,IF(A51&lt;'Données projet'!$A$88,$BA$205^A51,IF(A51='Données projet'!$A$88,'Données projet'!$B$88,BD50+BC51-BL50)))</f>
        <v>349.25000000000006</v>
      </c>
      <c r="BE51" s="13">
        <f>BD51*VLOOKUP('Données projet'!$B$11,Paramètres!$A$1:$I$89,3,0)*VLOOKUP('Données projet'!$B$11,Paramètres!$A$1:$I$89,5,0)</f>
        <v>208.85150000000004</v>
      </c>
      <c r="BF51" s="13">
        <f t="shared" si="37"/>
        <v>51.684529504057373</v>
      </c>
      <c r="BG51" s="20">
        <f t="shared" si="7"/>
        <v>453.76691805289994</v>
      </c>
      <c r="BH51" s="59">
        <f t="shared" si="8"/>
        <v>747.10025138623325</v>
      </c>
      <c r="BI51" s="59">
        <f ca="1">AVERAGE(OFFSET($BH$3,0,0,'Données projet'!$E$11+1,1))-AVERAGE(OFFSET($H$3,0,0,'Données projet'!$E$11+1,1))</f>
        <v>302.00825291248458</v>
      </c>
      <c r="BJ51" s="59">
        <f t="shared" si="38"/>
        <v>307.35115839449355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39.659603008424327</v>
      </c>
      <c r="BQ51" s="21">
        <f>EXP(-LN(2)/25)*BQ50+(1-EXP(-LN(2)/25))/(LN(2)/25)*Calculateur!BL51*Calculateur!BN51*VLOOKUP('Données projet'!$B$11,Paramètres!$A$1:$I$89,3,0)*0.475*44/12</f>
        <v>18.128585100766088</v>
      </c>
      <c r="BR51" s="21">
        <f>EXP(-LN(2)/2)*BR50+(1-EXP(-LN(2)/2))/(LN(2)/2)*BL51*BO51*VLOOKUP('Données projet'!$B$11,Paramètres!$A$1:$I$89,3,0)*0.475*44/12</f>
        <v>2.8237752160644169</v>
      </c>
      <c r="BS51" s="22">
        <f t="shared" si="9"/>
        <v>60.611963325254834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7.7715686274509812</v>
      </c>
      <c r="BY51" s="12">
        <f>IF('Données projet'!$A$114&gt;35,BY50+BX51-CG50,IF(A51&lt;'Données projet'!$A$114,$BV$205^A51,IF(A51='Données projet'!$A$114,'Données projet'!$B$114,BY50+BX51-CG50)))</f>
        <v>373.03529411764686</v>
      </c>
      <c r="BZ51" s="13">
        <f>BY51*VLOOKUP('Données projet'!$B$12,Paramètres!$A$1:$I$89,3,0)*VLOOKUP('Données projet'!$B$12,Paramètres!$A$1:$I$89,5,0)</f>
        <v>174.58051764705874</v>
      </c>
      <c r="CA51" s="13">
        <f t="shared" si="39"/>
        <v>44.114314325696256</v>
      </c>
      <c r="CB51" s="20">
        <f t="shared" si="10"/>
        <v>380.89349901921491</v>
      </c>
      <c r="CC51" s="59">
        <f t="shared" si="11"/>
        <v>674.22683235254817</v>
      </c>
      <c r="CD51" s="59">
        <f ca="1">AVERAGE(OFFSET($CC$3,0,0,'Données projet'!$E$12+1,1))-AVERAGE(OFFSET($H$3,0,0,'Données projet'!$E$12+1,1))</f>
        <v>337.10499990421835</v>
      </c>
      <c r="CE51" s="59">
        <f t="shared" si="40"/>
        <v>277.4254079562175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3.3603333333333336</v>
      </c>
      <c r="CT51" s="12">
        <f>IF('Données projet'!$A$140&gt;35,CT50+CS51-DB50,IF(A51&lt;'Données projet'!$A$140,$CQ$205^A51,IF(A51='Données projet'!$A$140,'Données projet'!$B$140,CT50+CS51-DB50)))</f>
        <v>161.29599999999994</v>
      </c>
      <c r="CU51" s="17">
        <f>CT51*VLOOKUP('Données projet'!$B$13,Paramètres!$A$1:$I$89,3,0)*VLOOKUP('Données projet'!$B$13,Paramètres!$A$1:$I$89,5,0)</f>
        <v>161.03792639999995</v>
      </c>
      <c r="CV51" s="13">
        <f t="shared" si="41"/>
        <v>41.076534429881214</v>
      </c>
      <c r="CW51" s="20">
        <f t="shared" si="13"/>
        <v>352.01601927870962</v>
      </c>
      <c r="CX51" s="59">
        <f t="shared" si="14"/>
        <v>645.34935261204294</v>
      </c>
      <c r="CY51" s="59">
        <f ca="1">AVERAGE(OFFSET($CX$3,0,0,'Données projet'!$E$13+1,1))-AVERAGE(OFFSET($H$3,0,0,'Données projet'!$E$13+1,1))</f>
        <v>525.74725170626471</v>
      </c>
      <c r="CZ51" s="59">
        <f t="shared" si="42"/>
        <v>259.19103598192197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9.6799999999999979</v>
      </c>
      <c r="DO51" s="12">
        <f>IF('Données projet'!$A$166&gt;35,DO50+DN51-DW50,IF(A51&lt;'Données projet'!$A$166,$DL$205^A51,IF(A51='Données projet'!$A$166,'Données projet'!$B$166,DO50+DN51-DW50)))</f>
        <v>163.81000000000023</v>
      </c>
      <c r="DP51" s="17">
        <f>DO51*VLOOKUP('Données projet'!$B$14,Paramètres!$A$1:$I$89,3,0)*VLOOKUP('Données projet'!$B$14,Paramètres!$A$1:$I$89,5,0)</f>
        <v>148.21528800000021</v>
      </c>
      <c r="DQ51" s="13">
        <f t="shared" si="43"/>
        <v>38.172721310443634</v>
      </c>
      <c r="DR51" s="20">
        <f t="shared" si="16"/>
        <v>324.62578288235642</v>
      </c>
      <c r="DS51" s="59">
        <f t="shared" si="17"/>
        <v>617.95911621568973</v>
      </c>
      <c r="DT51" s="59">
        <f ca="1">AVERAGE(OFFSET($DS$3,0,0,'Données projet'!$E$14+1,1))-AVERAGE(OFFSET($H$3,0,0,'Données projet'!$E$14+1,1))</f>
        <v>490.06222615476065</v>
      </c>
      <c r="DU51" s="59">
        <f t="shared" si="44"/>
        <v>310.43914804089906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23.52134173136114</v>
      </c>
      <c r="EC51" s="21">
        <f>EXP(-LN(2)/2)*EC50+(1-EXP(-LN(2)/2))/(LN(2)/2)*DW51*DZ51*VLOOKUP('Données projet'!$B$14,Paramètres!$A$1:$I$89,3,0)*0.475*44/12</f>
        <v>3.2730978860522191</v>
      </c>
      <c r="ED51" s="22">
        <f t="shared" si="18"/>
        <v>26.79443961741336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3.3603333333333336</v>
      </c>
      <c r="EJ51" s="12">
        <f>IF('Données projet'!$A$192&gt;35,EJ50+EI51-ER50,IF(A51&lt;'Données projet'!$A$192,$EG$205^A51,IF(A51='Données projet'!$A$192,'Données projet'!$B$192,EJ50+EI51-ER50)))</f>
        <v>161.29599999999994</v>
      </c>
      <c r="EK51" s="17">
        <f>EJ51*VLOOKUP('Données projet'!$B$15,Paramètres!$A$1:$I$89,3,0)*VLOOKUP('Données projet'!$B$15,Paramètres!$A$1:$I$89,5,0)</f>
        <v>163.55414399999992</v>
      </c>
      <c r="EL51" s="13">
        <f t="shared" si="45"/>
        <v>41.64313458919235</v>
      </c>
      <c r="EM51" s="20">
        <f t="shared" si="19"/>
        <v>357.38526020950985</v>
      </c>
      <c r="EN51" s="59">
        <f t="shared" si="20"/>
        <v>650.71859354284311</v>
      </c>
      <c r="EO51" s="59">
        <f ca="1">AVERAGE(OFFSET($EN$3,0,0,'Données projet'!$E$15+1,1))-AVERAGE(OFFSET($H$3,0,0,'Données projet'!$E$15+1,1))</f>
        <v>533.26035274112917</v>
      </c>
      <c r="EP51" s="59">
        <f t="shared" si="46"/>
        <v>262.58149402282521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3.8461538461538454</v>
      </c>
      <c r="FE51" s="12">
        <f>IF('Données projet'!$A$218&gt;35,FE50+FD51-FM50,IF(A51&lt;'Données projet'!$A$218,$FB$205^A51,IF(A51='Données projet'!$A$218,'Données projet'!$B$218,FE50+FD51-FM50)))</f>
        <v>103.20512820512818</v>
      </c>
      <c r="FF51" s="17">
        <f>FE51*VLOOKUP('Données projet'!$B$16,Paramètres!$A$1:$I$89,3,0)*VLOOKUP('Données projet'!$B$16,Paramètres!$A$1:$I$89,5,0)</f>
        <v>107.86999999999998</v>
      </c>
      <c r="FG51" s="13">
        <f t="shared" si="47"/>
        <v>28.828570280930691</v>
      </c>
      <c r="FH51" s="20">
        <f t="shared" si="22"/>
        <v>238.08334323928753</v>
      </c>
      <c r="FI51" s="59">
        <f t="shared" si="23"/>
        <v>531.41667657262087</v>
      </c>
      <c r="FJ51" s="59">
        <f ca="1">AVERAGE(OFFSET($FI$3,0,0,'Données projet'!$E$16+1,1))-AVERAGE(OFFSET($H$3,0,0,'Données projet'!$E$16+1,1))</f>
        <v>239.26156489359892</v>
      </c>
      <c r="FK51" s="59">
        <f t="shared" si="48"/>
        <v>213.97034450798111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13.16175658622517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13.16175658622517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10.001428571428571</v>
      </c>
      <c r="N52" s="13">
        <f>IF('Données projet'!$A$36&gt;35,N51+M52-V51,IF(A52&lt;'Données projet'!$A$36,$K$205^A52,IF(A52='Données projet'!$A$36,'Données projet'!$B$36,N51+M52-V51)))</f>
        <v>148.06571428571428</v>
      </c>
      <c r="O52" s="13">
        <f>N52*VLOOKUP('Données projet'!$B$9,Paramètres!$A$1:$I$89,3,0)*VLOOKUP('Données projet'!$B$9,Paramètres!$A$1:$I$89,5,0)</f>
        <v>140.89933371428572</v>
      </c>
      <c r="P52" s="13">
        <f t="shared" si="33"/>
        <v>36.502953377985676</v>
      </c>
      <c r="Q52" s="20">
        <f t="shared" si="53"/>
        <v>308.97565001903934</v>
      </c>
      <c r="R52" s="59">
        <f t="shared" si="0"/>
        <v>602.30898335237271</v>
      </c>
      <c r="S52" s="59">
        <f ca="1">AVERAGE(OFFSET($R$3,0,0,'Données projet'!$E$9+1,1))-AVERAGE(OFFSET($H$3,0,0,'Données projet'!$E$9+1,1))</f>
        <v>449.28947235329758</v>
      </c>
      <c r="T52" s="59">
        <f t="shared" si="34"/>
        <v>289.36994109443964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32.465966020280469</v>
      </c>
      <c r="AB52" s="21">
        <f>EXP(-LN(2)/2)*AB51+(1-EXP(-LN(2)/2))/(LN(2)/2)*V52*Y52*VLOOKUP('Données projet'!$B$9,Paramètres!$A$1:$I$89,3,0)*0.475*44/12</f>
        <v>2.1555807335925832</v>
      </c>
      <c r="AC52" s="22">
        <f t="shared" si="3"/>
        <v>34.621546753873055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15.714444444444442</v>
      </c>
      <c r="AI52" s="13">
        <f>IF('Données projet'!$A$62&gt;35,AI51+AH52-AQ51,IF(A52&lt;'Données projet'!$A$62,$AF$205^A52,IF(A52='Données projet'!$A$62,'Données projet'!$B$62,AI51+AH52-AQ51)))</f>
        <v>354.29555555555561</v>
      </c>
      <c r="AJ52" s="13">
        <f>AI52*VLOOKUP('Données projet'!$B$10,Paramètres!$A$1:$I$89,3,0)*VLOOKUP('Données projet'!$B$10,Paramètres!$A$1:$I$89,5,0)</f>
        <v>211.86874222222229</v>
      </c>
      <c r="AK52" s="13">
        <f t="shared" si="35"/>
        <v>52.343742090960504</v>
      </c>
      <c r="AL52" s="20">
        <f t="shared" si="4"/>
        <v>460.17007684546002</v>
      </c>
      <c r="AM52" s="59">
        <f t="shared" si="5"/>
        <v>753.50341017879327</v>
      </c>
      <c r="AN52" s="59">
        <f ca="1">AVERAGE(OFFSET($AM$3,0,0,'Données projet'!$E$10+1,1))-AVERAGE(OFFSET($H$3,0,0,'Données projet'!$E$10+1,1))</f>
        <v>349.71285006949597</v>
      </c>
      <c r="AO52" s="59">
        <f t="shared" si="36"/>
        <v>258.51550516456842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21.412101925080528</v>
      </c>
      <c r="AV52" s="21">
        <f>EXP(-LN(2)/25)*AV51+(1-EXP(-LN(2)/25))/(LN(2)/25)*Calculateur!AQ52*Calculateur!AS52*VLOOKUP('Données projet'!$B$10,Paramètres!$A$1:$I$89,3,0)*0.475*44/12</f>
        <v>14.357042983425142</v>
      </c>
      <c r="AW52" s="21">
        <f>EXP(-LN(2)/2)*AW51+(1-EXP(-LN(2)/2))/(LN(2)/2)*AQ52*AT52*VLOOKUP('Données projet'!$B$10,Paramètres!$A$1:$I$89,3,0)*0.475*44/12</f>
        <v>0.66736925532252034</v>
      </c>
      <c r="AX52" s="21">
        <f t="shared" si="6"/>
        <v>36.436514163828186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14.689999999999998</v>
      </c>
      <c r="BD52" s="12">
        <f>IF('Données projet'!$A$88&gt;35,BD51+BC52-BL51,IF(A52&lt;'Données projet'!$A$88,$BA$205^A52,IF(A52='Données projet'!$A$88,'Données projet'!$B$88,BD51+BC52-BL51)))</f>
        <v>363.94000000000005</v>
      </c>
      <c r="BE52" s="13">
        <f>BD52*VLOOKUP('Données projet'!$B$11,Paramètres!$A$1:$I$89,3,0)*VLOOKUP('Données projet'!$B$11,Paramètres!$A$1:$I$89,5,0)</f>
        <v>217.63612000000003</v>
      </c>
      <c r="BF52" s="13">
        <f t="shared" si="37"/>
        <v>53.600785497261654</v>
      </c>
      <c r="BG52" s="20">
        <f t="shared" si="7"/>
        <v>472.40427707439738</v>
      </c>
      <c r="BH52" s="59">
        <f t="shared" si="8"/>
        <v>765.7376104077307</v>
      </c>
      <c r="BI52" s="59">
        <f ca="1">AVERAGE(OFFSET($BH$3,0,0,'Données projet'!$E$11+1,1))-AVERAGE(OFFSET($H$3,0,0,'Données projet'!$E$11+1,1))</f>
        <v>302.00825291248458</v>
      </c>
      <c r="BJ52" s="59">
        <f t="shared" si="38"/>
        <v>307.35115839449355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38.881902383398398</v>
      </c>
      <c r="BQ52" s="21">
        <f>EXP(-LN(2)/25)*BQ51+(1-EXP(-LN(2)/25))/(LN(2)/25)*Calculateur!BL52*Calculateur!BN52*VLOOKUP('Données projet'!$B$11,Paramètres!$A$1:$I$89,3,0)*0.475*44/12</f>
        <v>17.632857987844783</v>
      </c>
      <c r="BR52" s="21">
        <f>EXP(-LN(2)/2)*BR51+(1-EXP(-LN(2)/2))/(LN(2)/2)*BL52*BO52*VLOOKUP('Données projet'!$B$11,Paramètres!$A$1:$I$89,3,0)*0.475*44/12</f>
        <v>1.9967106038256577</v>
      </c>
      <c r="BS52" s="22">
        <f t="shared" si="9"/>
        <v>58.511470975068839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7.7715686274509812</v>
      </c>
      <c r="BY52" s="12">
        <f>IF('Données projet'!$A$114&gt;35,BY51+BX52-CG51,IF(A52&lt;'Données projet'!$A$114,$BV$205^A52,IF(A52='Données projet'!$A$114,'Données projet'!$B$114,BY51+BX52-CG51)))</f>
        <v>380.80686274509782</v>
      </c>
      <c r="BZ52" s="13">
        <f>BY52*VLOOKUP('Données projet'!$B$12,Paramètres!$A$1:$I$89,3,0)*VLOOKUP('Données projet'!$B$12,Paramètres!$A$1:$I$89,5,0)</f>
        <v>178.21761176470577</v>
      </c>
      <c r="CA52" s="13">
        <f t="shared" si="39"/>
        <v>44.925408243080945</v>
      </c>
      <c r="CB52" s="20">
        <f t="shared" si="10"/>
        <v>388.64075984689515</v>
      </c>
      <c r="CC52" s="59">
        <f t="shared" si="11"/>
        <v>681.97409318022846</v>
      </c>
      <c r="CD52" s="59">
        <f ca="1">AVERAGE(OFFSET($CC$3,0,0,'Données projet'!$E$12+1,1))-AVERAGE(OFFSET($H$3,0,0,'Données projet'!$E$12+1,1))</f>
        <v>337.10499990421835</v>
      </c>
      <c r="CE52" s="59">
        <f t="shared" si="40"/>
        <v>277.4254079562175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3.3603333333333336</v>
      </c>
      <c r="CT52" s="12">
        <f>IF('Données projet'!$A$140&gt;35,CT51+CS52-DB51,IF(A52&lt;'Données projet'!$A$140,$CQ$205^A52,IF(A52='Données projet'!$A$140,'Données projet'!$B$140,CT51+CS52-DB51)))</f>
        <v>164.65633333333327</v>
      </c>
      <c r="CU52" s="17">
        <f>CT52*VLOOKUP('Données projet'!$B$13,Paramètres!$A$1:$I$89,3,0)*VLOOKUP('Données projet'!$B$13,Paramètres!$A$1:$I$89,5,0)</f>
        <v>164.39288319999994</v>
      </c>
      <c r="CV52" s="13">
        <f t="shared" si="41"/>
        <v>41.831775165968338</v>
      </c>
      <c r="CW52" s="20">
        <f t="shared" si="13"/>
        <v>359.17461332072804</v>
      </c>
      <c r="CX52" s="59">
        <f t="shared" si="14"/>
        <v>652.50794665406136</v>
      </c>
      <c r="CY52" s="59">
        <f ca="1">AVERAGE(OFFSET($CX$3,0,0,'Données projet'!$E$13+1,1))-AVERAGE(OFFSET($H$3,0,0,'Données projet'!$E$13+1,1))</f>
        <v>525.74725170626471</v>
      </c>
      <c r="CZ52" s="59">
        <f t="shared" si="42"/>
        <v>259.19103598192197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9.6799999999999979</v>
      </c>
      <c r="DO52" s="12">
        <f>IF('Données projet'!$A$166&gt;35,DO51+DN52-DW51,IF(A52&lt;'Données projet'!$A$166,$DL$205^A52,IF(A52='Données projet'!$A$166,'Données projet'!$B$166,DO51+DN52-DW51)))</f>
        <v>173.49000000000024</v>
      </c>
      <c r="DP52" s="17">
        <f>DO52*VLOOKUP('Données projet'!$B$14,Paramètres!$A$1:$I$89,3,0)*VLOOKUP('Données projet'!$B$14,Paramètres!$A$1:$I$89,5,0)</f>
        <v>156.97375200000022</v>
      </c>
      <c r="DQ52" s="13">
        <f t="shared" si="43"/>
        <v>40.159179999786943</v>
      </c>
      <c r="DR52" s="20">
        <f t="shared" si="16"/>
        <v>343.33985656629596</v>
      </c>
      <c r="DS52" s="59">
        <f t="shared" si="17"/>
        <v>636.67318989962928</v>
      </c>
      <c r="DT52" s="59">
        <f ca="1">AVERAGE(OFFSET($DS$3,0,0,'Données projet'!$E$14+1,1))-AVERAGE(OFFSET($H$3,0,0,'Données projet'!$E$14+1,1))</f>
        <v>490.06222615476065</v>
      </c>
      <c r="DU52" s="59">
        <f t="shared" si="44"/>
        <v>310.43914804089906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22.878149404783468</v>
      </c>
      <c r="EC52" s="21">
        <f>EXP(-LN(2)/2)*EC51+(1-EXP(-LN(2)/2))/(LN(2)/2)*DW52*DZ52*VLOOKUP('Données projet'!$B$14,Paramètres!$A$1:$I$89,3,0)*0.475*44/12</f>
        <v>2.3144297107148777</v>
      </c>
      <c r="ED52" s="22">
        <f t="shared" si="18"/>
        <v>25.192579115498347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3.3603333333333336</v>
      </c>
      <c r="EJ52" s="12">
        <f>IF('Données projet'!$A$192&gt;35,EJ51+EI52-ER51,IF(A52&lt;'Données projet'!$A$192,$EG$205^A52,IF(A52='Données projet'!$A$192,'Données projet'!$B$192,EJ51+EI52-ER51)))</f>
        <v>164.65633333333327</v>
      </c>
      <c r="EK52" s="17">
        <f>EJ52*VLOOKUP('Données projet'!$B$15,Paramètres!$A$1:$I$89,3,0)*VLOOKUP('Données projet'!$B$15,Paramètres!$A$1:$I$89,5,0)</f>
        <v>166.96152199999995</v>
      </c>
      <c r="EL52" s="13">
        <f t="shared" si="45"/>
        <v>42.408792940283384</v>
      </c>
      <c r="EM52" s="20">
        <f t="shared" si="19"/>
        <v>364.65329852099347</v>
      </c>
      <c r="EN52" s="59">
        <f t="shared" si="20"/>
        <v>657.98663185432679</v>
      </c>
      <c r="EO52" s="59">
        <f ca="1">AVERAGE(OFFSET($EN$3,0,0,'Données projet'!$E$15+1,1))-AVERAGE(OFFSET($H$3,0,0,'Données projet'!$E$15+1,1))</f>
        <v>533.26035274112917</v>
      </c>
      <c r="EP52" s="59">
        <f t="shared" si="46"/>
        <v>262.58149402282521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3.8461538461538454</v>
      </c>
      <c r="FE52" s="12">
        <f>IF('Données projet'!$A$218&gt;35,FE51+FD52-FM51,IF(A52&lt;'Données projet'!$A$218,$FB$205^A52,IF(A52='Données projet'!$A$218,'Données projet'!$B$218,FE51+FD52-FM51)))</f>
        <v>107.05128205128202</v>
      </c>
      <c r="FF52" s="17">
        <f>FE52*VLOOKUP('Données projet'!$B$16,Paramètres!$A$1:$I$89,3,0)*VLOOKUP('Données projet'!$B$16,Paramètres!$A$1:$I$89,5,0)</f>
        <v>111.88999999999997</v>
      </c>
      <c r="FG52" s="13">
        <f t="shared" si="47"/>
        <v>29.775840844916228</v>
      </c>
      <c r="FH52" s="20">
        <f t="shared" si="22"/>
        <v>246.73467280489569</v>
      </c>
      <c r="FI52" s="59">
        <f t="shared" si="23"/>
        <v>540.06800613822907</v>
      </c>
      <c r="FJ52" s="59">
        <f ca="1">AVERAGE(OFFSET($FI$3,0,0,'Données projet'!$E$16+1,1))-AVERAGE(OFFSET($H$3,0,0,'Données projet'!$E$16+1,1))</f>
        <v>239.26156489359892</v>
      </c>
      <c r="FK52" s="59">
        <f t="shared" si="48"/>
        <v>213.97034450798111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12.801847660228146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12.801847660228146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10.001428571428571</v>
      </c>
      <c r="N53" s="13">
        <f>IF('Données projet'!$A$36&gt;35,N52+M53-V52,IF(A53&lt;'Données projet'!$A$36,$K$205^A53,IF(A53='Données projet'!$A$36,'Données projet'!$B$36,N52+M53-V52)))</f>
        <v>158.06714285714284</v>
      </c>
      <c r="O53" s="13">
        <f>N53*VLOOKUP('Données projet'!$B$9,Paramètres!$A$1:$I$89,3,0)*VLOOKUP('Données projet'!$B$9,Paramètres!$A$1:$I$89,5,0)</f>
        <v>150.41669314285713</v>
      </c>
      <c r="P53" s="13">
        <f t="shared" si="33"/>
        <v>38.673265338618677</v>
      </c>
      <c r="Q53" s="20">
        <f t="shared" si="53"/>
        <v>329.33167768857032</v>
      </c>
      <c r="R53" s="59">
        <f t="shared" si="0"/>
        <v>622.66501102190364</v>
      </c>
      <c r="S53" s="59">
        <f ca="1">AVERAGE(OFFSET($R$3,0,0,'Données projet'!$E$9+1,1))-AVERAGE(OFFSET($H$3,0,0,'Données projet'!$E$9+1,1))</f>
        <v>449.28947235329758</v>
      </c>
      <c r="T53" s="59">
        <f t="shared" si="34"/>
        <v>289.36994109443964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31.578182472144949</v>
      </c>
      <c r="AB53" s="21">
        <f>EXP(-LN(2)/2)*AB52+(1-EXP(-LN(2)/2))/(LN(2)/2)*V53*Y53*VLOOKUP('Données projet'!$B$9,Paramètres!$A$1:$I$89,3,0)*0.475*44/12</f>
        <v>1.5242257541183883</v>
      </c>
      <c r="AC53" s="22">
        <f t="shared" si="3"/>
        <v>33.102408226263336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370.01</v>
      </c>
      <c r="AG53" s="12">
        <f>VLOOKUP(A53,'Données projet'!$A$61:$I$81,9,0)</f>
        <v>15.714444444444442</v>
      </c>
      <c r="AH53" s="12">
        <f t="array" ref="AH53">INDEX(AG:AG,MIN(IF(ISNUMBER(AG53:AG249),ROW(AG53:AG249),"")))</f>
        <v>15.714444444444442</v>
      </c>
      <c r="AI53" s="13">
        <f>IF('Données projet'!$A$62&gt;35,AI52+AH53-AQ52,IF(A53&lt;'Données projet'!$A$62,$AF$205^A53,IF(A53='Données projet'!$A$62,'Données projet'!$B$62,AI52+AH53-AQ52)))</f>
        <v>370.01000000000005</v>
      </c>
      <c r="AJ53" s="13">
        <f>AI53*VLOOKUP('Données projet'!$B$10,Paramètres!$A$1:$I$89,3,0)*VLOOKUP('Données projet'!$B$10,Paramètres!$A$1:$I$89,5,0)</f>
        <v>221.26598000000004</v>
      </c>
      <c r="AK53" s="13">
        <f t="shared" si="35"/>
        <v>54.389948263584252</v>
      </c>
      <c r="AL53" s="20">
        <f t="shared" si="4"/>
        <v>480.10074172574264</v>
      </c>
      <c r="AM53" s="59">
        <f t="shared" si="5"/>
        <v>773.43407505907589</v>
      </c>
      <c r="AN53" s="59">
        <f ca="1">AVERAGE(OFFSET($AM$3,0,0,'Données projet'!$E$10+1,1))-AVERAGE(OFFSET($H$3,0,0,'Données projet'!$E$10+1,1))</f>
        <v>349.71285006949597</v>
      </c>
      <c r="AO53" s="59">
        <f t="shared" si="36"/>
        <v>258.51550516456842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70.20999999999998</v>
      </c>
      <c r="AR53" s="16">
        <f>IF(ISNA(VLOOKUP(A53,'Données projet'!$A$61:$I$81,5,0)),0%,VLOOKUP(A53,'Données projet'!$A$61:$I$81,5,0)*VLOOKUP('Données projet'!$B$10,Paramètres!$A$1:$I$89,7,0))</f>
        <v>0.27</v>
      </c>
      <c r="AS53" s="16">
        <f>IF(ISNA(VLOOKUP(A53,'Données projet'!$A$61:$I$81,6,0)),0%,VLOOKUP(A53,'Données projet'!$A$61:$I$81,6,0)*VLOOKUP('Données projet'!$B$10,Paramètres!$A$1:$I$89,7,0))</f>
        <v>9.0000000000000011E-2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36.030299745055871</v>
      </c>
      <c r="AV53" s="21">
        <f>EXP(-LN(2)/25)*AV52+(1-EXP(-LN(2)/25))/(LN(2)/25)*Calculateur!AQ53*Calculateur!AS53*VLOOKUP('Données projet'!$B$10,Paramètres!$A$1:$I$89,3,0)*0.475*44/12</f>
        <v>18.9574040357579</v>
      </c>
      <c r="AW53" s="21">
        <f>EXP(-LN(2)/2)*AW52+(1-EXP(-LN(2)/2))/(LN(2)/2)*AQ53*AT53*VLOOKUP('Données projet'!$B$10,Paramètres!$A$1:$I$89,3,0)*0.475*44/12</f>
        <v>9.9793872672702157</v>
      </c>
      <c r="AX53" s="21">
        <f t="shared" si="6"/>
        <v>64.967091048083986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14.689999999999998</v>
      </c>
      <c r="BD53" s="12">
        <f>IF('Données projet'!$A$88&gt;35,BD52+BC53-BL52,IF(A53&lt;'Données projet'!$A$88,$BA$205^A53,IF(A53='Données projet'!$A$88,'Données projet'!$B$88,BD52+BC53-BL52)))</f>
        <v>378.63000000000005</v>
      </c>
      <c r="BE53" s="13">
        <f>BD53*VLOOKUP('Données projet'!$B$11,Paramètres!$A$1:$I$89,3,0)*VLOOKUP('Données projet'!$B$11,Paramètres!$A$1:$I$89,5,0)</f>
        <v>226.42074000000005</v>
      </c>
      <c r="BF53" s="13">
        <f t="shared" si="37"/>
        <v>55.508056797434847</v>
      </c>
      <c r="BG53" s="20">
        <f t="shared" si="7"/>
        <v>491.0259877555323</v>
      </c>
      <c r="BH53" s="59">
        <f t="shared" si="8"/>
        <v>784.35932108886561</v>
      </c>
      <c r="BI53" s="59">
        <f ca="1">AVERAGE(OFFSET($BH$3,0,0,'Données projet'!$E$11+1,1))-AVERAGE(OFFSET($H$3,0,0,'Données projet'!$E$11+1,1))</f>
        <v>302.00825291248458</v>
      </c>
      <c r="BJ53" s="59">
        <f t="shared" si="38"/>
        <v>307.35115839449355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38.119451993278687</v>
      </c>
      <c r="BQ53" s="21">
        <f>EXP(-LN(2)/25)*BQ52+(1-EXP(-LN(2)/25))/(LN(2)/25)*Calculateur!BL53*Calculateur!BN53*VLOOKUP('Données projet'!$B$11,Paramètres!$A$1:$I$89,3,0)*0.475*44/12</f>
        <v>17.150686558895465</v>
      </c>
      <c r="BR53" s="21">
        <f>EXP(-LN(2)/2)*BR52+(1-EXP(-LN(2)/2))/(LN(2)/2)*BL53*BO53*VLOOKUP('Données projet'!$B$11,Paramètres!$A$1:$I$89,3,0)*0.475*44/12</f>
        <v>1.4118876080322087</v>
      </c>
      <c r="BS53" s="22">
        <f t="shared" si="9"/>
        <v>56.682026160206362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7.7715686274509812</v>
      </c>
      <c r="BY53" s="12">
        <f>IF('Données projet'!$A$114&gt;35,BY52+BX53-CG52,IF(A53&lt;'Données projet'!$A$114,$BV$205^A53,IF(A53='Données projet'!$A$114,'Données projet'!$B$114,BY52+BX53-CG52)))</f>
        <v>388.57843137254878</v>
      </c>
      <c r="BZ53" s="13">
        <f>BY53*VLOOKUP('Données projet'!$B$12,Paramètres!$A$1:$I$89,3,0)*VLOOKUP('Données projet'!$B$12,Paramètres!$A$1:$I$89,5,0)</f>
        <v>181.85470588235282</v>
      </c>
      <c r="CA53" s="13">
        <f t="shared" si="39"/>
        <v>45.734577544078526</v>
      </c>
      <c r="CB53" s="20">
        <f t="shared" si="10"/>
        <v>396.38466863436787</v>
      </c>
      <c r="CC53" s="59">
        <f t="shared" si="11"/>
        <v>689.71800196770118</v>
      </c>
      <c r="CD53" s="59">
        <f ca="1">AVERAGE(OFFSET($CC$3,0,0,'Données projet'!$E$12+1,1))-AVERAGE(OFFSET($H$3,0,0,'Données projet'!$E$12+1,1))</f>
        <v>337.10499990421835</v>
      </c>
      <c r="CE53" s="59">
        <f t="shared" si="40"/>
        <v>277.4254079562175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3.3603333333333336</v>
      </c>
      <c r="CT53" s="12">
        <f>IF('Données projet'!$A$140&gt;35,CT52+CS53-DB52,IF(A53&lt;'Données projet'!$A$140,$CQ$205^A53,IF(A53='Données projet'!$A$140,'Données projet'!$B$140,CT52+CS53-DB52)))</f>
        <v>168.01666666666659</v>
      </c>
      <c r="CU53" s="17">
        <f>CT53*VLOOKUP('Données projet'!$B$13,Paramètres!$A$1:$I$89,3,0)*VLOOKUP('Données projet'!$B$13,Paramètres!$A$1:$I$89,5,0)</f>
        <v>167.74783999999994</v>
      </c>
      <c r="CV53" s="13">
        <f t="shared" si="41"/>
        <v>42.585223817728732</v>
      </c>
      <c r="CW53" s="20">
        <f t="shared" si="13"/>
        <v>366.33008614921073</v>
      </c>
      <c r="CX53" s="59">
        <f t="shared" si="14"/>
        <v>659.66341948254399</v>
      </c>
      <c r="CY53" s="59">
        <f ca="1">AVERAGE(OFFSET($CX$3,0,0,'Données projet'!$E$13+1,1))-AVERAGE(OFFSET($H$3,0,0,'Données projet'!$E$13+1,1))</f>
        <v>525.74725170626471</v>
      </c>
      <c r="CZ53" s="59">
        <f t="shared" si="42"/>
        <v>259.19103598192197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9.6799999999999979</v>
      </c>
      <c r="DO53" s="12">
        <f>IF('Données projet'!$A$166&gt;35,DO52+DN53-DW52,IF(A53&lt;'Données projet'!$A$166,$DL$205^A53,IF(A53='Données projet'!$A$166,'Données projet'!$B$166,DO52+DN53-DW52)))</f>
        <v>183.17000000000024</v>
      </c>
      <c r="DP53" s="17">
        <f>DO53*VLOOKUP('Données projet'!$B$14,Paramètres!$A$1:$I$89,3,0)*VLOOKUP('Données projet'!$B$14,Paramètres!$A$1:$I$89,5,0)</f>
        <v>165.73221600000022</v>
      </c>
      <c r="DQ53" s="13">
        <f t="shared" si="43"/>
        <v>42.132772147585847</v>
      </c>
      <c r="DR53" s="20">
        <f t="shared" si="16"/>
        <v>362.0315210237124</v>
      </c>
      <c r="DS53" s="59">
        <f t="shared" si="17"/>
        <v>655.36485435704572</v>
      </c>
      <c r="DT53" s="59">
        <f ca="1">AVERAGE(OFFSET($DS$3,0,0,'Données projet'!$E$14+1,1))-AVERAGE(OFFSET($H$3,0,0,'Données projet'!$E$14+1,1))</f>
        <v>490.06222615476065</v>
      </c>
      <c r="DU53" s="59">
        <f t="shared" si="44"/>
        <v>310.43914804089906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22.252545206200075</v>
      </c>
      <c r="EC53" s="21">
        <f>EXP(-LN(2)/2)*EC52+(1-EXP(-LN(2)/2))/(LN(2)/2)*DW53*DZ53*VLOOKUP('Données projet'!$B$14,Paramètres!$A$1:$I$89,3,0)*0.475*44/12</f>
        <v>1.6365489430261095</v>
      </c>
      <c r="ED53" s="22">
        <f t="shared" si="18"/>
        <v>23.889094149226185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3.3603333333333336</v>
      </c>
      <c r="EJ53" s="12">
        <f>IF('Données projet'!$A$192&gt;35,EJ52+EI53-ER52,IF(A53&lt;'Données projet'!$A$192,$EG$205^A53,IF(A53='Données projet'!$A$192,'Données projet'!$B$192,EJ52+EI53-ER52)))</f>
        <v>168.01666666666659</v>
      </c>
      <c r="EK53" s="17">
        <f>EJ53*VLOOKUP('Données projet'!$B$15,Paramètres!$A$1:$I$89,3,0)*VLOOKUP('Données projet'!$B$15,Paramètres!$A$1:$I$89,5,0)</f>
        <v>170.36889999999994</v>
      </c>
      <c r="EL53" s="13">
        <f t="shared" si="45"/>
        <v>43.172634487453415</v>
      </c>
      <c r="EM53" s="20">
        <f t="shared" si="19"/>
        <v>371.91817256564792</v>
      </c>
      <c r="EN53" s="59">
        <f t="shared" si="20"/>
        <v>665.25150589898124</v>
      </c>
      <c r="EO53" s="59">
        <f ca="1">AVERAGE(OFFSET($EN$3,0,0,'Données projet'!$E$15+1,1))-AVERAGE(OFFSET($H$3,0,0,'Données projet'!$E$15+1,1))</f>
        <v>533.26035274112917</v>
      </c>
      <c r="EP53" s="59">
        <f t="shared" si="46"/>
        <v>262.58149402282521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110.89743589743588</v>
      </c>
      <c r="FC53" s="12">
        <f>VLOOKUP(A53,'Données projet'!$A$217:$I$237,9,0)</f>
        <v>3.8461538461538454</v>
      </c>
      <c r="FD53" s="12">
        <f t="array" ref="FD53">INDEX(FC:FC,MIN(IF(ISNUMBER(FC53:FC249),ROW(FC53:FC249),"")))</f>
        <v>3.8461538461538454</v>
      </c>
      <c r="FE53" s="12">
        <f>IF('Données projet'!$A$218&gt;35,FE52+FD53-FM52,IF(A53&lt;'Données projet'!$A$218,$FB$205^A53,IF(A53='Données projet'!$A$218,'Données projet'!$B$218,FE52+FD53-FM52)))</f>
        <v>110.89743589743586</v>
      </c>
      <c r="FF53" s="17">
        <f>FE53*VLOOKUP('Données projet'!$B$16,Paramètres!$A$1:$I$89,3,0)*VLOOKUP('Données projet'!$B$16,Paramètres!$A$1:$I$89,5,0)</f>
        <v>115.90999999999997</v>
      </c>
      <c r="FG53" s="13">
        <f t="shared" si="47"/>
        <v>30.719157262842881</v>
      </c>
      <c r="FH53" s="20">
        <f t="shared" si="22"/>
        <v>255.37911556611792</v>
      </c>
      <c r="FI53" s="59">
        <f t="shared" si="23"/>
        <v>548.71244889945126</v>
      </c>
      <c r="FJ53" s="59">
        <f ca="1">AVERAGE(OFFSET($FI$3,0,0,'Données projet'!$E$16+1,1))-AVERAGE(OFFSET($H$3,0,0,'Données projet'!$E$16+1,1))</f>
        <v>239.26156489359892</v>
      </c>
      <c r="FK53" s="59">
        <f t="shared" si="48"/>
        <v>213.97034450798111</v>
      </c>
      <c r="FL53" s="15">
        <f>IF(ISNA(VLOOKUP(A53,'Données projet'!$A$217:$I$237,3,0)),0,VLOOKUP(A53,'Données projet'!$A$217:$I$237,3,0))</f>
        <v>7</v>
      </c>
      <c r="FM53" s="15">
        <f>IF(ISNA(VLOOKUP(A53,'Données projet'!$A$217:$I$237,4,0)),0,VLOOKUP(A53,'Données projet'!$A$217:$I$237,4,0))</f>
        <v>11.538461538461538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0.215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15.306868602639014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15.306868602639014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10.001428571428571</v>
      </c>
      <c r="N54" s="13">
        <f>IF('Données projet'!$A$36&gt;35,N53+M54-V53,IF(A54&lt;'Données projet'!$A$36,$K$205^A54,IF(A54='Données projet'!$A$36,'Données projet'!$B$36,N53+M54-V53)))</f>
        <v>168.0685714285714</v>
      </c>
      <c r="O54" s="13">
        <f>N54*VLOOKUP('Données projet'!$B$9,Paramètres!$A$1:$I$89,3,0)*VLOOKUP('Données projet'!$B$9,Paramètres!$A$1:$I$89,5,0)</f>
        <v>159.93405257142857</v>
      </c>
      <c r="P54" s="13">
        <f t="shared" si="33"/>
        <v>40.827640423227386</v>
      </c>
      <c r="Q54" s="20">
        <f t="shared" si="53"/>
        <v>349.65994863235909</v>
      </c>
      <c r="R54" s="59">
        <f t="shared" si="0"/>
        <v>642.9932819656924</v>
      </c>
      <c r="S54" s="59">
        <f ca="1">AVERAGE(OFFSET($R$3,0,0,'Données projet'!$E$9+1,1))-AVERAGE(OFFSET($H$3,0,0,'Données projet'!$E$9+1,1))</f>
        <v>449.28947235329758</v>
      </c>
      <c r="T54" s="59">
        <f t="shared" si="34"/>
        <v>289.36994109443964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30.714675411819702</v>
      </c>
      <c r="AB54" s="21">
        <f>EXP(-LN(2)/2)*AB53+(1-EXP(-LN(2)/2))/(LN(2)/2)*V54*Y54*VLOOKUP('Données projet'!$B$9,Paramètres!$A$1:$I$89,3,0)*0.475*44/12</f>
        <v>1.0777903667962916</v>
      </c>
      <c r="AC54" s="22">
        <f t="shared" si="3"/>
        <v>31.792465778615995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14.113999999999999</v>
      </c>
      <c r="AI54" s="13">
        <f>IF('Données projet'!$A$62&gt;35,AI53+AH54-AQ53,IF(A54&lt;'Données projet'!$A$62,$AF$205^A54,IF(A54='Données projet'!$A$62,'Données projet'!$B$62,AI53+AH54-AQ53)))</f>
        <v>313.91400000000004</v>
      </c>
      <c r="AJ54" s="13">
        <f>AI54*VLOOKUP('Données projet'!$B$10,Paramètres!$A$1:$I$89,3,0)*VLOOKUP('Données projet'!$B$10,Paramètres!$A$1:$I$89,5,0)</f>
        <v>187.72057200000006</v>
      </c>
      <c r="AK54" s="13">
        <f t="shared" si="35"/>
        <v>47.035650233472225</v>
      </c>
      <c r="AL54" s="20">
        <f t="shared" si="4"/>
        <v>408.86708705663085</v>
      </c>
      <c r="AM54" s="59">
        <f t="shared" si="5"/>
        <v>702.20042038996417</v>
      </c>
      <c r="AN54" s="59">
        <f ca="1">AVERAGE(OFFSET($AM$3,0,0,'Données projet'!$E$10+1,1))-AVERAGE(OFFSET($H$3,0,0,'Données projet'!$E$10+1,1))</f>
        <v>349.71285006949597</v>
      </c>
      <c r="AO54" s="59">
        <f t="shared" si="36"/>
        <v>258.51550516456842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35.323767543368191</v>
      </c>
      <c r="AV54" s="21">
        <f>EXP(-LN(2)/25)*AV53+(1-EXP(-LN(2)/25))/(LN(2)/25)*Calculateur!AQ54*Calculateur!AS54*VLOOKUP('Données projet'!$B$10,Paramètres!$A$1:$I$89,3,0)*0.475*44/12</f>
        <v>18.439012825473551</v>
      </c>
      <c r="AW54" s="21">
        <f>EXP(-LN(2)/2)*AW53+(1-EXP(-LN(2)/2))/(LN(2)/2)*AQ54*AT54*VLOOKUP('Données projet'!$B$10,Paramètres!$A$1:$I$89,3,0)*0.475*44/12</f>
        <v>7.0564924087734591</v>
      </c>
      <c r="AX54" s="21">
        <f t="shared" si="6"/>
        <v>60.819272777615204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14.689999999999998</v>
      </c>
      <c r="BD54" s="12">
        <f>IF('Données projet'!$A$88&gt;35,BD53+BC54-BL53,IF(A54&lt;'Données projet'!$A$88,$BA$205^A54,IF(A54='Données projet'!$A$88,'Données projet'!$B$88,BD53+BC54-BL53)))</f>
        <v>393.32000000000005</v>
      </c>
      <c r="BE54" s="13">
        <f>BD54*VLOOKUP('Données projet'!$B$11,Paramètres!$A$1:$I$89,3,0)*VLOOKUP('Données projet'!$B$11,Paramètres!$A$1:$I$89,5,0)</f>
        <v>235.20536000000004</v>
      </c>
      <c r="BF54" s="13">
        <f t="shared" si="37"/>
        <v>57.406731887132807</v>
      </c>
      <c r="BG54" s="20">
        <f t="shared" si="7"/>
        <v>509.63272670342303</v>
      </c>
      <c r="BH54" s="59">
        <f t="shared" si="8"/>
        <v>802.96606003675629</v>
      </c>
      <c r="BI54" s="59">
        <f ca="1">AVERAGE(OFFSET($BH$3,0,0,'Données projet'!$E$11+1,1))-AVERAGE(OFFSET($H$3,0,0,'Données projet'!$E$11+1,1))</f>
        <v>302.00825291248458</v>
      </c>
      <c r="BJ54" s="59">
        <f t="shared" si="38"/>
        <v>307.35115839449355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37.371952790260409</v>
      </c>
      <c r="BQ54" s="21">
        <f>EXP(-LN(2)/25)*BQ53+(1-EXP(-LN(2)/25))/(LN(2)/25)*Calculateur!BL54*Calculateur!BN54*VLOOKUP('Données projet'!$B$11,Paramètres!$A$1:$I$89,3,0)*0.475*44/12</f>
        <v>16.681700133027061</v>
      </c>
      <c r="BR54" s="21">
        <f>EXP(-LN(2)/2)*BR53+(1-EXP(-LN(2)/2))/(LN(2)/2)*BL54*BO54*VLOOKUP('Données projet'!$B$11,Paramètres!$A$1:$I$89,3,0)*0.475*44/12</f>
        <v>0.99835530191282906</v>
      </c>
      <c r="BS54" s="22">
        <f t="shared" si="9"/>
        <v>55.052008225200304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>
        <f>VLOOKUP(A54,'Données projet'!$A$113:$I$133,2,0)</f>
        <v>396.35</v>
      </c>
      <c r="BW54" s="12">
        <f>VLOOKUP(A54,'Données projet'!$A$113:$I$133,9,0)</f>
        <v>7.7715686274509812</v>
      </c>
      <c r="BX54" s="12">
        <f t="array" ref="BX54">INDEX(BW:BW,MIN(IF(ISNUMBER(BW54:BW250),ROW(BW54:BW250),"")))</f>
        <v>7.7715686274509812</v>
      </c>
      <c r="BY54" s="12">
        <f>IF('Données projet'!$A$114&gt;35,BY53+BX54-CG53,IF(A54&lt;'Données projet'!$A$114,$BV$205^A54,IF(A54='Données projet'!$A$114,'Données projet'!$B$114,BY53+BX54-CG53)))</f>
        <v>396.34999999999974</v>
      </c>
      <c r="BZ54" s="13">
        <f>BY54*VLOOKUP('Données projet'!$B$12,Paramètres!$A$1:$I$89,3,0)*VLOOKUP('Données projet'!$B$12,Paramètres!$A$1:$I$89,5,0)</f>
        <v>185.49179999999987</v>
      </c>
      <c r="CA54" s="13">
        <f t="shared" si="39"/>
        <v>46.541865157318107</v>
      </c>
      <c r="CB54" s="20">
        <f t="shared" si="10"/>
        <v>404.12530014899545</v>
      </c>
      <c r="CC54" s="59">
        <f t="shared" si="11"/>
        <v>697.45863348232876</v>
      </c>
      <c r="CD54" s="59">
        <f ca="1">AVERAGE(OFFSET($CC$3,0,0,'Données projet'!$E$12+1,1))-AVERAGE(OFFSET($H$3,0,0,'Données projet'!$E$12+1,1))</f>
        <v>337.10499990421835</v>
      </c>
      <c r="CE54" s="59">
        <f t="shared" si="40"/>
        <v>277.4254079562175</v>
      </c>
      <c r="CF54" s="15">
        <f>IF(ISNA(VLOOKUP(A54,'Données projet'!$A$113:$I$133,3,0)),0,VLOOKUP(A54,'Données projet'!$A$113:$I$133,3,0))</f>
        <v>1</v>
      </c>
      <c r="CG54" s="15">
        <f>IF(ISNA(VLOOKUP(A54,'Données projet'!$A$113:$I$133,4,0)),0,VLOOKUP(A54,'Données projet'!$A$113:$I$133,4,0))</f>
        <v>173.97000000000003</v>
      </c>
      <c r="CH54" s="16">
        <f>IF(ISNA(VLOOKUP(A54,'Données projet'!$A$113:$I$133,5,0)),0%,VLOOKUP(A54,'Données projet'!$A$113:$I$133,5,0)*VLOOKUP('Données projet'!$B$12,Paramètres!$A$1:$I$89,7,0))</f>
        <v>0.13750000000000001</v>
      </c>
      <c r="CI54" s="16">
        <f>IF(ISNA(VLOOKUP(A54,'Données projet'!$A$113:$I$133,6,0)),0%,VLOOKUP(A54,'Données projet'!$A$113:$I$133,6,0)*VLOOKUP('Données projet'!$B$12,Paramètres!$A$1:$I$89,7,0))</f>
        <v>0.20350000000000001</v>
      </c>
      <c r="CJ54" s="16">
        <f>IF(ISNA(VLOOKUP(A54,'Données projet'!$A$113:$I$133,7,0)),0%,VLOOKUP(A54,'Données projet'!$A$113:$I$133,7,0))</f>
        <v>0.38</v>
      </c>
      <c r="CK54" s="21">
        <f>EXP(-LN(2)/35)*CK53+(1-EXP(-LN(2)/35))/(LN(2)/35)*CG54*CH54*VLOOKUP('Données projet'!$B$12,Paramètres!$A$1:$I$89,3,0)*0.475*44/12</f>
        <v>14.850848618429765</v>
      </c>
      <c r="CL54" s="21">
        <f>EXP(-LN(2)/25)*CL53+(1-EXP(-LN(2)/25))/(LN(2)/25)*Calculateur!CG54*Calculateur!CI54*VLOOKUP('Données projet'!$B$12,Paramètres!$A$1:$I$89,3,0)*0.475*44/12</f>
        <v>21.892715249827038</v>
      </c>
      <c r="CM54" s="21">
        <f>EXP(-LN(2)/2)*CM53+(1-EXP(-LN(2)/2))/(LN(2)/2)*CG54*CJ54*VLOOKUP('Données projet'!$B$12,Paramètres!$A$1:$I$89,3,0)*0.475*44/12</f>
        <v>35.029936686072809</v>
      </c>
      <c r="CN54" s="22">
        <f t="shared" si="12"/>
        <v>71.773500554329615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3.3603333333333336</v>
      </c>
      <c r="CT54" s="12">
        <f>IF('Données projet'!$A$140&gt;35,CT53+CS54-DB53,IF(A54&lt;'Données projet'!$A$140,$CQ$205^A54,IF(A54='Données projet'!$A$140,'Données projet'!$B$140,CT53+CS54-DB53)))</f>
        <v>171.37699999999992</v>
      </c>
      <c r="CU54" s="17">
        <f>CT54*VLOOKUP('Données projet'!$B$13,Paramètres!$A$1:$I$89,3,0)*VLOOKUP('Données projet'!$B$13,Paramètres!$A$1:$I$89,5,0)</f>
        <v>171.10279679999994</v>
      </c>
      <c r="CV54" s="13">
        <f t="shared" si="41"/>
        <v>43.336920357659722</v>
      </c>
      <c r="CW54" s="20">
        <f t="shared" si="13"/>
        <v>373.48250738292387</v>
      </c>
      <c r="CX54" s="59">
        <f t="shared" si="14"/>
        <v>666.81584071625718</v>
      </c>
      <c r="CY54" s="59">
        <f ca="1">AVERAGE(OFFSET($CX$3,0,0,'Données projet'!$E$13+1,1))-AVERAGE(OFFSET($H$3,0,0,'Données projet'!$E$13+1,1))</f>
        <v>525.74725170626471</v>
      </c>
      <c r="CZ54" s="59">
        <f t="shared" si="42"/>
        <v>259.19103598192197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>
        <f>VLOOKUP(A54,'Données projet'!$A$165:$I$185,2,0)</f>
        <v>192.85</v>
      </c>
      <c r="DM54" s="12">
        <f>VLOOKUP(A54,'Données projet'!$A$165:$I$185,9,0)</f>
        <v>9.6799999999999979</v>
      </c>
      <c r="DN54" s="12">
        <f t="array" ref="DN54">INDEX(DM:DM,MIN(IF(ISNUMBER(DM54:DM250),ROW(DM54:DM250),"")))</f>
        <v>9.6799999999999979</v>
      </c>
      <c r="DO54" s="12">
        <f>IF('Données projet'!$A$166&gt;35,DO53+DN54-DW53,IF(A54&lt;'Données projet'!$A$166,$DL$205^A54,IF(A54='Données projet'!$A$166,'Données projet'!$B$166,DO53+DN54-DW53)))</f>
        <v>192.85000000000025</v>
      </c>
      <c r="DP54" s="17">
        <f>DO54*VLOOKUP('Données projet'!$B$14,Paramètres!$A$1:$I$89,3,0)*VLOOKUP('Données projet'!$B$14,Paramètres!$A$1:$I$89,5,0)</f>
        <v>174.49068000000022</v>
      </c>
      <c r="DQ54" s="13">
        <f t="shared" si="43"/>
        <v>44.094255253499121</v>
      </c>
      <c r="DR54" s="20">
        <f t="shared" si="16"/>
        <v>380.70209556651133</v>
      </c>
      <c r="DS54" s="59">
        <f t="shared" si="17"/>
        <v>674.03542889984465</v>
      </c>
      <c r="DT54" s="59">
        <f ca="1">AVERAGE(OFFSET($DS$3,0,0,'Données projet'!$E$14+1,1))-AVERAGE(OFFSET($H$3,0,0,'Données projet'!$E$14+1,1))</f>
        <v>490.06222615476065</v>
      </c>
      <c r="DU54" s="59">
        <f t="shared" si="44"/>
        <v>310.43914804089906</v>
      </c>
      <c r="DV54" s="15">
        <f>IF(ISNA(VLOOKUP(A54,'Données projet'!$A$165:$I$185,3,0)),0,VLOOKUP(A54,'Données projet'!$A$165:$I$185,3,0))</f>
        <v>2</v>
      </c>
      <c r="DW54" s="15">
        <f>IF(ISNA(VLOOKUP(A54,'Données projet'!$A$165:$I$185,4,0)),0,VLOOKUP(A54,'Données projet'!$A$165:$I$185,4,0))</f>
        <v>48.769999999999982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0.34400000000000003</v>
      </c>
      <c r="DZ54" s="16">
        <f>IF(ISNA(VLOOKUP(A54,'Données projet'!$A$165:$I$185,7,0)),0%,VLOOKUP(A54,'Données projet'!$A$165:$I$185,7,0))</f>
        <v>0.2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38.358708013238626</v>
      </c>
      <c r="EC54" s="21">
        <f>EXP(-LN(2)/2)*EC53+(1-EXP(-LN(2)/2))/(LN(2)/2)*DW54*DZ54*VLOOKUP('Données projet'!$B$14,Paramètres!$A$1:$I$89,3,0)*0.475*44/12</f>
        <v>9.4842354032325886</v>
      </c>
      <c r="ED54" s="22">
        <f t="shared" si="18"/>
        <v>47.842943416471215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3.3603333333333336</v>
      </c>
      <c r="EJ54" s="12">
        <f>IF('Données projet'!$A$192&gt;35,EJ53+EI54-ER53,IF(A54&lt;'Données projet'!$A$192,$EG$205^A54,IF(A54='Données projet'!$A$192,'Données projet'!$B$192,EJ53+EI54-ER53)))</f>
        <v>171.37699999999992</v>
      </c>
      <c r="EK54" s="17">
        <f>EJ54*VLOOKUP('Données projet'!$B$15,Paramètres!$A$1:$I$89,3,0)*VLOOKUP('Données projet'!$B$15,Paramètres!$A$1:$I$89,5,0)</f>
        <v>173.77627799999993</v>
      </c>
      <c r="EL54" s="13">
        <f t="shared" si="45"/>
        <v>43.934699754571064</v>
      </c>
      <c r="EM54" s="20">
        <f t="shared" si="19"/>
        <v>379.17995292254449</v>
      </c>
      <c r="EN54" s="59">
        <f t="shared" si="20"/>
        <v>672.5132862558778</v>
      </c>
      <c r="EO54" s="59">
        <f ca="1">AVERAGE(OFFSET($EN$3,0,0,'Données projet'!$E$15+1,1))-AVERAGE(OFFSET($H$3,0,0,'Données projet'!$E$15+1,1))</f>
        <v>533.26035274112917</v>
      </c>
      <c r="EP54" s="59">
        <f t="shared" si="46"/>
        <v>262.58149402282521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3.3333333333333344</v>
      </c>
      <c r="FE54" s="12">
        <f>IF('Données projet'!$A$218&gt;35,FE53+FD54-FM53,IF(A54&lt;'Données projet'!$A$218,$FB$205^A54,IF(A54='Données projet'!$A$218,'Données projet'!$B$218,FE53+FD54-FM53)))</f>
        <v>102.69230769230765</v>
      </c>
      <c r="FF54" s="17">
        <f>FE54*VLOOKUP('Données projet'!$B$16,Paramètres!$A$1:$I$89,3,0)*VLOOKUP('Données projet'!$B$16,Paramètres!$A$1:$I$89,5,0)</f>
        <v>107.33399999999996</v>
      </c>
      <c r="FG54" s="13">
        <f t="shared" si="47"/>
        <v>28.701960070059993</v>
      </c>
      <c r="FH54" s="20">
        <f t="shared" si="22"/>
        <v>236.9292971220211</v>
      </c>
      <c r="FI54" s="59">
        <f t="shared" si="23"/>
        <v>530.26263045535438</v>
      </c>
      <c r="FJ54" s="59">
        <f ca="1">AVERAGE(OFFSET($FI$3,0,0,'Données projet'!$E$16+1,1))-AVERAGE(OFFSET($H$3,0,0,'Données projet'!$E$16+1,1))</f>
        <v>239.26156489359892</v>
      </c>
      <c r="FK54" s="59">
        <f t="shared" si="48"/>
        <v>213.97034450798111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14.888301475746614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14.888301475746614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178.07</v>
      </c>
      <c r="L55" s="12">
        <f>VLOOKUP(A55,'Données projet'!$A$35:$I$55,9,0)</f>
        <v>10.001428571428571</v>
      </c>
      <c r="M55" s="12">
        <f t="array" ref="M55">INDEX(L:L,MIN(IF(ISNUMBER(L55:L251),ROW(L55:L251),"")))</f>
        <v>10.001428571428571</v>
      </c>
      <c r="N55" s="13">
        <f>IF('Données projet'!$A$36&gt;35,N54+M55-V54,IF(A55&lt;'Données projet'!$A$36,$K$205^A55,IF(A55='Données projet'!$A$36,'Données projet'!$B$36,N54+M55-V54)))</f>
        <v>178.06999999999996</v>
      </c>
      <c r="O55" s="13">
        <f>N55*VLOOKUP('Données projet'!$B$9,Paramètres!$A$1:$I$89,3,0)*VLOOKUP('Données projet'!$B$9,Paramètres!$A$1:$I$89,5,0)</f>
        <v>169.45141199999998</v>
      </c>
      <c r="P55" s="13">
        <f t="shared" si="33"/>
        <v>42.967135019238462</v>
      </c>
      <c r="Q55" s="20">
        <f t="shared" si="53"/>
        <v>369.96230272517363</v>
      </c>
      <c r="R55" s="59">
        <f t="shared" si="0"/>
        <v>663.29563605850694</v>
      </c>
      <c r="S55" s="59">
        <f ca="1">AVERAGE(OFFSET($R$3,0,0,'Données projet'!$E$9+1,1))-AVERAGE(OFFSET($H$3,0,0,'Données projet'!$E$9+1,1))</f>
        <v>449.28947235329758</v>
      </c>
      <c r="T55" s="59">
        <f t="shared" si="34"/>
        <v>289.36994109443964</v>
      </c>
      <c r="U55" s="15">
        <f>IF(ISNA(VLOOKUP(A55,'Données projet'!$A$35:$I$55,3,0)),0,VLOOKUP(A55,'Données projet'!$A$35:$I$55,3,0))</f>
        <v>3</v>
      </c>
      <c r="V55" s="15">
        <f>IF(ISNA(VLOOKUP(A55,'Données projet'!$A$35:$I$55,4,0)),0,VLOOKUP(A55,'Données projet'!$A$35:$I$55,4,0))</f>
        <v>44.400000000000006</v>
      </c>
      <c r="W55" s="16">
        <f>IF(ISNA(VLOOKUP(A55,'Données projet'!$A$35:$I$55,5,0)),0%,VLOOKUP(A55,'Données projet'!$A$35:$I$55,5,0)*VLOOKUP('Données projet'!$B$9,Paramètres!$A$1:$I$89,7,0))</f>
        <v>0.15049999999999999</v>
      </c>
      <c r="X55" s="16">
        <f>IF(ISNA(VLOOKUP(A55,'Données projet'!$A$35:$I$55,6,0)),0%,VLOOKUP(A55,'Données projet'!$A$35:$I$55,6,0)*VLOOKUP('Données projet'!$B$9,Paramètres!$A$1:$I$89,7,0))</f>
        <v>8.6000000000000007E-2</v>
      </c>
      <c r="Y55" s="16">
        <f>IF(ISNA(VLOOKUP(A55,'Données projet'!$A$35:$I$55,7,0)),0%,VLOOKUP(A55,'Données projet'!$A$35:$I$55,7,0))</f>
        <v>0.1</v>
      </c>
      <c r="Z55" s="21">
        <f>EXP(-LN(2)/35)*Z54+(1-EXP(-LN(2)/35))/(LN(2)/35)*V55*W55*VLOOKUP('Données projet'!$B$9,Paramètres!$A$1:$I$89,3,0)*0.475*44/12</f>
        <v>7.0294446202815104</v>
      </c>
      <c r="AA55" s="21">
        <f>EXP(-LN(2)/25)*AA54+(1-EXP(-LN(2)/25))/(LN(2)/25)*Calculateur!V55*Calculateur!X55*VLOOKUP('Données projet'!$B$9,Paramètres!$A$1:$I$89,3,0)*0.475*44/12</f>
        <v>33.875790722259239</v>
      </c>
      <c r="AB55" s="21">
        <f>EXP(-LN(2)/2)*AB54+(1-EXP(-LN(2)/2))/(LN(2)/2)*V55*Y55*VLOOKUP('Données projet'!$B$9,Paramètres!$A$1:$I$89,3,0)*0.475*44/12</f>
        <v>4.7486122180660786</v>
      </c>
      <c r="AC55" s="22">
        <f t="shared" si="3"/>
        <v>45.653847560606827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14.113999999999999</v>
      </c>
      <c r="AI55" s="13">
        <f>IF('Données projet'!$A$62&gt;35,AI54+AH55-AQ54,IF(A55&lt;'Données projet'!$A$62,$AF$205^A55,IF(A55='Données projet'!$A$62,'Données projet'!$B$62,AI54+AH55-AQ54)))</f>
        <v>328.02800000000002</v>
      </c>
      <c r="AJ55" s="13">
        <f>AI55*VLOOKUP('Données projet'!$B$10,Paramètres!$A$1:$I$89,3,0)*VLOOKUP('Données projet'!$B$10,Paramètres!$A$1:$I$89,5,0)</f>
        <v>196.16074400000002</v>
      </c>
      <c r="AK55" s="13">
        <f t="shared" si="35"/>
        <v>48.899465996260361</v>
      </c>
      <c r="AL55" s="20">
        <f t="shared" si="4"/>
        <v>426.81319907682013</v>
      </c>
      <c r="AM55" s="59">
        <f t="shared" si="5"/>
        <v>720.14653241015344</v>
      </c>
      <c r="AN55" s="59">
        <f ca="1">AVERAGE(OFFSET($AM$3,0,0,'Données projet'!$E$10+1,1))-AVERAGE(OFFSET($H$3,0,0,'Données projet'!$E$10+1,1))</f>
        <v>349.71285006949597</v>
      </c>
      <c r="AO55" s="59">
        <f t="shared" si="36"/>
        <v>258.51550516456842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34.631090007213515</v>
      </c>
      <c r="AV55" s="21">
        <f>EXP(-LN(2)/25)*AV54+(1-EXP(-LN(2)/25))/(LN(2)/25)*Calculateur!AQ55*Calculateur!AS55*VLOOKUP('Données projet'!$B$10,Paramètres!$A$1:$I$89,3,0)*0.475*44/12</f>
        <v>17.934797050095433</v>
      </c>
      <c r="AW55" s="21">
        <f>EXP(-LN(2)/2)*AW54+(1-EXP(-LN(2)/2))/(LN(2)/2)*AQ55*AT55*VLOOKUP('Données projet'!$B$10,Paramètres!$A$1:$I$89,3,0)*0.475*44/12</f>
        <v>4.9896936336351088</v>
      </c>
      <c r="AX55" s="21">
        <f t="shared" si="6"/>
        <v>57.555580690944055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408.01</v>
      </c>
      <c r="BB55" s="12">
        <f>VLOOKUP(A55,'Données projet'!$A$87:$I$107,9,0)</f>
        <v>14.689999999999998</v>
      </c>
      <c r="BC55" s="12">
        <f t="array" ref="BC55">INDEX(BB:BB,MIN(IF(ISNUMBER(BB55:BB251),ROW(BB55:BB251),"")))</f>
        <v>14.689999999999998</v>
      </c>
      <c r="BD55" s="12">
        <f>IF('Données projet'!$A$88&gt;35,BD54+BC55-BL54,IF(A55&lt;'Données projet'!$A$88,$BA$205^A55,IF(A55='Données projet'!$A$88,'Données projet'!$B$88,BD54+BC55-BL54)))</f>
        <v>408.01000000000005</v>
      </c>
      <c r="BE55" s="13">
        <f>BD55*VLOOKUP('Données projet'!$B$11,Paramètres!$A$1:$I$89,3,0)*VLOOKUP('Données projet'!$B$11,Paramètres!$A$1:$I$89,5,0)</f>
        <v>243.98998000000003</v>
      </c>
      <c r="BF55" s="13">
        <f t="shared" si="37"/>
        <v>59.297168586253541</v>
      </c>
      <c r="BG55" s="20">
        <f t="shared" si="7"/>
        <v>528.22511712105825</v>
      </c>
      <c r="BH55" s="59">
        <f t="shared" si="8"/>
        <v>821.5584504543915</v>
      </c>
      <c r="BI55" s="59">
        <f ca="1">AVERAGE(OFFSET($BH$3,0,0,'Données projet'!$E$11+1,1))-AVERAGE(OFFSET($H$3,0,0,'Données projet'!$E$11+1,1))</f>
        <v>302.00825291248458</v>
      </c>
      <c r="BJ55" s="59">
        <f t="shared" si="38"/>
        <v>307.35115839449355</v>
      </c>
      <c r="BK55" s="15">
        <f>IF(ISNA(VLOOKUP(A55,'Données projet'!$A$87:$I$107,3,0)),0,VLOOKUP(A55,'Données projet'!$A$87:$I$107,3,0))</f>
        <v>6</v>
      </c>
      <c r="BL55" s="15">
        <f>IF(ISNA(VLOOKUP(A55,'Données projet'!$A$87:$I$107,4,0)),0,VLOOKUP(A55,'Données projet'!$A$87:$I$107,4,0))</f>
        <v>75.70999999999998</v>
      </c>
      <c r="BM55" s="16">
        <f>IF(ISNA(VLOOKUP(A55,'Données projet'!$A$87:$I$107,5,0)),0%,VLOOKUP(A55,'Données projet'!$A$87:$I$107,5,0)*VLOOKUP('Données projet'!$B$11,Paramètres!$A$1:$I$89,7,0))</f>
        <v>0.27</v>
      </c>
      <c r="BN55" s="16">
        <f>IF(ISNA(VLOOKUP(A55,'Données projet'!$A$87:$I$107,6,0)),0%,VLOOKUP(A55,'Données projet'!$A$87:$I$107,6,0)*VLOOKUP('Données projet'!$B$11,Paramètres!$A$1:$I$89,7,0))</f>
        <v>9.0000000000000011E-2</v>
      </c>
      <c r="BO55" s="16">
        <f>IF(ISNA(VLOOKUP(A55,'Données projet'!$A$87:$I$107,7,0)),0%,VLOOKUP(A55,'Données projet'!$A$87:$I$107,7,0))</f>
        <v>0.2</v>
      </c>
      <c r="BP55" s="21">
        <f>EXP(-LN(2)/35)*BP54+(1-EXP(-LN(2)/35))/(LN(2)/35)*BL55*BM55*VLOOKUP('Données projet'!$B$11,Paramètres!$A$1:$I$89,3,0)*0.475*44/12</f>
        <v>52.855216702681361</v>
      </c>
      <c r="BQ55" s="21">
        <f>EXP(-LN(2)/25)*BQ54+(1-EXP(-LN(2)/25))/(LN(2)/25)*Calculateur!BL55*Calculateur!BN55*VLOOKUP('Données projet'!$B$11,Paramètres!$A$1:$I$89,3,0)*0.475*44/12</f>
        <v>21.609623541420671</v>
      </c>
      <c r="BR55" s="21">
        <f>EXP(-LN(2)/2)*BR54+(1-EXP(-LN(2)/2))/(LN(2)/2)*BL55*BO55*VLOOKUP('Données projet'!$B$11,Paramètres!$A$1:$I$89,3,0)*0.475*44/12</f>
        <v>10.958212150605259</v>
      </c>
      <c r="BS55" s="22">
        <f t="shared" si="9"/>
        <v>85.423052394707298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12.999000000000001</v>
      </c>
      <c r="BY55" s="12">
        <f>IF('Données projet'!$A$114&gt;35,BY54+BX55-CG54,IF(A55&lt;'Données projet'!$A$114,$BV$205^A55,IF(A55='Données projet'!$A$114,'Données projet'!$B$114,BY54+BX55-CG54)))</f>
        <v>235.37899999999973</v>
      </c>
      <c r="BZ55" s="13">
        <f>BY55*VLOOKUP('Données projet'!$B$12,Paramètres!$A$1:$I$89,3,0)*VLOOKUP('Données projet'!$B$12,Paramètres!$A$1:$I$89,5,0)</f>
        <v>110.15737199999988</v>
      </c>
      <c r="CA55" s="13">
        <f t="shared" si="39"/>
        <v>29.36805955758571</v>
      </c>
      <c r="CB55" s="20">
        <f t="shared" si="10"/>
        <v>243.00679329612822</v>
      </c>
      <c r="CC55" s="59">
        <f t="shared" si="11"/>
        <v>536.34012662946157</v>
      </c>
      <c r="CD55" s="59">
        <f ca="1">AVERAGE(OFFSET($CC$3,0,0,'Données projet'!$E$12+1,1))-AVERAGE(OFFSET($H$3,0,0,'Données projet'!$E$12+1,1))</f>
        <v>337.10499990421835</v>
      </c>
      <c r="CE55" s="59">
        <f t="shared" si="40"/>
        <v>277.4254079562175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14.5596325351456</v>
      </c>
      <c r="CL55" s="21">
        <f>EXP(-LN(2)/25)*CL54+(1-EXP(-LN(2)/25))/(LN(2)/25)*Calculateur!CG55*Calculateur!CI55*VLOOKUP('Données projet'!$B$12,Paramètres!$A$1:$I$89,3,0)*0.475*44/12</f>
        <v>21.294057800032657</v>
      </c>
      <c r="CM55" s="21">
        <f>EXP(-LN(2)/2)*CM54+(1-EXP(-LN(2)/2))/(LN(2)/2)*CG55*CJ55*VLOOKUP('Données projet'!$B$12,Paramètres!$A$1:$I$89,3,0)*0.475*44/12</f>
        <v>24.769905775257502</v>
      </c>
      <c r="CN55" s="22">
        <f t="shared" si="12"/>
        <v>60.623596110435756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3.3603333333333336</v>
      </c>
      <c r="CT55" s="12">
        <f>IF('Données projet'!$A$140&gt;35,CT54+CS55-DB54,IF(A55&lt;'Données projet'!$A$140,$CQ$205^A55,IF(A55='Données projet'!$A$140,'Données projet'!$B$140,CT54+CS55-DB54)))</f>
        <v>174.73733333333325</v>
      </c>
      <c r="CU55" s="17">
        <f>CT55*VLOOKUP('Données projet'!$B$13,Paramètres!$A$1:$I$89,3,0)*VLOOKUP('Données projet'!$B$13,Paramètres!$A$1:$I$89,5,0)</f>
        <v>174.45775359999993</v>
      </c>
      <c r="CV55" s="13">
        <f t="shared" si="41"/>
        <v>44.086903101051526</v>
      </c>
      <c r="CW55" s="20">
        <f t="shared" si="13"/>
        <v>380.63194375433119</v>
      </c>
      <c r="CX55" s="59">
        <f t="shared" si="14"/>
        <v>673.9652770876645</v>
      </c>
      <c r="CY55" s="59">
        <f ca="1">AVERAGE(OFFSET($CX$3,0,0,'Données projet'!$E$13+1,1))-AVERAGE(OFFSET($H$3,0,0,'Données projet'!$E$13+1,1))</f>
        <v>525.74725170626471</v>
      </c>
      <c r="CZ55" s="59">
        <f t="shared" si="42"/>
        <v>259.19103598192197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9.1524999999999999</v>
      </c>
      <c r="DO55" s="12">
        <f>IF('Données projet'!$A$166&gt;35,DO54+DN55-DW54,IF(A55&lt;'Données projet'!$A$166,$DL$205^A55,IF(A55='Données projet'!$A$166,'Données projet'!$B$166,DO54+DN55-DW54)))</f>
        <v>153.23250000000027</v>
      </c>
      <c r="DP55" s="17">
        <f>DO55*VLOOKUP('Données projet'!$B$14,Paramètres!$A$1:$I$89,3,0)*VLOOKUP('Données projet'!$B$14,Paramètres!$A$1:$I$89,5,0)</f>
        <v>138.64476600000023</v>
      </c>
      <c r="DQ55" s="13">
        <f t="shared" si="43"/>
        <v>35.986364870124042</v>
      </c>
      <c r="DR55" s="20">
        <f t="shared" si="16"/>
        <v>304.14921959879979</v>
      </c>
      <c r="DS55" s="59">
        <f t="shared" si="17"/>
        <v>597.4825529321331</v>
      </c>
      <c r="DT55" s="59">
        <f ca="1">AVERAGE(OFFSET($DS$3,0,0,'Données projet'!$E$14+1,1))-AVERAGE(OFFSET($H$3,0,0,'Données projet'!$E$14+1,1))</f>
        <v>490.06222615476065</v>
      </c>
      <c r="DU55" s="59">
        <f t="shared" si="44"/>
        <v>310.43914804089906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37.309787125419831</v>
      </c>
      <c r="EC55" s="21">
        <f>EXP(-LN(2)/2)*EC54+(1-EXP(-LN(2)/2))/(LN(2)/2)*DW55*DZ55*VLOOKUP('Données projet'!$B$14,Paramètres!$A$1:$I$89,3,0)*0.475*44/12</f>
        <v>6.7063671679952934</v>
      </c>
      <c r="ED55" s="22">
        <f t="shared" si="18"/>
        <v>44.016154293415127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3.3603333333333336</v>
      </c>
      <c r="EJ55" s="12">
        <f>IF('Données projet'!$A$192&gt;35,EJ54+EI55-ER54,IF(A55&lt;'Données projet'!$A$192,$EG$205^A55,IF(A55='Données projet'!$A$192,'Données projet'!$B$192,EJ54+EI55-ER54)))</f>
        <v>174.73733333333325</v>
      </c>
      <c r="EK55" s="17">
        <f>EJ55*VLOOKUP('Données projet'!$B$15,Paramètres!$A$1:$I$89,3,0)*VLOOKUP('Données projet'!$B$15,Paramètres!$A$1:$I$89,5,0)</f>
        <v>177.18365599999993</v>
      </c>
      <c r="EL55" s="13">
        <f t="shared" si="45"/>
        <v>44.695027585438865</v>
      </c>
      <c r="EM55" s="20">
        <f t="shared" si="19"/>
        <v>386.43870724463926</v>
      </c>
      <c r="EN55" s="59">
        <f t="shared" si="20"/>
        <v>679.77204057797258</v>
      </c>
      <c r="EO55" s="59">
        <f ca="1">AVERAGE(OFFSET($EN$3,0,0,'Données projet'!$E$15+1,1))-AVERAGE(OFFSET($H$3,0,0,'Données projet'!$E$15+1,1))</f>
        <v>533.26035274112917</v>
      </c>
      <c r="EP55" s="59">
        <f t="shared" si="46"/>
        <v>262.58149402282521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3.3333333333333344</v>
      </c>
      <c r="FE55" s="12">
        <f>IF('Données projet'!$A$218&gt;35,FE54+FD55-FM54,IF(A55&lt;'Données projet'!$A$218,$FB$205^A55,IF(A55='Données projet'!$A$218,'Données projet'!$B$218,FE54+FD55-FM54)))</f>
        <v>106.02564102564098</v>
      </c>
      <c r="FF55" s="17">
        <f>FE55*VLOOKUP('Données projet'!$B$16,Paramètres!$A$1:$I$89,3,0)*VLOOKUP('Données projet'!$B$16,Paramètres!$A$1:$I$89,5,0)</f>
        <v>110.81799999999996</v>
      </c>
      <c r="FG55" s="13">
        <f t="shared" si="47"/>
        <v>29.523628571023192</v>
      </c>
      <c r="FH55" s="20">
        <f t="shared" si="22"/>
        <v>244.42833642786528</v>
      </c>
      <c r="FI55" s="59">
        <f t="shared" si="23"/>
        <v>537.76166976119862</v>
      </c>
      <c r="FJ55" s="59">
        <f ca="1">AVERAGE(OFFSET($FI$3,0,0,'Données projet'!$E$16+1,1))-AVERAGE(OFFSET($H$3,0,0,'Données projet'!$E$16+1,1))</f>
        <v>239.26156489359892</v>
      </c>
      <c r="FK55" s="59">
        <f t="shared" si="48"/>
        <v>213.97034450798111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14.481180088950575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14.481180088950575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9.8828571428571443</v>
      </c>
      <c r="N56" s="13">
        <f>IF('Données projet'!$A$36&gt;35,N55+M56-V55,IF(A56&lt;'Données projet'!$A$36,$K$205^A56,IF(A56='Données projet'!$A$36,'Données projet'!$B$36,N55+M56-V55)))</f>
        <v>143.55285714285711</v>
      </c>
      <c r="O56" s="13">
        <f>N56*VLOOKUP('Données projet'!$B$9,Paramètres!$A$1:$I$89,3,0)*VLOOKUP('Données projet'!$B$9,Paramètres!$A$1:$I$89,5,0)</f>
        <v>136.60489885714281</v>
      </c>
      <c r="P56" s="13">
        <f t="shared" si="33"/>
        <v>35.518127724762081</v>
      </c>
      <c r="Q56" s="20">
        <f t="shared" si="53"/>
        <v>299.78093796348435</v>
      </c>
      <c r="R56" s="59">
        <f t="shared" si="0"/>
        <v>593.11427129681761</v>
      </c>
      <c r="S56" s="59">
        <f ca="1">AVERAGE(OFFSET($R$3,0,0,'Données projet'!$E$9+1,1))-AVERAGE(OFFSET($H$3,0,0,'Données projet'!$E$9+1,1))</f>
        <v>449.28947235329758</v>
      </c>
      <c r="T56" s="59">
        <f t="shared" si="34"/>
        <v>289.36994109443964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6.8916014988156489</v>
      </c>
      <c r="AA56" s="21">
        <f>EXP(-LN(2)/25)*AA55+(1-EXP(-LN(2)/25))/(LN(2)/25)*Calculateur!V56*Calculateur!X56*VLOOKUP('Données projet'!$B$9,Paramètres!$A$1:$I$89,3,0)*0.475*44/12</f>
        <v>32.949455443508647</v>
      </c>
      <c r="AB56" s="21">
        <f>EXP(-LN(2)/2)*AB55+(1-EXP(-LN(2)/2))/(LN(2)/2)*V56*Y56*VLOOKUP('Données projet'!$B$9,Paramètres!$A$1:$I$89,3,0)*0.475*44/12</f>
        <v>3.3577759006198171</v>
      </c>
      <c r="AC56" s="22">
        <f t="shared" si="3"/>
        <v>43.198832842944114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14.113999999999999</v>
      </c>
      <c r="AI56" s="13">
        <f>IF('Données projet'!$A$62&gt;35,AI55+AH56-AQ55,IF(A56&lt;'Données projet'!$A$62,$AF$205^A56,IF(A56='Données projet'!$A$62,'Données projet'!$B$62,AI55+AH56-AQ55)))</f>
        <v>342.142</v>
      </c>
      <c r="AJ56" s="13">
        <f>AI56*VLOOKUP('Données projet'!$B$10,Paramètres!$A$1:$I$89,3,0)*VLOOKUP('Données projet'!$B$10,Paramètres!$A$1:$I$89,5,0)</f>
        <v>204.60091600000001</v>
      </c>
      <c r="AK56" s="13">
        <f t="shared" si="35"/>
        <v>50.753967472357871</v>
      </c>
      <c r="AL56" s="20">
        <f t="shared" si="4"/>
        <v>444.74308871435665</v>
      </c>
      <c r="AM56" s="59">
        <f t="shared" si="5"/>
        <v>738.0764220476899</v>
      </c>
      <c r="AN56" s="59">
        <f ca="1">AVERAGE(OFFSET($AM$3,0,0,'Données projet'!$E$10+1,1))-AVERAGE(OFFSET($H$3,0,0,'Données projet'!$E$10+1,1))</f>
        <v>349.71285006949597</v>
      </c>
      <c r="AO56" s="59">
        <f t="shared" si="36"/>
        <v>258.51550516456842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33.951995455051254</v>
      </c>
      <c r="AV56" s="21">
        <f>EXP(-LN(2)/25)*AV55+(1-EXP(-LN(2)/25))/(LN(2)/25)*Calculateur!AQ56*Calculateur!AS56*VLOOKUP('Données projet'!$B$10,Paramètres!$A$1:$I$89,3,0)*0.475*44/12</f>
        <v>17.444369081610589</v>
      </c>
      <c r="AW56" s="21">
        <f>EXP(-LN(2)/2)*AW55+(1-EXP(-LN(2)/2))/(LN(2)/2)*AQ56*AT56*VLOOKUP('Données projet'!$B$10,Paramètres!$A$1:$I$89,3,0)*0.475*44/12</f>
        <v>3.5282462043867304</v>
      </c>
      <c r="AX56" s="21">
        <f t="shared" si="6"/>
        <v>54.924610741048575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13.18</v>
      </c>
      <c r="BD56" s="12">
        <f>IF('Données projet'!$A$88&gt;35,BD55+BC56-BL55,IF(A56&lt;'Données projet'!$A$88,$BA$205^A56,IF(A56='Données projet'!$A$88,'Données projet'!$B$88,BD55+BC56-BL55)))</f>
        <v>345.48000000000008</v>
      </c>
      <c r="BE56" s="13">
        <f>BD56*VLOOKUP('Données projet'!$B$11,Paramètres!$A$1:$I$89,3,0)*VLOOKUP('Données projet'!$B$11,Paramètres!$A$1:$I$89,5,0)</f>
        <v>206.59704000000005</v>
      </c>
      <c r="BF56" s="13">
        <f t="shared" si="37"/>
        <v>51.191247731076885</v>
      </c>
      <c r="BG56" s="20">
        <f t="shared" si="7"/>
        <v>448.98126779829232</v>
      </c>
      <c r="BH56" s="59">
        <f t="shared" si="8"/>
        <v>742.31460113162564</v>
      </c>
      <c r="BI56" s="59">
        <f ca="1">AVERAGE(OFFSET($BH$3,0,0,'Données projet'!$E$11+1,1))-AVERAGE(OFFSET($H$3,0,0,'Données projet'!$E$11+1,1))</f>
        <v>302.00825291248458</v>
      </c>
      <c r="BJ56" s="59">
        <f t="shared" si="38"/>
        <v>307.35115839449355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51.818758141640679</v>
      </c>
      <c r="BQ56" s="21">
        <f>EXP(-LN(2)/25)*BQ55+(1-EXP(-LN(2)/25))/(LN(2)/25)*Calculateur!BL56*Calculateur!BN56*VLOOKUP('Données projet'!$B$11,Paramètres!$A$1:$I$89,3,0)*0.475*44/12</f>
        <v>21.01870724927981</v>
      </c>
      <c r="BR56" s="21">
        <f>EXP(-LN(2)/2)*BR55+(1-EXP(-LN(2)/2))/(LN(2)/2)*BL56*BO56*VLOOKUP('Données projet'!$B$11,Paramètres!$A$1:$I$89,3,0)*0.475*44/12</f>
        <v>7.7486261213737997</v>
      </c>
      <c r="BS56" s="22">
        <f t="shared" si="9"/>
        <v>80.586091512294288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12.999000000000001</v>
      </c>
      <c r="BY56" s="12">
        <f>IF('Données projet'!$A$114&gt;35,BY55+BX56-CG55,IF(A56&lt;'Données projet'!$A$114,$BV$205^A56,IF(A56='Données projet'!$A$114,'Données projet'!$B$114,BY55+BX56-CG55)))</f>
        <v>248.37799999999973</v>
      </c>
      <c r="BZ56" s="13">
        <f>BY56*VLOOKUP('Données projet'!$B$12,Paramètres!$A$1:$I$89,3,0)*VLOOKUP('Données projet'!$B$12,Paramètres!$A$1:$I$89,5,0)</f>
        <v>116.24090399999987</v>
      </c>
      <c r="CA56" s="13">
        <f t="shared" si="39"/>
        <v>30.796634482547404</v>
      </c>
      <c r="CB56" s="20">
        <f t="shared" si="10"/>
        <v>256.09037952376985</v>
      </c>
      <c r="CC56" s="59">
        <f t="shared" si="11"/>
        <v>549.42371285710317</v>
      </c>
      <c r="CD56" s="59">
        <f ca="1">AVERAGE(OFFSET($CC$3,0,0,'Données projet'!$E$12+1,1))-AVERAGE(OFFSET($H$3,0,0,'Données projet'!$E$12+1,1))</f>
        <v>337.10499990421835</v>
      </c>
      <c r="CE56" s="59">
        <f t="shared" si="40"/>
        <v>277.4254079562175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14.274127021630365</v>
      </c>
      <c r="CL56" s="21">
        <f>EXP(-LN(2)/25)*CL55+(1-EXP(-LN(2)/25))/(LN(2)/25)*Calculateur!CG56*Calculateur!CI56*VLOOKUP('Données projet'!$B$12,Paramètres!$A$1:$I$89,3,0)*0.475*44/12</f>
        <v>20.711770669684935</v>
      </c>
      <c r="CM56" s="21">
        <f>EXP(-LN(2)/2)*CM55+(1-EXP(-LN(2)/2))/(LN(2)/2)*CG56*CJ56*VLOOKUP('Données projet'!$B$12,Paramètres!$A$1:$I$89,3,0)*0.475*44/12</f>
        <v>17.514968343036408</v>
      </c>
      <c r="CN56" s="22">
        <f t="shared" si="12"/>
        <v>52.500866034351709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3.3603333333333336</v>
      </c>
      <c r="CT56" s="12">
        <f>IF('Données projet'!$A$140&gt;35,CT55+CS56-DB55,IF(A56&lt;'Données projet'!$A$140,$CQ$205^A56,IF(A56='Données projet'!$A$140,'Données projet'!$B$140,CT55+CS56-DB55)))</f>
        <v>178.09766666666658</v>
      </c>
      <c r="CU56" s="17">
        <f>CT56*VLOOKUP('Données projet'!$B$13,Paramètres!$A$1:$I$89,3,0)*VLOOKUP('Données projet'!$B$13,Paramètres!$A$1:$I$89,5,0)</f>
        <v>177.81271039999993</v>
      </c>
      <c r="CV56" s="13">
        <f t="shared" si="41"/>
        <v>44.835208805218343</v>
      </c>
      <c r="CW56" s="20">
        <f t="shared" si="13"/>
        <v>387.77845928242181</v>
      </c>
      <c r="CX56" s="59">
        <f t="shared" si="14"/>
        <v>681.11179261575512</v>
      </c>
      <c r="CY56" s="59">
        <f ca="1">AVERAGE(OFFSET($CX$3,0,0,'Données projet'!$E$13+1,1))-AVERAGE(OFFSET($H$3,0,0,'Données projet'!$E$13+1,1))</f>
        <v>525.74725170626471</v>
      </c>
      <c r="CZ56" s="59">
        <f t="shared" si="42"/>
        <v>259.19103598192197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9.1524999999999999</v>
      </c>
      <c r="DO56" s="12">
        <f>IF('Données projet'!$A$166&gt;35,DO55+DN56-DW55,IF(A56&lt;'Données projet'!$A$166,$DL$205^A56,IF(A56='Données projet'!$A$166,'Données projet'!$B$166,DO55+DN56-DW55)))</f>
        <v>162.38500000000028</v>
      </c>
      <c r="DP56" s="17">
        <f>DO56*VLOOKUP('Données projet'!$B$14,Paramètres!$A$1:$I$89,3,0)*VLOOKUP('Données projet'!$B$14,Paramètres!$A$1:$I$89,5,0)</f>
        <v>146.92594800000026</v>
      </c>
      <c r="DQ56" s="13">
        <f t="shared" si="43"/>
        <v>37.879156618717644</v>
      </c>
      <c r="DR56" s="20">
        <f t="shared" si="16"/>
        <v>321.868890544267</v>
      </c>
      <c r="DS56" s="59">
        <f t="shared" si="17"/>
        <v>615.20222387760032</v>
      </c>
      <c r="DT56" s="59">
        <f ca="1">AVERAGE(OFFSET($DS$3,0,0,'Données projet'!$E$14+1,1))-AVERAGE(OFFSET($H$3,0,0,'Données projet'!$E$14+1,1))</f>
        <v>490.06222615476065</v>
      </c>
      <c r="DU56" s="59">
        <f t="shared" si="44"/>
        <v>310.43914804089906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36.289549034438792</v>
      </c>
      <c r="EC56" s="21">
        <f>EXP(-LN(2)/2)*EC55+(1-EXP(-LN(2)/2))/(LN(2)/2)*DW56*DZ56*VLOOKUP('Données projet'!$B$14,Paramètres!$A$1:$I$89,3,0)*0.475*44/12</f>
        <v>4.7421177016162943</v>
      </c>
      <c r="ED56" s="22">
        <f t="shared" si="18"/>
        <v>41.031666736055087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3.3603333333333336</v>
      </c>
      <c r="EJ56" s="12">
        <f>IF('Données projet'!$A$192&gt;35,EJ55+EI56-ER55,IF(A56&lt;'Données projet'!$A$192,$EG$205^A56,IF(A56='Données projet'!$A$192,'Données projet'!$B$192,EJ55+EI56-ER55)))</f>
        <v>178.09766666666658</v>
      </c>
      <c r="EK56" s="17">
        <f>EJ56*VLOOKUP('Données projet'!$B$15,Paramètres!$A$1:$I$89,3,0)*VLOOKUP('Données projet'!$B$15,Paramètres!$A$1:$I$89,5,0)</f>
        <v>180.59103399999992</v>
      </c>
      <c r="EL56" s="13">
        <f t="shared" si="45"/>
        <v>45.453655244392749</v>
      </c>
      <c r="EM56" s="20">
        <f t="shared" si="19"/>
        <v>393.69450043398388</v>
      </c>
      <c r="EN56" s="59">
        <f t="shared" si="20"/>
        <v>687.02783376731713</v>
      </c>
      <c r="EO56" s="59">
        <f ca="1">AVERAGE(OFFSET($EN$3,0,0,'Données projet'!$E$15+1,1))-AVERAGE(OFFSET($H$3,0,0,'Données projet'!$E$15+1,1))</f>
        <v>533.26035274112917</v>
      </c>
      <c r="EP56" s="59">
        <f t="shared" si="46"/>
        <v>262.58149402282521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3.3333333333333344</v>
      </c>
      <c r="FE56" s="12">
        <f>IF('Données projet'!$A$218&gt;35,FE55+FD56-FM55,IF(A56&lt;'Données projet'!$A$218,$FB$205^A56,IF(A56='Données projet'!$A$218,'Données projet'!$B$218,FE55+FD56-FM55)))</f>
        <v>109.35897435897431</v>
      </c>
      <c r="FF56" s="17">
        <f>FE56*VLOOKUP('Données projet'!$B$16,Paramètres!$A$1:$I$89,3,0)*VLOOKUP('Données projet'!$B$16,Paramètres!$A$1:$I$89,5,0)</f>
        <v>114.30199999999996</v>
      </c>
      <c r="FG56" s="13">
        <f t="shared" si="47"/>
        <v>30.342295155235718</v>
      </c>
      <c r="FH56" s="20">
        <f t="shared" si="22"/>
        <v>251.9221473953688</v>
      </c>
      <c r="FI56" s="59">
        <f t="shared" si="23"/>
        <v>545.25548072870208</v>
      </c>
      <c r="FJ56" s="59">
        <f ca="1">AVERAGE(OFFSET($FI$3,0,0,'Données projet'!$E$16+1,1))-AVERAGE(OFFSET($H$3,0,0,'Données projet'!$E$16+1,1))</f>
        <v>239.26156489359892</v>
      </c>
      <c r="FK56" s="59">
        <f t="shared" si="48"/>
        <v>213.97034450798111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14.085191457886058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14.085191457886058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9.8828571428571443</v>
      </c>
      <c r="N57" s="13">
        <f>IF('Données projet'!$A$36&gt;35,N56+M57-V56,IF(A57&lt;'Données projet'!$A$36,$K$205^A57,IF(A57='Données projet'!$A$36,'Données projet'!$B$36,N56+M57-V56)))</f>
        <v>153.43571428571425</v>
      </c>
      <c r="O57" s="13">
        <f>N57*VLOOKUP('Données projet'!$B$9,Paramètres!$A$1:$I$89,3,0)*VLOOKUP('Données projet'!$B$9,Paramètres!$A$1:$I$89,5,0)</f>
        <v>146.0094257142857</v>
      </c>
      <c r="P57" s="13">
        <f t="shared" si="33"/>
        <v>37.670295045235548</v>
      </c>
      <c r="Q57" s="20">
        <f t="shared" si="53"/>
        <v>319.90884698949952</v>
      </c>
      <c r="R57" s="59">
        <f t="shared" si="0"/>
        <v>613.24218032283284</v>
      </c>
      <c r="S57" s="59">
        <f ca="1">AVERAGE(OFFSET($R$3,0,0,'Données projet'!$E$9+1,1))-AVERAGE(OFFSET($H$3,0,0,'Données projet'!$E$9+1,1))</f>
        <v>449.28947235329758</v>
      </c>
      <c r="T57" s="59">
        <f t="shared" si="34"/>
        <v>289.36994109443964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6.7564613968857312</v>
      </c>
      <c r="AA57" s="21">
        <f>EXP(-LN(2)/25)*AA56+(1-EXP(-LN(2)/25))/(LN(2)/25)*Calculateur!V57*Calculateur!X57*VLOOKUP('Données projet'!$B$9,Paramètres!$A$1:$I$89,3,0)*0.475*44/12</f>
        <v>32.048450851669351</v>
      </c>
      <c r="AB57" s="21">
        <f>EXP(-LN(2)/2)*AB56+(1-EXP(-LN(2)/2))/(LN(2)/2)*V57*Y57*VLOOKUP('Données projet'!$B$9,Paramètres!$A$1:$I$89,3,0)*0.475*44/12</f>
        <v>2.3743061090330397</v>
      </c>
      <c r="AC57" s="22">
        <f t="shared" si="3"/>
        <v>41.179218357588127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14.113999999999999</v>
      </c>
      <c r="AI57" s="13">
        <f>IF('Données projet'!$A$62&gt;35,AI56+AH57-AQ56,IF(A57&lt;'Données projet'!$A$62,$AF$205^A57,IF(A57='Données projet'!$A$62,'Données projet'!$B$62,AI56+AH57-AQ56)))</f>
        <v>356.25599999999997</v>
      </c>
      <c r="AJ57" s="13">
        <f>AI57*VLOOKUP('Données projet'!$B$10,Paramètres!$A$1:$I$89,3,0)*VLOOKUP('Données projet'!$B$10,Paramètres!$A$1:$I$89,5,0)</f>
        <v>213.041088</v>
      </c>
      <c r="AK57" s="13">
        <f t="shared" si="35"/>
        <v>52.599582837576946</v>
      </c>
      <c r="AL57" s="20">
        <f t="shared" si="4"/>
        <v>462.65750170877988</v>
      </c>
      <c r="AM57" s="59">
        <f t="shared" si="5"/>
        <v>755.99083504211319</v>
      </c>
      <c r="AN57" s="59">
        <f ca="1">AVERAGE(OFFSET($AM$3,0,0,'Données projet'!$E$10+1,1))-AVERAGE(OFFSET($H$3,0,0,'Données projet'!$E$10+1,1))</f>
        <v>349.71285006949597</v>
      </c>
      <c r="AO57" s="59">
        <f t="shared" si="36"/>
        <v>258.51550516456842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33.286217532850117</v>
      </c>
      <c r="AV57" s="21">
        <f>EXP(-LN(2)/25)*AV56+(1-EXP(-LN(2)/25))/(LN(2)/25)*Calculateur!AQ57*Calculateur!AS57*VLOOKUP('Données projet'!$B$10,Paramètres!$A$1:$I$89,3,0)*0.475*44/12</f>
        <v>16.967351891714447</v>
      </c>
      <c r="AW57" s="21">
        <f>EXP(-LN(2)/2)*AW56+(1-EXP(-LN(2)/2))/(LN(2)/2)*AQ57*AT57*VLOOKUP('Données projet'!$B$10,Paramètres!$A$1:$I$89,3,0)*0.475*44/12</f>
        <v>2.4948468168175548</v>
      </c>
      <c r="AX57" s="21">
        <f t="shared" si="6"/>
        <v>52.748416241382117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13.18</v>
      </c>
      <c r="BD57" s="12">
        <f>IF('Données projet'!$A$88&gt;35,BD56+BC57-BL56,IF(A57&lt;'Données projet'!$A$88,$BA$205^A57,IF(A57='Données projet'!$A$88,'Données projet'!$B$88,BD56+BC57-BL56)))</f>
        <v>358.66000000000008</v>
      </c>
      <c r="BE57" s="13">
        <f>BD57*VLOOKUP('Données projet'!$B$11,Paramètres!$A$1:$I$89,3,0)*VLOOKUP('Données projet'!$B$11,Paramètres!$A$1:$I$89,5,0)</f>
        <v>214.47868000000008</v>
      </c>
      <c r="BF57" s="13">
        <f t="shared" si="37"/>
        <v>52.913084692982125</v>
      </c>
      <c r="BG57" s="20">
        <f t="shared" si="7"/>
        <v>465.70732350694396</v>
      </c>
      <c r="BH57" s="59">
        <f t="shared" si="8"/>
        <v>759.04065684027728</v>
      </c>
      <c r="BI57" s="59">
        <f ca="1">AVERAGE(OFFSET($BH$3,0,0,'Données projet'!$E$11+1,1))-AVERAGE(OFFSET($H$3,0,0,'Données projet'!$E$11+1,1))</f>
        <v>302.00825291248458</v>
      </c>
      <c r="BJ57" s="59">
        <f t="shared" si="38"/>
        <v>307.35115839449355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50.802623900804704</v>
      </c>
      <c r="BQ57" s="21">
        <f>EXP(-LN(2)/25)*BQ56+(1-EXP(-LN(2)/25))/(LN(2)/25)*Calculateur!BL57*Calculateur!BN57*VLOOKUP('Données projet'!$B$11,Paramètres!$A$1:$I$89,3,0)*0.475*44/12</f>
        <v>20.443949594222477</v>
      </c>
      <c r="BR57" s="21">
        <f>EXP(-LN(2)/2)*BR56+(1-EXP(-LN(2)/2))/(LN(2)/2)*BL57*BO57*VLOOKUP('Données projet'!$B$11,Paramètres!$A$1:$I$89,3,0)*0.475*44/12</f>
        <v>5.4791060753026306</v>
      </c>
      <c r="BS57" s="22">
        <f t="shared" si="9"/>
        <v>76.725679570329802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12.999000000000001</v>
      </c>
      <c r="BY57" s="12">
        <f>IF('Données projet'!$A$114&gt;35,BY56+BX57-CG56,IF(A57&lt;'Données projet'!$A$114,$BV$205^A57,IF(A57='Données projet'!$A$114,'Données projet'!$B$114,BY56+BX57-CG56)))</f>
        <v>261.37699999999973</v>
      </c>
      <c r="BZ57" s="13">
        <f>BY57*VLOOKUP('Données projet'!$B$12,Paramètres!$A$1:$I$89,3,0)*VLOOKUP('Données projet'!$B$12,Paramètres!$A$1:$I$89,5,0)</f>
        <v>122.32443599999988</v>
      </c>
      <c r="CA57" s="13">
        <f t="shared" si="39"/>
        <v>32.216529002111294</v>
      </c>
      <c r="CB57" s="20">
        <f t="shared" si="10"/>
        <v>269.15884737867697</v>
      </c>
      <c r="CC57" s="59">
        <f t="shared" si="11"/>
        <v>562.49218071201028</v>
      </c>
      <c r="CD57" s="59">
        <f ca="1">AVERAGE(OFFSET($CC$3,0,0,'Données projet'!$E$12+1,1))-AVERAGE(OFFSET($H$3,0,0,'Données projet'!$E$12+1,1))</f>
        <v>337.10499990421835</v>
      </c>
      <c r="CE57" s="59">
        <f t="shared" si="40"/>
        <v>277.4254079562175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13.994220097093995</v>
      </c>
      <c r="CL57" s="21">
        <f>EXP(-LN(2)/25)*CL56+(1-EXP(-LN(2)/25))/(LN(2)/25)*Calculateur!CG57*Calculateur!CI57*VLOOKUP('Données projet'!$B$12,Paramètres!$A$1:$I$89,3,0)*0.475*44/12</f>
        <v>20.145406211537718</v>
      </c>
      <c r="CM57" s="21">
        <f>EXP(-LN(2)/2)*CM56+(1-EXP(-LN(2)/2))/(LN(2)/2)*CG57*CJ57*VLOOKUP('Données projet'!$B$12,Paramètres!$A$1:$I$89,3,0)*0.475*44/12</f>
        <v>12.384952887628753</v>
      </c>
      <c r="CN57" s="22">
        <f t="shared" si="12"/>
        <v>46.524579196260461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3.3603333333333336</v>
      </c>
      <c r="CT57" s="12">
        <f>IF('Données projet'!$A$140&gt;35,CT56+CS57-DB56,IF(A57&lt;'Données projet'!$A$140,$CQ$205^A57,IF(A57='Données projet'!$A$140,'Données projet'!$B$140,CT56+CS57-DB56)))</f>
        <v>181.45799999999991</v>
      </c>
      <c r="CU57" s="17">
        <f>CT57*VLOOKUP('Données projet'!$B$13,Paramètres!$A$1:$I$89,3,0)*VLOOKUP('Données projet'!$B$13,Paramètres!$A$1:$I$89,5,0)</f>
        <v>181.16766719999993</v>
      </c>
      <c r="CV57" s="13">
        <f t="shared" si="41"/>
        <v>45.581872761028421</v>
      </c>
      <c r="CW57" s="20">
        <f t="shared" si="13"/>
        <v>394.92211543212437</v>
      </c>
      <c r="CX57" s="59">
        <f t="shared" si="14"/>
        <v>688.25544876545769</v>
      </c>
      <c r="CY57" s="59">
        <f ca="1">AVERAGE(OFFSET($CX$3,0,0,'Données projet'!$E$13+1,1))-AVERAGE(OFFSET($H$3,0,0,'Données projet'!$E$13+1,1))</f>
        <v>525.74725170626471</v>
      </c>
      <c r="CZ57" s="59">
        <f t="shared" si="42"/>
        <v>259.19103598192197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9.1524999999999999</v>
      </c>
      <c r="DO57" s="12">
        <f>IF('Données projet'!$A$166&gt;35,DO56+DN57-DW56,IF(A57&lt;'Données projet'!$A$166,$DL$205^A57,IF(A57='Données projet'!$A$166,'Données projet'!$B$166,DO56+DN57-DW56)))</f>
        <v>171.53750000000028</v>
      </c>
      <c r="DP57" s="17">
        <f>DO57*VLOOKUP('Données projet'!$B$14,Paramètres!$A$1:$I$89,3,0)*VLOOKUP('Données projet'!$B$14,Paramètres!$A$1:$I$89,5,0)</f>
        <v>155.20713000000023</v>
      </c>
      <c r="DQ57" s="13">
        <f t="shared" si="43"/>
        <v>39.759564149610455</v>
      </c>
      <c r="DR57" s="20">
        <f t="shared" si="16"/>
        <v>339.56699231057195</v>
      </c>
      <c r="DS57" s="59">
        <f t="shared" si="17"/>
        <v>632.90032564390526</v>
      </c>
      <c r="DT57" s="59">
        <f ca="1">AVERAGE(OFFSET($DS$3,0,0,'Données projet'!$E$14+1,1))-AVERAGE(OFFSET($H$3,0,0,'Données projet'!$E$14+1,1))</f>
        <v>490.06222615476065</v>
      </c>
      <c r="DU57" s="59">
        <f t="shared" si="44"/>
        <v>310.43914804089906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35.297209407707619</v>
      </c>
      <c r="EC57" s="21">
        <f>EXP(-LN(2)/2)*EC56+(1-EXP(-LN(2)/2))/(LN(2)/2)*DW57*DZ57*VLOOKUP('Données projet'!$B$14,Paramètres!$A$1:$I$89,3,0)*0.475*44/12</f>
        <v>3.3531835839976467</v>
      </c>
      <c r="ED57" s="22">
        <f t="shared" si="18"/>
        <v>38.650392991705267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3.3603333333333336</v>
      </c>
      <c r="EJ57" s="12">
        <f>IF('Données projet'!$A$192&gt;35,EJ56+EI57-ER56,IF(A57&lt;'Données projet'!$A$192,$EG$205^A57,IF(A57='Données projet'!$A$192,'Données projet'!$B$192,EJ56+EI57-ER56)))</f>
        <v>181.45799999999991</v>
      </c>
      <c r="EK57" s="17">
        <f>EJ57*VLOOKUP('Données projet'!$B$15,Paramètres!$A$1:$I$89,3,0)*VLOOKUP('Données projet'!$B$15,Paramètres!$A$1:$I$89,5,0)</f>
        <v>183.99841199999992</v>
      </c>
      <c r="EL57" s="13">
        <f t="shared" si="45"/>
        <v>46.210618509095013</v>
      </c>
      <c r="EM57" s="20">
        <f t="shared" si="19"/>
        <v>400.94739480334033</v>
      </c>
      <c r="EN57" s="59">
        <f t="shared" si="20"/>
        <v>694.28072813667359</v>
      </c>
      <c r="EO57" s="59">
        <f ca="1">AVERAGE(OFFSET($EN$3,0,0,'Données projet'!$E$15+1,1))-AVERAGE(OFFSET($H$3,0,0,'Données projet'!$E$15+1,1))</f>
        <v>533.26035274112917</v>
      </c>
      <c r="EP57" s="59">
        <f t="shared" si="46"/>
        <v>262.58149402282521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3.3333333333333344</v>
      </c>
      <c r="FE57" s="12">
        <f>IF('Données projet'!$A$218&gt;35,FE56+FD57-FM56,IF(A57&lt;'Données projet'!$A$218,$FB$205^A57,IF(A57='Données projet'!$A$218,'Données projet'!$B$218,FE56+FD57-FM56)))</f>
        <v>112.69230769230764</v>
      </c>
      <c r="FF57" s="17">
        <f>FE57*VLOOKUP('Données projet'!$B$16,Paramètres!$A$1:$I$89,3,0)*VLOOKUP('Données projet'!$B$16,Paramètres!$A$1:$I$89,5,0)</f>
        <v>117.78599999999996</v>
      </c>
      <c r="FG57" s="13">
        <f t="shared" si="47"/>
        <v>31.158061824774272</v>
      </c>
      <c r="FH57" s="20">
        <f t="shared" si="22"/>
        <v>259.41090767814842</v>
      </c>
      <c r="FI57" s="59">
        <f t="shared" si="23"/>
        <v>552.74424101148179</v>
      </c>
      <c r="FJ57" s="59">
        <f ca="1">AVERAGE(OFFSET($FI$3,0,0,'Données projet'!$E$16+1,1))-AVERAGE(OFFSET($H$3,0,0,'Données projet'!$E$16+1,1))</f>
        <v>239.26156489359892</v>
      </c>
      <c r="FK57" s="59">
        <f t="shared" si="48"/>
        <v>213.97034450798111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13.700031156762137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13.700031156762137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9.8828571428571443</v>
      </c>
      <c r="N58" s="13">
        <f>IF('Données projet'!$A$36&gt;35,N57+M58-V57,IF(A58&lt;'Données projet'!$A$36,$K$205^A58,IF(A58='Données projet'!$A$36,'Données projet'!$B$36,N57+M58-V57)))</f>
        <v>163.3185714285714</v>
      </c>
      <c r="O58" s="13">
        <f>N58*VLOOKUP('Données projet'!$B$9,Paramètres!$A$1:$I$89,3,0)*VLOOKUP('Données projet'!$B$9,Paramètres!$A$1:$I$89,5,0)</f>
        <v>155.41395257142855</v>
      </c>
      <c r="P58" s="13">
        <f t="shared" si="33"/>
        <v>39.806375365418063</v>
      </c>
      <c r="Q58" s="20">
        <f t="shared" si="53"/>
        <v>340.00873782334116</v>
      </c>
      <c r="R58" s="59">
        <f t="shared" si="0"/>
        <v>633.34207115667448</v>
      </c>
      <c r="S58" s="59">
        <f ca="1">AVERAGE(OFFSET($R$3,0,0,'Données projet'!$E$9+1,1))-AVERAGE(OFFSET($H$3,0,0,'Données projet'!$E$9+1,1))</f>
        <v>449.28947235329758</v>
      </c>
      <c r="T58" s="59">
        <f t="shared" si="34"/>
        <v>289.36994109443964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6.6239713099273354</v>
      </c>
      <c r="AA58" s="21">
        <f>EXP(-LN(2)/25)*AA57+(1-EXP(-LN(2)/25))/(LN(2)/25)*Calculateur!V58*Calculateur!X58*VLOOKUP('Données projet'!$B$9,Paramètres!$A$1:$I$89,3,0)*0.475*44/12</f>
        <v>31.172084277775671</v>
      </c>
      <c r="AB58" s="21">
        <f>EXP(-LN(2)/2)*AB57+(1-EXP(-LN(2)/2))/(LN(2)/2)*V58*Y58*VLOOKUP('Données projet'!$B$9,Paramètres!$A$1:$I$89,3,0)*0.475*44/12</f>
        <v>1.6788879503099088</v>
      </c>
      <c r="AC58" s="22">
        <f t="shared" si="3"/>
        <v>39.474943538012916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14.113999999999999</v>
      </c>
      <c r="AI58" s="13">
        <f>IF('Données projet'!$A$62&gt;35,AI57+AH58-AQ57,IF(A58&lt;'Données projet'!$A$62,$AF$205^A58,IF(A58='Données projet'!$A$62,'Données projet'!$B$62,AI57+AH58-AQ57)))</f>
        <v>370.36999999999995</v>
      </c>
      <c r="AJ58" s="13">
        <f>AI58*VLOOKUP('Données projet'!$B$10,Paramètres!$A$1:$I$89,3,0)*VLOOKUP('Données projet'!$B$10,Paramètres!$A$1:$I$89,5,0)</f>
        <v>221.48125999999999</v>
      </c>
      <c r="AK58" s="13">
        <f t="shared" si="35"/>
        <v>54.436704420571644</v>
      </c>
      <c r="AL58" s="20">
        <f t="shared" si="4"/>
        <v>480.55712136582889</v>
      </c>
      <c r="AM58" s="59">
        <f t="shared" si="5"/>
        <v>773.89045469916221</v>
      </c>
      <c r="AN58" s="59">
        <f ca="1">AVERAGE(OFFSET($AM$3,0,0,'Données projet'!$E$10+1,1))-AVERAGE(OFFSET($H$3,0,0,'Données projet'!$E$10+1,1))</f>
        <v>349.71285006949597</v>
      </c>
      <c r="AO58" s="59">
        <f t="shared" si="36"/>
        <v>258.51550516456842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32.633495109618906</v>
      </c>
      <c r="AV58" s="21">
        <f>EXP(-LN(2)/25)*AV57+(1-EXP(-LN(2)/25))/(LN(2)/25)*Calculateur!AQ58*Calculateur!AS58*VLOOKUP('Données projet'!$B$10,Paramètres!$A$1:$I$89,3,0)*0.475*44/12</f>
        <v>16.503378761961258</v>
      </c>
      <c r="AW58" s="21">
        <f>EXP(-LN(2)/2)*AW57+(1-EXP(-LN(2)/2))/(LN(2)/2)*AQ58*AT58*VLOOKUP('Données projet'!$B$10,Paramètres!$A$1:$I$89,3,0)*0.475*44/12</f>
        <v>1.7641231021933654</v>
      </c>
      <c r="AX58" s="21">
        <f t="shared" si="6"/>
        <v>50.90099697377353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13.18</v>
      </c>
      <c r="BD58" s="12">
        <f>IF('Données projet'!$A$88&gt;35,BD57+BC58-BL57,IF(A58&lt;'Données projet'!$A$88,$BA$205^A58,IF(A58='Données projet'!$A$88,'Données projet'!$B$88,BD57+BC58-BL57)))</f>
        <v>371.84000000000009</v>
      </c>
      <c r="BE58" s="13">
        <f>BD58*VLOOKUP('Données projet'!$B$11,Paramètres!$A$1:$I$89,3,0)*VLOOKUP('Données projet'!$B$11,Paramètres!$A$1:$I$89,5,0)</f>
        <v>222.36032000000009</v>
      </c>
      <c r="BF58" s="13">
        <f t="shared" si="37"/>
        <v>54.627570556659869</v>
      </c>
      <c r="BG58" s="20">
        <f t="shared" si="7"/>
        <v>482.42057605284941</v>
      </c>
      <c r="BH58" s="59">
        <f t="shared" si="8"/>
        <v>775.75390938618273</v>
      </c>
      <c r="BI58" s="59">
        <f ca="1">AVERAGE(OFFSET($BH$3,0,0,'Données projet'!$E$11+1,1))-AVERAGE(OFFSET($H$3,0,0,'Données projet'!$E$11+1,1))</f>
        <v>302.00825291248458</v>
      </c>
      <c r="BJ58" s="59">
        <f t="shared" si="38"/>
        <v>307.35115839449355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49.806415432650837</v>
      </c>
      <c r="BQ58" s="21">
        <f>EXP(-LN(2)/25)*BQ57+(1-EXP(-LN(2)/25))/(LN(2)/25)*Calculateur!BL58*Calculateur!BN58*VLOOKUP('Données projet'!$B$11,Paramètres!$A$1:$I$89,3,0)*0.475*44/12</f>
        <v>19.88490871746788</v>
      </c>
      <c r="BR58" s="21">
        <f>EXP(-LN(2)/2)*BR57+(1-EXP(-LN(2)/2))/(LN(2)/2)*BL58*BO58*VLOOKUP('Données projet'!$B$11,Paramètres!$A$1:$I$89,3,0)*0.475*44/12</f>
        <v>3.8743130606869007</v>
      </c>
      <c r="BS58" s="22">
        <f t="shared" si="9"/>
        <v>73.565637210805619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12.999000000000001</v>
      </c>
      <c r="BY58" s="12">
        <f>IF('Données projet'!$A$114&gt;35,BY57+BX58-CG57,IF(A58&lt;'Données projet'!$A$114,$BV$205^A58,IF(A58='Données projet'!$A$114,'Données projet'!$B$114,BY57+BX58-CG57)))</f>
        <v>274.37599999999975</v>
      </c>
      <c r="BZ58" s="13">
        <f>BY58*VLOOKUP('Données projet'!$B$12,Paramètres!$A$1:$I$89,3,0)*VLOOKUP('Données projet'!$B$12,Paramètres!$A$1:$I$89,5,0)</f>
        <v>128.4079679999999</v>
      </c>
      <c r="CA58" s="13">
        <f t="shared" si="39"/>
        <v>33.628224080487712</v>
      </c>
      <c r="CB58" s="20">
        <f t="shared" si="10"/>
        <v>282.21303454018255</v>
      </c>
      <c r="CC58" s="59">
        <f t="shared" si="11"/>
        <v>575.54636787351592</v>
      </c>
      <c r="CD58" s="59">
        <f ca="1">AVERAGE(OFFSET($CC$3,0,0,'Données projet'!$E$12+1,1))-AVERAGE(OFFSET($H$3,0,0,'Données projet'!$E$12+1,1))</f>
        <v>337.10499990421835</v>
      </c>
      <c r="CE58" s="59">
        <f t="shared" si="40"/>
        <v>277.4254079562175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13.719801976621417</v>
      </c>
      <c r="CL58" s="21">
        <f>EXP(-LN(2)/25)*CL57+(1-EXP(-LN(2)/25))/(LN(2)/25)*Calculateur!CG58*Calculateur!CI58*VLOOKUP('Données projet'!$B$12,Paramètres!$A$1:$I$89,3,0)*0.475*44/12</f>
        <v>19.594529019282351</v>
      </c>
      <c r="CM58" s="21">
        <f>EXP(-LN(2)/2)*CM57+(1-EXP(-LN(2)/2))/(LN(2)/2)*CG58*CJ58*VLOOKUP('Données projet'!$B$12,Paramètres!$A$1:$I$89,3,0)*0.475*44/12</f>
        <v>8.7574841715182057</v>
      </c>
      <c r="CN58" s="22">
        <f t="shared" si="12"/>
        <v>42.071815167421974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3.3603333333333336</v>
      </c>
      <c r="CT58" s="12">
        <f>IF('Données projet'!$A$140&gt;35,CT57+CS58-DB57,IF(A58&lt;'Données projet'!$A$140,$CQ$205^A58,IF(A58='Données projet'!$A$140,'Données projet'!$B$140,CT57+CS58-DB57)))</f>
        <v>184.81833333333324</v>
      </c>
      <c r="CU58" s="17">
        <f>CT58*VLOOKUP('Données projet'!$B$13,Paramètres!$A$1:$I$89,3,0)*VLOOKUP('Données projet'!$B$13,Paramètres!$A$1:$I$89,5,0)</f>
        <v>184.52262399999992</v>
      </c>
      <c r="CV58" s="13">
        <f t="shared" si="41"/>
        <v>46.326928877462514</v>
      </c>
      <c r="CW58" s="20">
        <f t="shared" si="13"/>
        <v>402.06297126158034</v>
      </c>
      <c r="CX58" s="59">
        <f t="shared" si="14"/>
        <v>695.39630459491366</v>
      </c>
      <c r="CY58" s="59">
        <f ca="1">AVERAGE(OFFSET($CX$3,0,0,'Données projet'!$E$13+1,1))-AVERAGE(OFFSET($H$3,0,0,'Données projet'!$E$13+1,1))</f>
        <v>525.74725170626471</v>
      </c>
      <c r="CZ58" s="59">
        <f t="shared" si="42"/>
        <v>259.19103598192197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9.1524999999999999</v>
      </c>
      <c r="DO58" s="12">
        <f>IF('Données projet'!$A$166&gt;35,DO57+DN58-DW57,IF(A58&lt;'Données projet'!$A$166,$DL$205^A58,IF(A58='Données projet'!$A$166,'Données projet'!$B$166,DO57+DN58-DW57)))</f>
        <v>180.69000000000028</v>
      </c>
      <c r="DP58" s="17">
        <f>DO58*VLOOKUP('Données projet'!$B$14,Paramètres!$A$1:$I$89,3,0)*VLOOKUP('Données projet'!$B$14,Paramètres!$A$1:$I$89,5,0)</f>
        <v>163.48831200000026</v>
      </c>
      <c r="DQ58" s="13">
        <f t="shared" si="43"/>
        <v>41.62832357521188</v>
      </c>
      <c r="DR58" s="20">
        <f t="shared" si="16"/>
        <v>357.24480696016116</v>
      </c>
      <c r="DS58" s="59">
        <f t="shared" si="17"/>
        <v>650.57814029349447</v>
      </c>
      <c r="DT58" s="59">
        <f ca="1">AVERAGE(OFFSET($DS$3,0,0,'Données projet'!$E$14+1,1))-AVERAGE(OFFSET($H$3,0,0,'Données projet'!$E$14+1,1))</f>
        <v>490.06222615476065</v>
      </c>
      <c r="DU58" s="59">
        <f t="shared" si="44"/>
        <v>310.43914804089906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34.332005360254286</v>
      </c>
      <c r="EC58" s="21">
        <f>EXP(-LN(2)/2)*EC57+(1-EXP(-LN(2)/2))/(LN(2)/2)*DW58*DZ58*VLOOKUP('Données projet'!$B$14,Paramètres!$A$1:$I$89,3,0)*0.475*44/12</f>
        <v>2.3710588508081472</v>
      </c>
      <c r="ED58" s="22">
        <f t="shared" si="18"/>
        <v>36.703064211062433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3.3603333333333336</v>
      </c>
      <c r="EJ58" s="12">
        <f>IF('Données projet'!$A$192&gt;35,EJ57+EI58-ER57,IF(A58&lt;'Données projet'!$A$192,$EG$205^A58,IF(A58='Données projet'!$A$192,'Données projet'!$B$192,EJ57+EI58-ER57)))</f>
        <v>184.81833333333324</v>
      </c>
      <c r="EK58" s="17">
        <f>EJ58*VLOOKUP('Données projet'!$B$15,Paramètres!$A$1:$I$89,3,0)*VLOOKUP('Données projet'!$B$15,Paramètres!$A$1:$I$89,5,0)</f>
        <v>187.40578999999991</v>
      </c>
      <c r="EL58" s="13">
        <f t="shared" si="45"/>
        <v>46.96595175625901</v>
      </c>
      <c r="EM58" s="20">
        <f t="shared" si="19"/>
        <v>408.19745022548432</v>
      </c>
      <c r="EN58" s="59">
        <f t="shared" si="20"/>
        <v>701.53078355881757</v>
      </c>
      <c r="EO58" s="59">
        <f ca="1">AVERAGE(OFFSET($EN$3,0,0,'Données projet'!$E$15+1,1))-AVERAGE(OFFSET($H$3,0,0,'Données projet'!$E$15+1,1))</f>
        <v>533.26035274112917</v>
      </c>
      <c r="EP58" s="59">
        <f t="shared" si="46"/>
        <v>262.58149402282521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116.02564102564102</v>
      </c>
      <c r="FC58" s="12">
        <f>VLOOKUP(A58,'Données projet'!$A$217:$I$237,9,0)</f>
        <v>3.3333333333333344</v>
      </c>
      <c r="FD58" s="12">
        <f t="array" ref="FD58">INDEX(FC:FC,MIN(IF(ISNUMBER(FC58:FC254),ROW(FC58:FC254),"")))</f>
        <v>3.3333333333333344</v>
      </c>
      <c r="FE58" s="12">
        <f>IF('Données projet'!$A$218&gt;35,FE57+FD58-FM57,IF(A58&lt;'Données projet'!$A$218,$FB$205^A58,IF(A58='Données projet'!$A$218,'Données projet'!$B$218,FE57+FD58-FM57)))</f>
        <v>116.02564102564097</v>
      </c>
      <c r="FF58" s="17">
        <f>FE58*VLOOKUP('Données projet'!$B$16,Paramètres!$A$1:$I$89,3,0)*VLOOKUP('Données projet'!$B$16,Paramètres!$A$1:$I$89,5,0)</f>
        <v>121.26999999999994</v>
      </c>
      <c r="FG58" s="13">
        <f t="shared" si="47"/>
        <v>31.971024204432702</v>
      </c>
      <c r="FH58" s="20">
        <f t="shared" si="22"/>
        <v>266.89478382272017</v>
      </c>
      <c r="FI58" s="59">
        <f t="shared" si="23"/>
        <v>560.22811715605349</v>
      </c>
      <c r="FJ58" s="59">
        <f ca="1">AVERAGE(OFFSET($FI$3,0,0,'Données projet'!$E$16+1,1))-AVERAGE(OFFSET($H$3,0,0,'Données projet'!$E$16+1,1))</f>
        <v>239.26156489359892</v>
      </c>
      <c r="FK58" s="59">
        <f t="shared" si="48"/>
        <v>213.97034450798111</v>
      </c>
      <c r="FL58" s="15">
        <f>IF(ISNA(VLOOKUP(A58,'Données projet'!$A$217:$I$237,3,0)),0,VLOOKUP(A58,'Données projet'!$A$217:$I$237,3,0))</f>
        <v>8</v>
      </c>
      <c r="FM58" s="15">
        <f>IF(ISNA(VLOOKUP(A58,'Données projet'!$A$217:$I$237,4,0)),0,VLOOKUP(A58,'Données projet'!$A$217:$I$237,4,0))</f>
        <v>10.897435897435898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0.215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16.021875216454657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16.021875216454657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9.8828571428571443</v>
      </c>
      <c r="N59" s="13">
        <f>IF('Données projet'!$A$36&gt;35,N58+M59-V58,IF(A59&lt;'Données projet'!$A$36,$K$205^A59,IF(A59='Données projet'!$A$36,'Données projet'!$B$36,N58+M59-V58)))</f>
        <v>173.20142857142855</v>
      </c>
      <c r="O59" s="13">
        <f>N59*VLOOKUP('Données projet'!$B$9,Paramètres!$A$1:$I$89,3,0)*VLOOKUP('Données projet'!$B$9,Paramètres!$A$1:$I$89,5,0)</f>
        <v>164.81847942857141</v>
      </c>
      <c r="P59" s="13">
        <f t="shared" si="33"/>
        <v>41.927453010205141</v>
      </c>
      <c r="Q59" s="20">
        <f t="shared" si="53"/>
        <v>360.08249899753582</v>
      </c>
      <c r="R59" s="59">
        <f t="shared" si="0"/>
        <v>653.41583233086908</v>
      </c>
      <c r="S59" s="59">
        <f ca="1">AVERAGE(OFFSET($R$3,0,0,'Données projet'!$E$9+1,1))-AVERAGE(OFFSET($H$3,0,0,'Données projet'!$E$9+1,1))</f>
        <v>449.28947235329758</v>
      </c>
      <c r="T59" s="59">
        <f t="shared" si="34"/>
        <v>289.36994109443964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6.4940792727632202</v>
      </c>
      <c r="AA59" s="21">
        <f>EXP(-LN(2)/25)*AA58+(1-EXP(-LN(2)/25))/(LN(2)/25)*Calculateur!V59*Calculateur!X59*VLOOKUP('Données projet'!$B$9,Paramètres!$A$1:$I$89,3,0)*0.475*44/12</f>
        <v>30.319681993931226</v>
      </c>
      <c r="AB59" s="21">
        <f>EXP(-LN(2)/2)*AB58+(1-EXP(-LN(2)/2))/(LN(2)/2)*V59*Y59*VLOOKUP('Données projet'!$B$9,Paramètres!$A$1:$I$89,3,0)*0.475*44/12</f>
        <v>1.1871530545165201</v>
      </c>
      <c r="AC59" s="22">
        <f t="shared" si="3"/>
        <v>38.000914321210971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14.113999999999999</v>
      </c>
      <c r="AI59" s="13">
        <f>IF('Données projet'!$A$62&gt;35,AI58+AH59-AQ58,IF(A59&lt;'Données projet'!$A$62,$AF$205^A59,IF(A59='Données projet'!$A$62,'Données projet'!$B$62,AI58+AH59-AQ58)))</f>
        <v>384.48399999999992</v>
      </c>
      <c r="AJ59" s="13">
        <f>AI59*VLOOKUP('Données projet'!$B$10,Paramètres!$A$1:$I$89,3,0)*VLOOKUP('Données projet'!$B$10,Paramètres!$A$1:$I$89,5,0)</f>
        <v>229.92143199999998</v>
      </c>
      <c r="AK59" s="13">
        <f t="shared" si="35"/>
        <v>56.265692954832708</v>
      </c>
      <c r="AL59" s="20">
        <f t="shared" si="4"/>
        <v>498.44257596300025</v>
      </c>
      <c r="AM59" s="59">
        <f t="shared" si="5"/>
        <v>791.77590929633357</v>
      </c>
      <c r="AN59" s="59">
        <f ca="1">AVERAGE(OFFSET($AM$3,0,0,'Données projet'!$E$10+1,1))-AVERAGE(OFFSET($H$3,0,0,'Données projet'!$E$10+1,1))</f>
        <v>349.71285006949597</v>
      </c>
      <c r="AO59" s="59">
        <f t="shared" si="36"/>
        <v>258.51550516456842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31.993572174985893</v>
      </c>
      <c r="AV59" s="21">
        <f>EXP(-LN(2)/25)*AV58+(1-EXP(-LN(2)/25))/(LN(2)/25)*Calculateur!AQ59*Calculateur!AS59*VLOOKUP('Données projet'!$B$10,Paramètres!$A$1:$I$89,3,0)*0.475*44/12</f>
        <v>16.052093001840458</v>
      </c>
      <c r="AW59" s="21">
        <f>EXP(-LN(2)/2)*AW58+(1-EXP(-LN(2)/2))/(LN(2)/2)*AQ59*AT59*VLOOKUP('Données projet'!$B$10,Paramètres!$A$1:$I$89,3,0)*0.475*44/12</f>
        <v>1.2474234084087776</v>
      </c>
      <c r="AX59" s="21">
        <f t="shared" si="6"/>
        <v>49.293088585235125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13.18</v>
      </c>
      <c r="BD59" s="12">
        <f>IF('Données projet'!$A$88&gt;35,BD58+BC59-BL58,IF(A59&lt;'Données projet'!$A$88,$BA$205^A59,IF(A59='Données projet'!$A$88,'Données projet'!$B$88,BD58+BC59-BL58)))</f>
        <v>385.0200000000001</v>
      </c>
      <c r="BE59" s="13">
        <f>BD59*VLOOKUP('Données projet'!$B$11,Paramètres!$A$1:$I$89,3,0)*VLOOKUP('Données projet'!$B$11,Paramètres!$A$1:$I$89,5,0)</f>
        <v>230.24196000000006</v>
      </c>
      <c r="BF59" s="13">
        <f t="shared" si="37"/>
        <v>56.334995738213507</v>
      </c>
      <c r="BG59" s="20">
        <f t="shared" si="7"/>
        <v>499.12153124405523</v>
      </c>
      <c r="BH59" s="59">
        <f t="shared" si="8"/>
        <v>792.45486457738855</v>
      </c>
      <c r="BI59" s="59">
        <f ca="1">AVERAGE(OFFSET($BH$3,0,0,'Données projet'!$E$11+1,1))-AVERAGE(OFFSET($H$3,0,0,'Données projet'!$E$11+1,1))</f>
        <v>302.00825291248458</v>
      </c>
      <c r="BJ59" s="59">
        <f t="shared" si="38"/>
        <v>307.35115839449355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48.829742004930303</v>
      </c>
      <c r="BQ59" s="21">
        <f>EXP(-LN(2)/25)*BQ58+(1-EXP(-LN(2)/25))/(LN(2)/25)*Calculateur!BL59*Calculateur!BN59*VLOOKUP('Données projet'!$B$11,Paramètres!$A$1:$I$89,3,0)*0.475*44/12</f>
        <v>19.341154842886819</v>
      </c>
      <c r="BR59" s="21">
        <f>EXP(-LN(2)/2)*BR58+(1-EXP(-LN(2)/2))/(LN(2)/2)*BL59*BO59*VLOOKUP('Données projet'!$B$11,Paramètres!$A$1:$I$89,3,0)*0.475*44/12</f>
        <v>2.7395530376513157</v>
      </c>
      <c r="BS59" s="22">
        <f t="shared" si="9"/>
        <v>70.910449885468438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12.999000000000001</v>
      </c>
      <c r="BY59" s="12">
        <f>IF('Données projet'!$A$114&gt;35,BY58+BX59-CG58,IF(A59&lt;'Données projet'!$A$114,$BV$205^A59,IF(A59='Données projet'!$A$114,'Données projet'!$B$114,BY58+BX59-CG58)))</f>
        <v>287.37499999999977</v>
      </c>
      <c r="BZ59" s="13">
        <f>BY59*VLOOKUP('Données projet'!$B$12,Paramètres!$A$1:$I$89,3,0)*VLOOKUP('Données projet'!$B$12,Paramètres!$A$1:$I$89,5,0)</f>
        <v>134.49149999999989</v>
      </c>
      <c r="CA59" s="13">
        <f t="shared" si="39"/>
        <v>35.032152533778529</v>
      </c>
      <c r="CB59" s="20">
        <f t="shared" si="10"/>
        <v>295.25369482966408</v>
      </c>
      <c r="CC59" s="59">
        <f t="shared" si="11"/>
        <v>588.5870281629974</v>
      </c>
      <c r="CD59" s="59">
        <f ca="1">AVERAGE(OFFSET($CC$3,0,0,'Données projet'!$E$12+1,1))-AVERAGE(OFFSET($H$3,0,0,'Données projet'!$E$12+1,1))</f>
        <v>337.10499990421835</v>
      </c>
      <c r="CE59" s="59">
        <f t="shared" si="40"/>
        <v>277.4254079562175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13.45076502811278</v>
      </c>
      <c r="CL59" s="21">
        <f>EXP(-LN(2)/25)*CL58+(1-EXP(-LN(2)/25))/(LN(2)/25)*Calculateur!CG59*Calculateur!CI59*VLOOKUP('Données projet'!$B$12,Paramètres!$A$1:$I$89,3,0)*0.475*44/12</f>
        <v>19.058715592818579</v>
      </c>
      <c r="CM59" s="21">
        <f>EXP(-LN(2)/2)*CM58+(1-EXP(-LN(2)/2))/(LN(2)/2)*CG59*CJ59*VLOOKUP('Données projet'!$B$12,Paramètres!$A$1:$I$89,3,0)*0.475*44/12</f>
        <v>6.1924764438143773</v>
      </c>
      <c r="CN59" s="22">
        <f t="shared" si="12"/>
        <v>38.701957064745734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3.3603333333333336</v>
      </c>
      <c r="CT59" s="12">
        <f>IF('Données projet'!$A$140&gt;35,CT58+CS59-DB58,IF(A59&lt;'Données projet'!$A$140,$CQ$205^A59,IF(A59='Données projet'!$A$140,'Données projet'!$B$140,CT58+CS59-DB58)))</f>
        <v>188.17866666666657</v>
      </c>
      <c r="CU59" s="17">
        <f>CT59*VLOOKUP('Données projet'!$B$13,Paramètres!$A$1:$I$89,3,0)*VLOOKUP('Données projet'!$B$13,Paramètres!$A$1:$I$89,5,0)</f>
        <v>187.87758079999992</v>
      </c>
      <c r="CV59" s="13">
        <f t="shared" si="41"/>
        <v>47.070409759848495</v>
      </c>
      <c r="CW59" s="20">
        <f t="shared" si="13"/>
        <v>409.20108355840267</v>
      </c>
      <c r="CX59" s="59">
        <f t="shared" si="14"/>
        <v>702.53441689173599</v>
      </c>
      <c r="CY59" s="59">
        <f ca="1">AVERAGE(OFFSET($CX$3,0,0,'Données projet'!$E$13+1,1))-AVERAGE(OFFSET($H$3,0,0,'Données projet'!$E$13+1,1))</f>
        <v>525.74725170626471</v>
      </c>
      <c r="CZ59" s="59">
        <f t="shared" si="42"/>
        <v>259.19103598192197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9.1524999999999999</v>
      </c>
      <c r="DO59" s="12">
        <f>IF('Données projet'!$A$166&gt;35,DO58+DN59-DW58,IF(A59&lt;'Données projet'!$A$166,$DL$205^A59,IF(A59='Données projet'!$A$166,'Données projet'!$B$166,DO58+DN59-DW58)))</f>
        <v>189.84250000000029</v>
      </c>
      <c r="DP59" s="17">
        <f>DO59*VLOOKUP('Données projet'!$B$14,Paramètres!$A$1:$I$89,3,0)*VLOOKUP('Données projet'!$B$14,Paramètres!$A$1:$I$89,5,0)</f>
        <v>171.76949400000024</v>
      </c>
      <c r="DQ59" s="13">
        <f t="shared" si="43"/>
        <v>43.486092222917399</v>
      </c>
      <c r="DR59" s="20">
        <f t="shared" si="16"/>
        <v>374.90347933824819</v>
      </c>
      <c r="DS59" s="59">
        <f t="shared" si="17"/>
        <v>668.23681267158145</v>
      </c>
      <c r="DT59" s="59">
        <f ca="1">AVERAGE(OFFSET($DS$3,0,0,'Données projet'!$E$14+1,1))-AVERAGE(OFFSET($H$3,0,0,'Données projet'!$E$14+1,1))</f>
        <v>490.06222615476065</v>
      </c>
      <c r="DU59" s="59">
        <f t="shared" si="44"/>
        <v>310.43914804089906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33.393194868236435</v>
      </c>
      <c r="EC59" s="21">
        <f>EXP(-LN(2)/2)*EC58+(1-EXP(-LN(2)/2))/(LN(2)/2)*DW59*DZ59*VLOOKUP('Données projet'!$B$14,Paramètres!$A$1:$I$89,3,0)*0.475*44/12</f>
        <v>1.6765917919988234</v>
      </c>
      <c r="ED59" s="22">
        <f t="shared" si="18"/>
        <v>35.069786660235259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3.3603333333333336</v>
      </c>
      <c r="EJ59" s="12">
        <f>IF('Données projet'!$A$192&gt;35,EJ58+EI59-ER58,IF(A59&lt;'Données projet'!$A$192,$EG$205^A59,IF(A59='Données projet'!$A$192,'Données projet'!$B$192,EJ58+EI59-ER58)))</f>
        <v>188.17866666666657</v>
      </c>
      <c r="EK59" s="17">
        <f>EJ59*VLOOKUP('Données projet'!$B$15,Paramètres!$A$1:$I$89,3,0)*VLOOKUP('Données projet'!$B$15,Paramètres!$A$1:$I$89,5,0)</f>
        <v>190.81316799999991</v>
      </c>
      <c r="EL59" s="13">
        <f t="shared" si="45"/>
        <v>47.719688040962872</v>
      </c>
      <c r="EM59" s="20">
        <f t="shared" si="19"/>
        <v>415.44472427134343</v>
      </c>
      <c r="EN59" s="59">
        <f t="shared" si="20"/>
        <v>708.77805760467675</v>
      </c>
      <c r="EO59" s="59">
        <f ca="1">AVERAGE(OFFSET($EN$3,0,0,'Données projet'!$E$15+1,1))-AVERAGE(OFFSET($H$3,0,0,'Données projet'!$E$15+1,1))</f>
        <v>533.26035274112917</v>
      </c>
      <c r="EP59" s="59">
        <f t="shared" si="46"/>
        <v>262.58149402282521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3.2051282051282071</v>
      </c>
      <c r="FE59" s="12">
        <f>IF('Données projet'!$A$218&gt;35,FE58+FD59-FM58,IF(A59&lt;'Données projet'!$A$218,$FB$205^A59,IF(A59='Données projet'!$A$218,'Données projet'!$B$218,FE58+FD59-FM58)))</f>
        <v>108.33333333333327</v>
      </c>
      <c r="FF59" s="17">
        <f>FE59*VLOOKUP('Données projet'!$B$16,Paramètres!$A$1:$I$89,3,0)*VLOOKUP('Données projet'!$B$16,Paramètres!$A$1:$I$89,5,0)</f>
        <v>113.22999999999995</v>
      </c>
      <c r="FG59" s="13">
        <f t="shared" si="47"/>
        <v>30.090711216212426</v>
      </c>
      <c r="FH59" s="20">
        <f t="shared" si="22"/>
        <v>249.61690536823653</v>
      </c>
      <c r="FI59" s="59">
        <f t="shared" si="23"/>
        <v>542.95023870156979</v>
      </c>
      <c r="FJ59" s="59">
        <f ca="1">AVERAGE(OFFSET($FI$3,0,0,'Données projet'!$E$16+1,1))-AVERAGE(OFFSET($H$3,0,0,'Données projet'!$E$16+1,1))</f>
        <v>239.26156489359892</v>
      </c>
      <c r="FK59" s="59">
        <f t="shared" si="48"/>
        <v>213.97034450798111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15.583756196106904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15.583756196106904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9.8828571428571443</v>
      </c>
      <c r="N60" s="13">
        <f>IF('Données projet'!$A$36&gt;35,N59+M60-V59,IF(A60&lt;'Données projet'!$A$36,$K$205^A60,IF(A60='Données projet'!$A$36,'Données projet'!$B$36,N59+M60-V59)))</f>
        <v>183.0842857142857</v>
      </c>
      <c r="O60" s="13">
        <f>N60*VLOOKUP('Données projet'!$B$9,Paramètres!$A$1:$I$89,3,0)*VLOOKUP('Données projet'!$B$9,Paramètres!$A$1:$I$89,5,0)</f>
        <v>174.22300628571426</v>
      </c>
      <c r="P60" s="13">
        <f t="shared" si="33"/>
        <v>44.034481572204157</v>
      </c>
      <c r="Q60" s="20">
        <f t="shared" si="53"/>
        <v>380.13179135254126</v>
      </c>
      <c r="R60" s="59">
        <f t="shared" si="0"/>
        <v>673.46512468587457</v>
      </c>
      <c r="S60" s="59">
        <f ca="1">AVERAGE(OFFSET($R$3,0,0,'Données projet'!$E$9+1,1))-AVERAGE(OFFSET($H$3,0,0,'Données projet'!$E$9+1,1))</f>
        <v>449.28947235329758</v>
      </c>
      <c r="T60" s="59">
        <f t="shared" si="34"/>
        <v>289.36994109443964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6.3667343392215736</v>
      </c>
      <c r="AA60" s="21">
        <f>EXP(-LN(2)/25)*AA59+(1-EXP(-LN(2)/25))/(LN(2)/25)*Calculateur!V60*Calculateur!X60*VLOOKUP('Données projet'!$B$9,Paramètres!$A$1:$I$89,3,0)*0.475*44/12</f>
        <v>29.490588695364398</v>
      </c>
      <c r="AB60" s="21">
        <f>EXP(-LN(2)/2)*AB59+(1-EXP(-LN(2)/2))/(LN(2)/2)*V60*Y60*VLOOKUP('Données projet'!$B$9,Paramètres!$A$1:$I$89,3,0)*0.475*44/12</f>
        <v>0.8394439751549545</v>
      </c>
      <c r="AC60" s="22">
        <f t="shared" si="3"/>
        <v>36.696767009740931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14.113999999999999</v>
      </c>
      <c r="AI60" s="13">
        <f>IF('Données projet'!$A$62&gt;35,AI59+AH60-AQ59,IF(A60&lt;'Données projet'!$A$62,$AF$205^A60,IF(A60='Données projet'!$A$62,'Données projet'!$B$62,AI59+AH60-AQ59)))</f>
        <v>398.5979999999999</v>
      </c>
      <c r="AJ60" s="13">
        <f>AI60*VLOOKUP('Données projet'!$B$10,Paramètres!$A$1:$I$89,3,0)*VLOOKUP('Données projet'!$B$10,Paramètres!$A$1:$I$89,5,0)</f>
        <v>238.36160399999994</v>
      </c>
      <c r="AK60" s="13">
        <f t="shared" si="35"/>
        <v>58.086881188787437</v>
      </c>
      <c r="AL60" s="20">
        <f t="shared" si="4"/>
        <v>516.31444503713794</v>
      </c>
      <c r="AM60" s="59">
        <f t="shared" si="5"/>
        <v>809.64777837047131</v>
      </c>
      <c r="AN60" s="59">
        <f ca="1">AVERAGE(OFFSET($AM$3,0,0,'Données projet'!$E$10+1,1))-AVERAGE(OFFSET($H$3,0,0,'Données projet'!$E$10+1,1))</f>
        <v>349.71285006949597</v>
      </c>
      <c r="AO60" s="59">
        <f t="shared" si="36"/>
        <v>258.51550516456842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31.366197738786585</v>
      </c>
      <c r="AV60" s="21">
        <f>EXP(-LN(2)/25)*AV59+(1-EXP(-LN(2)/25))/(LN(2)/25)*Calculateur!AQ60*Calculateur!AS60*VLOOKUP('Données projet'!$B$10,Paramètres!$A$1:$I$89,3,0)*0.475*44/12</f>
        <v>15.613147674562248</v>
      </c>
      <c r="AW60" s="21">
        <f>EXP(-LN(2)/2)*AW59+(1-EXP(-LN(2)/2))/(LN(2)/2)*AQ60*AT60*VLOOKUP('Données projet'!$B$10,Paramètres!$A$1:$I$89,3,0)*0.475*44/12</f>
        <v>0.88206155109668294</v>
      </c>
      <c r="AX60" s="21">
        <f t="shared" si="6"/>
        <v>47.861406964445514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13.18</v>
      </c>
      <c r="BD60" s="12">
        <f>IF('Données projet'!$A$88&gt;35,BD59+BC60-BL59,IF(A60&lt;'Données projet'!$A$88,$BA$205^A60,IF(A60='Données projet'!$A$88,'Données projet'!$B$88,BD59+BC60-BL59)))</f>
        <v>398.2000000000001</v>
      </c>
      <c r="BE60" s="13">
        <f>BD60*VLOOKUP('Données projet'!$B$11,Paramètres!$A$1:$I$89,3,0)*VLOOKUP('Données projet'!$B$11,Paramètres!$A$1:$I$89,5,0)</f>
        <v>238.12360000000007</v>
      </c>
      <c r="BF60" s="13">
        <f t="shared" si="37"/>
        <v>58.035629642885198</v>
      </c>
      <c r="BG60" s="20">
        <f t="shared" si="7"/>
        <v>515.81065829469196</v>
      </c>
      <c r="BH60" s="59">
        <f t="shared" si="8"/>
        <v>809.14399162802533</v>
      </c>
      <c r="BI60" s="59">
        <f ca="1">AVERAGE(OFFSET($BH$3,0,0,'Données projet'!$E$11+1,1))-AVERAGE(OFFSET($H$3,0,0,'Données projet'!$E$11+1,1))</f>
        <v>302.00825291248458</v>
      </c>
      <c r="BJ60" s="59">
        <f t="shared" si="38"/>
        <v>307.35115839449355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47.872220547415395</v>
      </c>
      <c r="BQ60" s="21">
        <f>EXP(-LN(2)/25)*BQ59+(1-EXP(-LN(2)/25))/(LN(2)/25)*Calculateur!BL60*Calculateur!BN60*VLOOKUP('Données projet'!$B$11,Paramètres!$A$1:$I$89,3,0)*0.475*44/12</f>
        <v>18.812269946600949</v>
      </c>
      <c r="BR60" s="21">
        <f>EXP(-LN(2)/2)*BR59+(1-EXP(-LN(2)/2))/(LN(2)/2)*BL60*BO60*VLOOKUP('Données projet'!$B$11,Paramètres!$A$1:$I$89,3,0)*0.475*44/12</f>
        <v>1.9371565303434506</v>
      </c>
      <c r="BS60" s="22">
        <f t="shared" si="9"/>
        <v>68.621647024359788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12.999000000000001</v>
      </c>
      <c r="BY60" s="12">
        <f>IF('Données projet'!$A$114&gt;35,BY59+BX60-CG59,IF(A60&lt;'Données projet'!$A$114,$BV$205^A60,IF(A60='Données projet'!$A$114,'Données projet'!$B$114,BY59+BX60-CG59)))</f>
        <v>300.3739999999998</v>
      </c>
      <c r="BZ60" s="13">
        <f>BY60*VLOOKUP('Données projet'!$B$12,Paramètres!$A$1:$I$89,3,0)*VLOOKUP('Données projet'!$B$12,Paramètres!$A$1:$I$89,5,0)</f>
        <v>140.57503199999991</v>
      </c>
      <c r="CA60" s="13">
        <f t="shared" si="39"/>
        <v>36.42870580902472</v>
      </c>
      <c r="CB60" s="20">
        <f t="shared" si="10"/>
        <v>308.28151001738462</v>
      </c>
      <c r="CC60" s="59">
        <f t="shared" si="11"/>
        <v>601.61484335071793</v>
      </c>
      <c r="CD60" s="59">
        <f ca="1">AVERAGE(OFFSET($CC$3,0,0,'Données projet'!$E$12+1,1))-AVERAGE(OFFSET($H$3,0,0,'Données projet'!$E$12+1,1))</f>
        <v>337.10499990421835</v>
      </c>
      <c r="CE60" s="59">
        <f t="shared" si="40"/>
        <v>277.4254079562175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13.187003730068062</v>
      </c>
      <c r="CL60" s="21">
        <f>EXP(-LN(2)/25)*CL59+(1-EXP(-LN(2)/25))/(LN(2)/25)*Calculateur!CG60*Calculateur!CI60*VLOOKUP('Données projet'!$B$12,Paramètres!$A$1:$I$89,3,0)*0.475*44/12</f>
        <v>18.537554012678662</v>
      </c>
      <c r="CM60" s="21">
        <f>EXP(-LN(2)/2)*CM59+(1-EXP(-LN(2)/2))/(LN(2)/2)*CG60*CJ60*VLOOKUP('Données projet'!$B$12,Paramètres!$A$1:$I$89,3,0)*0.475*44/12</f>
        <v>4.3787420857591028</v>
      </c>
      <c r="CN60" s="22">
        <f t="shared" si="12"/>
        <v>36.103299828505826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3.3603333333333336</v>
      </c>
      <c r="CT60" s="12">
        <f>IF('Données projet'!$A$140&gt;35,CT59+CS60-DB59,IF(A60&lt;'Données projet'!$A$140,$CQ$205^A60,IF(A60='Données projet'!$A$140,'Données projet'!$B$140,CT59+CS60-DB59)))</f>
        <v>191.5389999999999</v>
      </c>
      <c r="CU60" s="17">
        <f>CT60*VLOOKUP('Données projet'!$B$13,Paramètres!$A$1:$I$89,3,0)*VLOOKUP('Données projet'!$B$13,Paramètres!$A$1:$I$89,5,0)</f>
        <v>191.23253759999992</v>
      </c>
      <c r="CV60" s="13">
        <f t="shared" si="41"/>
        <v>47.812346782349593</v>
      </c>
      <c r="CW60" s="20">
        <f t="shared" si="13"/>
        <v>416.33650696592531</v>
      </c>
      <c r="CX60" s="59">
        <f t="shared" si="14"/>
        <v>709.66984029925857</v>
      </c>
      <c r="CY60" s="59">
        <f ca="1">AVERAGE(OFFSET($CX$3,0,0,'Données projet'!$E$13+1,1))-AVERAGE(OFFSET($H$3,0,0,'Données projet'!$E$13+1,1))</f>
        <v>525.74725170626471</v>
      </c>
      <c r="CZ60" s="59">
        <f t="shared" si="42"/>
        <v>259.19103598192197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9.1524999999999999</v>
      </c>
      <c r="DO60" s="12">
        <f>IF('Données projet'!$A$166&gt;35,DO59+DN60-DW59,IF(A60&lt;'Données projet'!$A$166,$DL$205^A60,IF(A60='Données projet'!$A$166,'Données projet'!$B$166,DO59+DN60-DW59)))</f>
        <v>198.99500000000029</v>
      </c>
      <c r="DP60" s="17">
        <f>DO60*VLOOKUP('Données projet'!$B$14,Paramètres!$A$1:$I$89,3,0)*VLOOKUP('Données projet'!$B$14,Paramètres!$A$1:$I$89,5,0)</f>
        <v>180.05067600000027</v>
      </c>
      <c r="DQ60" s="13">
        <f t="shared" si="43"/>
        <v>45.333460458198495</v>
      </c>
      <c r="DR60" s="20">
        <f t="shared" si="16"/>
        <v>392.54403766469613</v>
      </c>
      <c r="DS60" s="59">
        <f t="shared" si="17"/>
        <v>685.87737099802939</v>
      </c>
      <c r="DT60" s="59">
        <f ca="1">AVERAGE(OFFSET($DS$3,0,0,'Données projet'!$E$14+1,1))-AVERAGE(OFFSET($H$3,0,0,'Données projet'!$E$14+1,1))</f>
        <v>490.06222615476065</v>
      </c>
      <c r="DU60" s="59">
        <f t="shared" si="44"/>
        <v>310.43914804089906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32.480056198492711</v>
      </c>
      <c r="EC60" s="21">
        <f>EXP(-LN(2)/2)*EC59+(1-EXP(-LN(2)/2))/(LN(2)/2)*DW60*DZ60*VLOOKUP('Données projet'!$B$14,Paramètres!$A$1:$I$89,3,0)*0.475*44/12</f>
        <v>1.1855294254040736</v>
      </c>
      <c r="ED60" s="22">
        <f t="shared" si="18"/>
        <v>33.665585623896789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3.3603333333333336</v>
      </c>
      <c r="EJ60" s="12">
        <f>IF('Données projet'!$A$192&gt;35,EJ59+EI60-ER59,IF(A60&lt;'Données projet'!$A$192,$EG$205^A60,IF(A60='Données projet'!$A$192,'Données projet'!$B$192,EJ59+EI60-ER59)))</f>
        <v>191.5389999999999</v>
      </c>
      <c r="EK60" s="17">
        <f>EJ60*VLOOKUP('Données projet'!$B$15,Paramètres!$A$1:$I$89,3,0)*VLOOKUP('Données projet'!$B$15,Paramètres!$A$1:$I$89,5,0)</f>
        <v>194.22054599999993</v>
      </c>
      <c r="EL60" s="13">
        <f t="shared" si="45"/>
        <v>48.471859170137883</v>
      </c>
      <c r="EM60" s="20">
        <f t="shared" si="19"/>
        <v>422.68927233798996</v>
      </c>
      <c r="EN60" s="59">
        <f t="shared" si="20"/>
        <v>716.02260567132328</v>
      </c>
      <c r="EO60" s="59">
        <f ca="1">AVERAGE(OFFSET($EN$3,0,0,'Données projet'!$E$15+1,1))-AVERAGE(OFFSET($H$3,0,0,'Données projet'!$E$15+1,1))</f>
        <v>533.26035274112917</v>
      </c>
      <c r="EP60" s="59">
        <f t="shared" si="46"/>
        <v>262.58149402282521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3.2051282051282071</v>
      </c>
      <c r="FE60" s="12">
        <f>IF('Données projet'!$A$218&gt;35,FE59+FD60-FM59,IF(A60&lt;'Données projet'!$A$218,$FB$205^A60,IF(A60='Données projet'!$A$218,'Données projet'!$B$218,FE59+FD60-FM59)))</f>
        <v>111.53846153846148</v>
      </c>
      <c r="FF60" s="17">
        <f>FE60*VLOOKUP('Données projet'!$B$16,Paramètres!$A$1:$I$89,3,0)*VLOOKUP('Données projet'!$B$16,Paramètres!$A$1:$I$89,5,0)</f>
        <v>116.57999999999996</v>
      </c>
      <c r="FG60" s="13">
        <f t="shared" si="47"/>
        <v>30.876003132466991</v>
      </c>
      <c r="FH60" s="20">
        <f t="shared" si="22"/>
        <v>256.81920545571325</v>
      </c>
      <c r="FI60" s="59">
        <f t="shared" si="23"/>
        <v>550.1525387890465</v>
      </c>
      <c r="FJ60" s="59">
        <f ca="1">AVERAGE(OFFSET($FI$3,0,0,'Données projet'!$E$16+1,1))-AVERAGE(OFFSET($H$3,0,0,'Données projet'!$E$16+1,1))</f>
        <v>239.26156489359892</v>
      </c>
      <c r="FK60" s="59">
        <f t="shared" si="48"/>
        <v>213.97034450798111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15.157617563410239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15.157617563410239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9.8828571428571443</v>
      </c>
      <c r="N61" s="13">
        <f>IF('Données projet'!$A$36&gt;35,N60+M61-V60,IF(A61&lt;'Données projet'!$A$36,$K$205^A61,IF(A61='Données projet'!$A$36,'Données projet'!$B$36,N60+M61-V60)))</f>
        <v>192.96714285714285</v>
      </c>
      <c r="O61" s="13">
        <f>N61*VLOOKUP('Données projet'!$B$9,Paramètres!$A$1:$I$89,3,0)*VLOOKUP('Données projet'!$B$9,Paramètres!$A$1:$I$89,5,0)</f>
        <v>183.62753314285715</v>
      </c>
      <c r="P61" s="13">
        <f t="shared" si="33"/>
        <v>46.128305880116194</v>
      </c>
      <c r="Q61" s="20">
        <f t="shared" si="53"/>
        <v>400.15808629834527</v>
      </c>
      <c r="R61" s="59">
        <f t="shared" si="0"/>
        <v>693.49141963167858</v>
      </c>
      <c r="S61" s="59">
        <f ca="1">AVERAGE(OFFSET($R$3,0,0,'Données projet'!$E$9+1,1))-AVERAGE(OFFSET($H$3,0,0,'Données projet'!$E$9+1,1))</f>
        <v>449.28947235329758</v>
      </c>
      <c r="T61" s="59">
        <f t="shared" si="34"/>
        <v>289.36994109443964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6.2418865621539394</v>
      </c>
      <c r="AA61" s="21">
        <f>EXP(-LN(2)/25)*AA60+(1-EXP(-LN(2)/25))/(LN(2)/25)*Calculateur!V61*Calculateur!X61*VLOOKUP('Données projet'!$B$9,Paramètres!$A$1:$I$89,3,0)*0.475*44/12</f>
        <v>28.684166996647001</v>
      </c>
      <c r="AB61" s="21">
        <f>EXP(-LN(2)/2)*AB60+(1-EXP(-LN(2)/2))/(LN(2)/2)*V61*Y61*VLOOKUP('Données projet'!$B$9,Paramètres!$A$1:$I$89,3,0)*0.475*44/12</f>
        <v>0.59357652725826004</v>
      </c>
      <c r="AC61" s="22">
        <f t="shared" si="3"/>
        <v>35.519630086059195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14.113999999999999</v>
      </c>
      <c r="AI61" s="13">
        <f>IF('Données projet'!$A$62&gt;35,AI60+AH61-AQ60,IF(A61&lt;'Données projet'!$A$62,$AF$205^A61,IF(A61='Données projet'!$A$62,'Données projet'!$B$62,AI60+AH61-AQ60)))</f>
        <v>412.71199999999988</v>
      </c>
      <c r="AJ61" s="13">
        <f>AI61*VLOOKUP('Données projet'!$B$10,Paramètres!$A$1:$I$89,3,0)*VLOOKUP('Données projet'!$B$10,Paramètres!$A$1:$I$89,5,0)</f>
        <v>246.80177599999993</v>
      </c>
      <c r="AK61" s="13">
        <f t="shared" si="35"/>
        <v>59.900576970210864</v>
      </c>
      <c r="AL61" s="20">
        <f t="shared" si="4"/>
        <v>534.17326475645041</v>
      </c>
      <c r="AM61" s="59">
        <f t="shared" si="5"/>
        <v>827.50659808978367</v>
      </c>
      <c r="AN61" s="59">
        <f ca="1">AVERAGE(OFFSET($AM$3,0,0,'Données projet'!$E$10+1,1))-AVERAGE(OFFSET($H$3,0,0,'Données projet'!$E$10+1,1))</f>
        <v>349.71285006949597</v>
      </c>
      <c r="AO61" s="59">
        <f t="shared" si="36"/>
        <v>258.51550516456842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30.751125732620523</v>
      </c>
      <c r="AV61" s="21">
        <f>EXP(-LN(2)/25)*AV60+(1-EXP(-LN(2)/25))/(LN(2)/25)*Calculateur!AQ61*Calculateur!AS61*VLOOKUP('Données projet'!$B$10,Paramètres!$A$1:$I$89,3,0)*0.475*44/12</f>
        <v>15.186205330341592</v>
      </c>
      <c r="AW61" s="21">
        <f>EXP(-LN(2)/2)*AW60+(1-EXP(-LN(2)/2))/(LN(2)/2)*AQ61*AT61*VLOOKUP('Données projet'!$B$10,Paramètres!$A$1:$I$89,3,0)*0.475*44/12</f>
        <v>0.62371170420438893</v>
      </c>
      <c r="AX61" s="21">
        <f t="shared" si="6"/>
        <v>46.561042767166505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13.18</v>
      </c>
      <c r="BD61" s="12">
        <f>IF('Données projet'!$A$88&gt;35,BD60+BC61-BL60,IF(A61&lt;'Données projet'!$A$88,$BA$205^A61,IF(A61='Données projet'!$A$88,'Données projet'!$B$88,BD60+BC61-BL60)))</f>
        <v>411.38000000000011</v>
      </c>
      <c r="BE61" s="13">
        <f>BD61*VLOOKUP('Données projet'!$B$11,Paramètres!$A$1:$I$89,3,0)*VLOOKUP('Données projet'!$B$11,Paramètres!$A$1:$I$89,5,0)</f>
        <v>246.0052400000001</v>
      </c>
      <c r="BF61" s="13">
        <f t="shared" si="37"/>
        <v>59.729722829762714</v>
      </c>
      <c r="BG61" s="20">
        <f t="shared" si="7"/>
        <v>532.48839359517024</v>
      </c>
      <c r="BH61" s="59">
        <f t="shared" si="8"/>
        <v>825.82172692850349</v>
      </c>
      <c r="BI61" s="59">
        <f ca="1">AVERAGE(OFFSET($BH$3,0,0,'Données projet'!$E$11+1,1))-AVERAGE(OFFSET($H$3,0,0,'Données projet'!$E$11+1,1))</f>
        <v>302.00825291248458</v>
      </c>
      <c r="BJ61" s="59">
        <f t="shared" si="38"/>
        <v>307.35115839449355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46.933475501651934</v>
      </c>
      <c r="BQ61" s="21">
        <f>EXP(-LN(2)/25)*BQ60+(1-EXP(-LN(2)/25))/(LN(2)/25)*Calculateur!BL61*Calculateur!BN61*VLOOKUP('Données projet'!$B$11,Paramètres!$A$1:$I$89,3,0)*0.475*44/12</f>
        <v>18.297847435616866</v>
      </c>
      <c r="BR61" s="21">
        <f>EXP(-LN(2)/2)*BR60+(1-EXP(-LN(2)/2))/(LN(2)/2)*BL61*BO61*VLOOKUP('Données projet'!$B$11,Paramètres!$A$1:$I$89,3,0)*0.475*44/12</f>
        <v>1.3697765188256581</v>
      </c>
      <c r="BS61" s="22">
        <f t="shared" si="9"/>
        <v>66.60109945609446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12.999000000000001</v>
      </c>
      <c r="BY61" s="12">
        <f>IF('Données projet'!$A$114&gt;35,BY60+BX61-CG60,IF(A61&lt;'Données projet'!$A$114,$BV$205^A61,IF(A61='Données projet'!$A$114,'Données projet'!$B$114,BY60+BX61-CG60)))</f>
        <v>313.37299999999982</v>
      </c>
      <c r="BZ61" s="13">
        <f>BY61*VLOOKUP('Données projet'!$B$12,Paramètres!$A$1:$I$89,3,0)*VLOOKUP('Données projet'!$B$12,Paramètres!$A$1:$I$89,5,0)</f>
        <v>146.6585639999999</v>
      </c>
      <c r="CA61" s="13">
        <f t="shared" si="39"/>
        <v>37.81823955666578</v>
      </c>
      <c r="CB61" s="20">
        <f t="shared" si="10"/>
        <v>321.29709952785942</v>
      </c>
      <c r="CC61" s="59">
        <f t="shared" si="11"/>
        <v>614.63043286119273</v>
      </c>
      <c r="CD61" s="59">
        <f ca="1">AVERAGE(OFFSET($CC$3,0,0,'Données projet'!$E$12+1,1))-AVERAGE(OFFSET($H$3,0,0,'Données projet'!$E$12+1,1))</f>
        <v>337.10499990421835</v>
      </c>
      <c r="CE61" s="59">
        <f t="shared" si="40"/>
        <v>277.4254079562175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12.928414630199494</v>
      </c>
      <c r="CL61" s="21">
        <f>EXP(-LN(2)/25)*CL60+(1-EXP(-LN(2)/25))/(LN(2)/25)*Calculateur!CG61*Calculateur!CI61*VLOOKUP('Données projet'!$B$12,Paramètres!$A$1:$I$89,3,0)*0.475*44/12</f>
        <v>18.030643623354365</v>
      </c>
      <c r="CM61" s="21">
        <f>EXP(-LN(2)/2)*CM60+(1-EXP(-LN(2)/2))/(LN(2)/2)*CG61*CJ61*VLOOKUP('Données projet'!$B$12,Paramètres!$A$1:$I$89,3,0)*0.475*44/12</f>
        <v>3.0962382219071887</v>
      </c>
      <c r="CN61" s="22">
        <f t="shared" si="12"/>
        <v>34.055296475461049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3.3603333333333336</v>
      </c>
      <c r="CT61" s="12">
        <f>IF('Données projet'!$A$140&gt;35,CT60+CS61-DB60,IF(A61&lt;'Données projet'!$A$140,$CQ$205^A61,IF(A61='Données projet'!$A$140,'Données projet'!$B$140,CT60+CS61-DB60)))</f>
        <v>194.89933333333323</v>
      </c>
      <c r="CU61" s="17">
        <f>CT61*VLOOKUP('Données projet'!$B$13,Paramètres!$A$1:$I$89,3,0)*VLOOKUP('Données projet'!$B$13,Paramètres!$A$1:$I$89,5,0)</f>
        <v>194.58749439999991</v>
      </c>
      <c r="CV61" s="13">
        <f t="shared" si="41"/>
        <v>48.552770155222021</v>
      </c>
      <c r="CW61" s="20">
        <f t="shared" si="13"/>
        <v>423.46929410034483</v>
      </c>
      <c r="CX61" s="59">
        <f t="shared" si="14"/>
        <v>716.80262743367814</v>
      </c>
      <c r="CY61" s="59">
        <f ca="1">AVERAGE(OFFSET($CX$3,0,0,'Données projet'!$E$13+1,1))-AVERAGE(OFFSET($H$3,0,0,'Données projet'!$E$13+1,1))</f>
        <v>525.74725170626471</v>
      </c>
      <c r="CZ61" s="59">
        <f t="shared" si="42"/>
        <v>259.19103598192197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9.1524999999999999</v>
      </c>
      <c r="DO61" s="12">
        <f>IF('Données projet'!$A$166&gt;35,DO60+DN61-DW60,IF(A61&lt;'Données projet'!$A$166,$DL$205^A61,IF(A61='Données projet'!$A$166,'Données projet'!$B$166,DO60+DN61-DW60)))</f>
        <v>208.14750000000029</v>
      </c>
      <c r="DP61" s="17">
        <f>DO61*VLOOKUP('Données projet'!$B$14,Paramètres!$A$1:$I$89,3,0)*VLOOKUP('Données projet'!$B$14,Paramètres!$A$1:$I$89,5,0)</f>
        <v>188.33185800000024</v>
      </c>
      <c r="DQ61" s="13">
        <f t="shared" si="43"/>
        <v>47.170961271026052</v>
      </c>
      <c r="DR61" s="20">
        <f t="shared" si="16"/>
        <v>410.16741023037071</v>
      </c>
      <c r="DS61" s="59">
        <f t="shared" si="17"/>
        <v>703.50074356370396</v>
      </c>
      <c r="DT61" s="59">
        <f ca="1">AVERAGE(OFFSET($DS$3,0,0,'Données projet'!$E$14+1,1))-AVERAGE(OFFSET($H$3,0,0,'Données projet'!$E$14+1,1))</f>
        <v>490.06222615476065</v>
      </c>
      <c r="DU61" s="59">
        <f t="shared" si="44"/>
        <v>310.43914804089906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31.591887353693007</v>
      </c>
      <c r="EC61" s="21">
        <f>EXP(-LN(2)/2)*EC60+(1-EXP(-LN(2)/2))/(LN(2)/2)*DW61*DZ61*VLOOKUP('Données projet'!$B$14,Paramètres!$A$1:$I$89,3,0)*0.475*44/12</f>
        <v>0.83829589599941168</v>
      </c>
      <c r="ED61" s="22">
        <f t="shared" si="18"/>
        <v>32.430183249692419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3.3603333333333336</v>
      </c>
      <c r="EJ61" s="12">
        <f>IF('Données projet'!$A$192&gt;35,EJ60+EI61-ER60,IF(A61&lt;'Données projet'!$A$192,$EG$205^A61,IF(A61='Données projet'!$A$192,'Données projet'!$B$192,EJ60+EI61-ER60)))</f>
        <v>194.89933333333323</v>
      </c>
      <c r="EK61" s="17">
        <f>EJ61*VLOOKUP('Données projet'!$B$15,Paramètres!$A$1:$I$89,3,0)*VLOOKUP('Données projet'!$B$15,Paramètres!$A$1:$I$89,5,0)</f>
        <v>197.62792399999992</v>
      </c>
      <c r="EL61" s="13">
        <f t="shared" si="45"/>
        <v>49.222495770753348</v>
      </c>
      <c r="EM61" s="20">
        <f t="shared" si="19"/>
        <v>429.93114776739526</v>
      </c>
      <c r="EN61" s="59">
        <f t="shared" si="20"/>
        <v>723.26448110072852</v>
      </c>
      <c r="EO61" s="59">
        <f ca="1">AVERAGE(OFFSET($EN$3,0,0,'Données projet'!$E$15+1,1))-AVERAGE(OFFSET($H$3,0,0,'Données projet'!$E$15+1,1))</f>
        <v>533.26035274112917</v>
      </c>
      <c r="EP61" s="59">
        <f t="shared" si="46"/>
        <v>262.58149402282521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3.2051282051282071</v>
      </c>
      <c r="FE61" s="12">
        <f>IF('Données projet'!$A$218&gt;35,FE60+FD61-FM60,IF(A61&lt;'Données projet'!$A$218,$FB$205^A61,IF(A61='Données projet'!$A$218,'Données projet'!$B$218,FE60+FD61-FM60)))</f>
        <v>114.74358974358968</v>
      </c>
      <c r="FF61" s="17">
        <f>FE61*VLOOKUP('Données projet'!$B$16,Paramètres!$A$1:$I$89,3,0)*VLOOKUP('Données projet'!$B$16,Paramètres!$A$1:$I$89,5,0)</f>
        <v>119.92999999999995</v>
      </c>
      <c r="FG61" s="13">
        <f t="shared" si="47"/>
        <v>31.65867238925356</v>
      </c>
      <c r="FH61" s="20">
        <f t="shared" si="22"/>
        <v>264.01693774461648</v>
      </c>
      <c r="FI61" s="59">
        <f t="shared" si="23"/>
        <v>557.35027107794986</v>
      </c>
      <c r="FJ61" s="59">
        <f ca="1">AVERAGE(OFFSET($FI$3,0,0,'Données projet'!$E$16+1,1))-AVERAGE(OFFSET($H$3,0,0,'Données projet'!$E$16+1,1))</f>
        <v>239.26156489359892</v>
      </c>
      <c r="FK61" s="59">
        <f t="shared" si="48"/>
        <v>213.97034450798111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14.743131714034321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14.743131714034321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>
        <f>VLOOKUP(A62,'Données projet'!$A$35:$I$55,2,0)</f>
        <v>202.85</v>
      </c>
      <c r="L62" s="12">
        <f>VLOOKUP(A62,'Données projet'!$A$35:$I$55,9,0)</f>
        <v>9.8828571428571443</v>
      </c>
      <c r="M62" s="12">
        <f t="array" ref="M62">INDEX(L:L,MIN(IF(ISNUMBER(L62:L258),ROW(L62:L258),"")))</f>
        <v>9.8828571428571443</v>
      </c>
      <c r="N62" s="13">
        <f>IF('Données projet'!$A$36&gt;35,N61+M62-V61,IF(A62&lt;'Données projet'!$A$36,$K$205^A62,IF(A62='Données projet'!$A$36,'Données projet'!$B$36,N61+M62-V61)))</f>
        <v>202.85</v>
      </c>
      <c r="O62" s="13">
        <f>N62*VLOOKUP('Données projet'!$B$9,Paramètres!$A$1:$I$89,3,0)*VLOOKUP('Données projet'!$B$9,Paramètres!$A$1:$I$89,5,0)</f>
        <v>193.03206</v>
      </c>
      <c r="P62" s="13">
        <f t="shared" si="33"/>
        <v>48.20967933854056</v>
      </c>
      <c r="Q62" s="20">
        <f t="shared" si="53"/>
        <v>420.16269601462477</v>
      </c>
      <c r="R62" s="59">
        <f t="shared" si="0"/>
        <v>713.49602934795803</v>
      </c>
      <c r="S62" s="59">
        <f ca="1">AVERAGE(OFFSET($R$3,0,0,'Données projet'!$E$9+1,1))-AVERAGE(OFFSET($H$3,0,0,'Données projet'!$E$9+1,1))</f>
        <v>449.28947235329758</v>
      </c>
      <c r="T62" s="59">
        <f t="shared" si="34"/>
        <v>289.36994109443964</v>
      </c>
      <c r="U62" s="15">
        <f>IF(ISNA(VLOOKUP(A62,'Données projet'!$A$35:$I$55,3,0)),0,VLOOKUP(A62,'Données projet'!$A$35:$I$55,3,0))</f>
        <v>4</v>
      </c>
      <c r="V62" s="15">
        <f>IF(ISNA(VLOOKUP(A62,'Données projet'!$A$35:$I$55,4,0)),0,VLOOKUP(A62,'Données projet'!$A$35:$I$55,4,0))</f>
        <v>41.81</v>
      </c>
      <c r="W62" s="16">
        <f>IF(ISNA(VLOOKUP(A62,'Données projet'!$A$35:$I$55,5,0)),0%,VLOOKUP(A62,'Données projet'!$A$35:$I$55,5,0)*VLOOKUP('Données projet'!$B$9,Paramètres!$A$1:$I$89,7,0))</f>
        <v>0.15049999999999999</v>
      </c>
      <c r="X62" s="16">
        <f>IF(ISNA(VLOOKUP(A62,'Données projet'!$A$35:$I$55,6,0)),0%,VLOOKUP(A62,'Données projet'!$A$35:$I$55,6,0)*VLOOKUP('Données projet'!$B$9,Paramètres!$A$1:$I$89,7,0))</f>
        <v>8.6000000000000007E-2</v>
      </c>
      <c r="Y62" s="16">
        <f>IF(ISNA(VLOOKUP(A62,'Données projet'!$A$35:$I$55,7,0)),0%,VLOOKUP(A62,'Données projet'!$A$35:$I$55,7,0))</f>
        <v>0.1</v>
      </c>
      <c r="Z62" s="21">
        <f>EXP(-LN(2)/35)*Z61+(1-EXP(-LN(2)/35))/(LN(2)/35)*V62*W62*VLOOKUP('Données projet'!$B$9,Paramètres!$A$1:$I$89,3,0)*0.475*44/12</f>
        <v>12.738880657943398</v>
      </c>
      <c r="AA62" s="21">
        <f>EXP(-LN(2)/25)*AA61+(1-EXP(-LN(2)/25))/(LN(2)/25)*Calculateur!V62*Calculateur!X62*VLOOKUP('Données projet'!$B$9,Paramètres!$A$1:$I$89,3,0)*0.475*44/12</f>
        <v>31.667414432533132</v>
      </c>
      <c r="AB62" s="21">
        <f>EXP(-LN(2)/2)*AB61+(1-EXP(-LN(2)/2))/(LN(2)/2)*V62*Y62*VLOOKUP('Données projet'!$B$9,Paramètres!$A$1:$I$89,3,0)*0.475*44/12</f>
        <v>4.1736755336922924</v>
      </c>
      <c r="AC62" s="22">
        <f t="shared" si="3"/>
        <v>48.579970624168823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14.113999999999999</v>
      </c>
      <c r="AI62" s="13">
        <f>IF('Données projet'!$A$62&gt;35,AI61+AH62-AQ61,IF(A62&lt;'Données projet'!$A$62,$AF$205^A62,IF(A62='Données projet'!$A$62,'Données projet'!$B$62,AI61+AH62-AQ61)))</f>
        <v>426.82599999999985</v>
      </c>
      <c r="AJ62" s="13">
        <f>AI62*VLOOKUP('Données projet'!$B$10,Paramètres!$A$1:$I$89,3,0)*VLOOKUP('Données projet'!$B$10,Paramètres!$A$1:$I$89,5,0)</f>
        <v>255.24194799999992</v>
      </c>
      <c r="AK62" s="13">
        <f t="shared" si="35"/>
        <v>61.707065896857912</v>
      </c>
      <c r="AL62" s="20">
        <f t="shared" si="4"/>
        <v>552.01953253702732</v>
      </c>
      <c r="AM62" s="59">
        <f t="shared" si="5"/>
        <v>845.35286587036057</v>
      </c>
      <c r="AN62" s="59">
        <f ca="1">AVERAGE(OFFSET($AM$3,0,0,'Données projet'!$E$10+1,1))-AVERAGE(OFFSET($H$3,0,0,'Données projet'!$E$10+1,1))</f>
        <v>349.71285006949597</v>
      </c>
      <c r="AO62" s="59">
        <f t="shared" si="36"/>
        <v>258.51550516456842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30.148114913338496</v>
      </c>
      <c r="AV62" s="21">
        <f>EXP(-LN(2)/25)*AV61+(1-EXP(-LN(2)/25))/(LN(2)/25)*Calculateur!AQ62*Calculateur!AS62*VLOOKUP('Données projet'!$B$10,Paramètres!$A$1:$I$89,3,0)*0.475*44/12</f>
        <v>14.770937746975571</v>
      </c>
      <c r="AW62" s="21">
        <f>EXP(-LN(2)/2)*AW61+(1-EXP(-LN(2)/2))/(LN(2)/2)*AQ62*AT62*VLOOKUP('Données projet'!$B$10,Paramètres!$A$1:$I$89,3,0)*0.475*44/12</f>
        <v>0.44103077554834152</v>
      </c>
      <c r="AX62" s="21">
        <f t="shared" si="6"/>
        <v>45.360083435862407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13.18</v>
      </c>
      <c r="BD62" s="12">
        <f>IF('Données projet'!$A$88&gt;35,BD61+BC62-BL61,IF(A62&lt;'Données projet'!$A$88,$BA$205^A62,IF(A62='Données projet'!$A$88,'Données projet'!$B$88,BD61+BC62-BL61)))</f>
        <v>424.56000000000012</v>
      </c>
      <c r="BE62" s="13">
        <f>BD62*VLOOKUP('Données projet'!$B$11,Paramètres!$A$1:$I$89,3,0)*VLOOKUP('Données projet'!$B$11,Paramètres!$A$1:$I$89,5,0)</f>
        <v>253.8868800000001</v>
      </c>
      <c r="BF62" s="13">
        <f t="shared" si="37"/>
        <v>61.417508891277024</v>
      </c>
      <c r="BG62" s="20">
        <f t="shared" si="7"/>
        <v>549.15514398564108</v>
      </c>
      <c r="BH62" s="59">
        <f t="shared" si="8"/>
        <v>842.48847731897445</v>
      </c>
      <c r="BI62" s="59">
        <f ca="1">AVERAGE(OFFSET($BH$3,0,0,'Données projet'!$E$11+1,1))-AVERAGE(OFFSET($H$3,0,0,'Données projet'!$E$11+1,1))</f>
        <v>302.00825291248458</v>
      </c>
      <c r="BJ62" s="59">
        <f t="shared" si="38"/>
        <v>307.35115839449355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46.013138673657956</v>
      </c>
      <c r="BQ62" s="21">
        <f>EXP(-LN(2)/25)*BQ61+(1-EXP(-LN(2)/25))/(LN(2)/25)*Calculateur!BL62*Calculateur!BN62*VLOOKUP('Données projet'!$B$11,Paramètres!$A$1:$I$89,3,0)*0.475*44/12</f>
        <v>17.797491835247946</v>
      </c>
      <c r="BR62" s="21">
        <f>EXP(-LN(2)/2)*BR61+(1-EXP(-LN(2)/2))/(LN(2)/2)*BL62*BO62*VLOOKUP('Données projet'!$B$11,Paramètres!$A$1:$I$89,3,0)*0.475*44/12</f>
        <v>0.96857826517172552</v>
      </c>
      <c r="BS62" s="22">
        <f t="shared" si="9"/>
        <v>64.779208774077631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12.999000000000001</v>
      </c>
      <c r="BY62" s="12">
        <f>IF('Données projet'!$A$114&gt;35,BY61+BX62-CG61,IF(A62&lt;'Données projet'!$A$114,$BV$205^A62,IF(A62='Données projet'!$A$114,'Données projet'!$B$114,BY61+BX62-CG61)))</f>
        <v>326.37199999999984</v>
      </c>
      <c r="BZ62" s="13">
        <f>BY62*VLOOKUP('Données projet'!$B$12,Paramètres!$A$1:$I$89,3,0)*VLOOKUP('Données projet'!$B$12,Paramètres!$A$1:$I$89,5,0)</f>
        <v>152.74209599999995</v>
      </c>
      <c r="CA62" s="13">
        <f t="shared" si="39"/>
        <v>39.201078252346029</v>
      </c>
      <c r="CB62" s="20">
        <f t="shared" si="10"/>
        <v>334.30102848950258</v>
      </c>
      <c r="CC62" s="59">
        <f t="shared" si="11"/>
        <v>627.6343618228359</v>
      </c>
      <c r="CD62" s="59">
        <f ca="1">AVERAGE(OFFSET($CC$3,0,0,'Données projet'!$E$12+1,1))-AVERAGE(OFFSET($H$3,0,0,'Données projet'!$E$12+1,1))</f>
        <v>337.10499990421835</v>
      </c>
      <c r="CE62" s="59">
        <f t="shared" si="40"/>
        <v>277.4254079562175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12.674896304855572</v>
      </c>
      <c r="CL62" s="21">
        <f>EXP(-LN(2)/25)*CL61+(1-EXP(-LN(2)/25))/(LN(2)/25)*Calculateur!CG62*Calculateur!CI62*VLOOKUP('Données projet'!$B$12,Paramètres!$A$1:$I$89,3,0)*0.475*44/12</f>
        <v>17.537594725283402</v>
      </c>
      <c r="CM62" s="21">
        <f>EXP(-LN(2)/2)*CM61+(1-EXP(-LN(2)/2))/(LN(2)/2)*CG62*CJ62*VLOOKUP('Données projet'!$B$12,Paramètres!$A$1:$I$89,3,0)*0.475*44/12</f>
        <v>2.1893710428795514</v>
      </c>
      <c r="CN62" s="22">
        <f t="shared" si="12"/>
        <v>32.401862073018528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3.3603333333333336</v>
      </c>
      <c r="CT62" s="12">
        <f>IF('Données projet'!$A$140&gt;35,CT61+CS62-DB61,IF(A62&lt;'Données projet'!$A$140,$CQ$205^A62,IF(A62='Données projet'!$A$140,'Données projet'!$B$140,CT61+CS62-DB61)))</f>
        <v>198.25966666666656</v>
      </c>
      <c r="CU62" s="17">
        <f>CT62*VLOOKUP('Données projet'!$B$13,Paramètres!$A$1:$I$89,3,0)*VLOOKUP('Données projet'!$B$13,Paramètres!$A$1:$I$89,5,0)</f>
        <v>197.94245119999991</v>
      </c>
      <c r="CV62" s="13">
        <f t="shared" si="41"/>
        <v>49.291708987302144</v>
      </c>
      <c r="CW62" s="20">
        <f t="shared" si="13"/>
        <v>430.599495659551</v>
      </c>
      <c r="CX62" s="59">
        <f t="shared" si="14"/>
        <v>723.93282899288431</v>
      </c>
      <c r="CY62" s="59">
        <f ca="1">AVERAGE(OFFSET($CX$3,0,0,'Données projet'!$E$13+1,1))-AVERAGE(OFFSET($H$3,0,0,'Données projet'!$E$13+1,1))</f>
        <v>525.74725170626471</v>
      </c>
      <c r="CZ62" s="59">
        <f t="shared" si="42"/>
        <v>259.19103598192197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>
        <f>VLOOKUP(A62,'Données projet'!$A$165:$I$185,2,0)</f>
        <v>217.3</v>
      </c>
      <c r="DM62" s="12">
        <f>VLOOKUP(A62,'Données projet'!$A$165:$I$185,9,0)</f>
        <v>9.1524999999999999</v>
      </c>
      <c r="DN62" s="12">
        <f t="array" ref="DN62">INDEX(DM:DM,MIN(IF(ISNUMBER(DM62:DM258),ROW(DM62:DM258),"")))</f>
        <v>9.1524999999999999</v>
      </c>
      <c r="DO62" s="12">
        <f>IF('Données projet'!$A$166&gt;35,DO61+DN62-DW61,IF(A62&lt;'Données projet'!$A$166,$DL$205^A62,IF(A62='Données projet'!$A$166,'Données projet'!$B$166,DO61+DN62-DW61)))</f>
        <v>217.3000000000003</v>
      </c>
      <c r="DP62" s="17">
        <f>DO62*VLOOKUP('Données projet'!$B$14,Paramètres!$A$1:$I$89,3,0)*VLOOKUP('Données projet'!$B$14,Paramètres!$A$1:$I$89,5,0)</f>
        <v>196.61304000000027</v>
      </c>
      <c r="DQ62" s="13">
        <f t="shared" si="43"/>
        <v>48.999078128589694</v>
      </c>
      <c r="DR62" s="20">
        <f t="shared" si="16"/>
        <v>427.77443907396082</v>
      </c>
      <c r="DS62" s="59">
        <f t="shared" si="17"/>
        <v>721.10777240729408</v>
      </c>
      <c r="DT62" s="59">
        <f ca="1">AVERAGE(OFFSET($DS$3,0,0,'Données projet'!$E$14+1,1))-AVERAGE(OFFSET($H$3,0,0,'Données projet'!$E$14+1,1))</f>
        <v>490.06222615476065</v>
      </c>
      <c r="DU62" s="59">
        <f t="shared" si="44"/>
        <v>310.43914804089906</v>
      </c>
      <c r="DV62" s="15">
        <f>IF(ISNA(VLOOKUP(A62,'Données projet'!$A$165:$I$185,3,0)),0,VLOOKUP(A62,'Données projet'!$A$165:$I$185,3,0))</f>
        <v>3</v>
      </c>
      <c r="DW62" s="15">
        <f>IF(ISNA(VLOOKUP(A62,'Données projet'!$A$165:$I$185,4,0)),0,VLOOKUP(A62,'Données projet'!$A$165:$I$185,4,0))</f>
        <v>52.75</v>
      </c>
      <c r="DX62" s="16">
        <f>IF(ISNA(VLOOKUP(A62,'Données projet'!$A$165:$I$185,5,0)),0%,VLOOKUP(A62,'Données projet'!$A$165:$I$185,5,0)*VLOOKUP('Données projet'!$B$14,Paramètres!$A$1:$I$89,7,0))</f>
        <v>0.15049999999999999</v>
      </c>
      <c r="DY62" s="16">
        <f>IF(ISNA(VLOOKUP(A62,'Données projet'!$A$165:$I$185,6,0)),0%,VLOOKUP(A62,'Données projet'!$A$165:$I$185,6,0)*VLOOKUP('Données projet'!$B$14,Paramètres!$A$1:$I$89,7,0))</f>
        <v>8.6000000000000007E-2</v>
      </c>
      <c r="DZ62" s="16">
        <f>IF(ISNA(VLOOKUP(A62,'Données projet'!$A$165:$I$185,7,0)),0%,VLOOKUP(A62,'Données projet'!$A$165:$I$185,7,0))</f>
        <v>0.1</v>
      </c>
      <c r="EA62" s="21">
        <f>EXP(-LN(2)/35)*EA61+(1-EXP(-LN(2)/35))/(LN(2)/35)*DW62*DX62*VLOOKUP('Données projet'!$B$14,Paramètres!$A$1:$I$89,3,0)*0.475*44/12</f>
        <v>7.9406977609478941</v>
      </c>
      <c r="EB62" s="21">
        <f>EXP(-LN(2)/25)*EB61+(1-EXP(-LN(2)/25))/(LN(2)/25)*Calculateur!DW62*Calculateur!DY62*VLOOKUP('Données projet'!$B$14,Paramètres!$A$1:$I$89,3,0)*0.475*44/12</f>
        <v>35.247681080215401</v>
      </c>
      <c r="EC62" s="21">
        <f>EXP(-LN(2)/2)*EC61+(1-EXP(-LN(2)/2))/(LN(2)/2)*DW62*DZ62*VLOOKUP('Données projet'!$B$14,Paramètres!$A$1:$I$89,3,0)*0.475*44/12</f>
        <v>5.0960488412689262</v>
      </c>
      <c r="ED62" s="22">
        <f t="shared" si="18"/>
        <v>48.284427682432216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3.3603333333333336</v>
      </c>
      <c r="EJ62" s="12">
        <f>IF('Données projet'!$A$192&gt;35,EJ61+EI62-ER61,IF(A62&lt;'Données projet'!$A$192,$EG$205^A62,IF(A62='Données projet'!$A$192,'Données projet'!$B$192,EJ61+EI62-ER61)))</f>
        <v>198.25966666666656</v>
      </c>
      <c r="EK62" s="17">
        <f>EJ62*VLOOKUP('Données projet'!$B$15,Paramètres!$A$1:$I$89,3,0)*VLOOKUP('Données projet'!$B$15,Paramètres!$A$1:$I$89,5,0)</f>
        <v>201.03530199999992</v>
      </c>
      <c r="EL62" s="13">
        <f t="shared" si="45"/>
        <v>49.971627353166163</v>
      </c>
      <c r="EM62" s="20">
        <f t="shared" si="19"/>
        <v>437.17040195676424</v>
      </c>
      <c r="EN62" s="59">
        <f t="shared" si="20"/>
        <v>730.50373529009755</v>
      </c>
      <c r="EO62" s="59">
        <f ca="1">AVERAGE(OFFSET($EN$3,0,0,'Données projet'!$E$15+1,1))-AVERAGE(OFFSET($H$3,0,0,'Données projet'!$E$15+1,1))</f>
        <v>533.26035274112917</v>
      </c>
      <c r="EP62" s="59">
        <f t="shared" si="46"/>
        <v>262.58149402282521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3.2051282051282071</v>
      </c>
      <c r="FE62" s="12">
        <f>IF('Données projet'!$A$218&gt;35,FE61+FD62-FM61,IF(A62&lt;'Données projet'!$A$218,$FB$205^A62,IF(A62='Données projet'!$A$218,'Données projet'!$B$218,FE61+FD62-FM61)))</f>
        <v>117.94871794871788</v>
      </c>
      <c r="FF62" s="17">
        <f>FE62*VLOOKUP('Données projet'!$B$16,Paramètres!$A$1:$I$89,3,0)*VLOOKUP('Données projet'!$B$16,Paramètres!$A$1:$I$89,5,0)</f>
        <v>123.27999999999996</v>
      </c>
      <c r="FG62" s="13">
        <f t="shared" si="47"/>
        <v>32.438800661224256</v>
      </c>
      <c r="FH62" s="20">
        <f t="shared" si="22"/>
        <v>271.21024448496547</v>
      </c>
      <c r="FI62" s="59">
        <f t="shared" si="23"/>
        <v>564.54357781829879</v>
      </c>
      <c r="FJ62" s="59">
        <f ca="1">AVERAGE(OFFSET($FI$3,0,0,'Données projet'!$E$16+1,1))-AVERAGE(OFFSET($H$3,0,0,'Données projet'!$E$16+1,1))</f>
        <v>239.26156489359892</v>
      </c>
      <c r="FK62" s="59">
        <f t="shared" si="48"/>
        <v>213.97034450798111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14.339980002006453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14.339980002006453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9.7525000000000013</v>
      </c>
      <c r="N63" s="13">
        <f>IF('Données projet'!$A$36&gt;35,N62+M63-V62,IF(A63&lt;'Données projet'!$A$36,$K$205^A63,IF(A63='Données projet'!$A$36,'Données projet'!$B$36,N62+M63-V62)))</f>
        <v>170.79249999999999</v>
      </c>
      <c r="O63" s="13">
        <f>N63*VLOOKUP('Données projet'!$B$9,Paramètres!$A$1:$I$89,3,0)*VLOOKUP('Données projet'!$B$9,Paramètres!$A$1:$I$89,5,0)</f>
        <v>162.52614299999999</v>
      </c>
      <c r="P63" s="13">
        <f t="shared" si="33"/>
        <v>41.411773501591178</v>
      </c>
      <c r="Q63" s="20">
        <f t="shared" si="53"/>
        <v>355.19187124027127</v>
      </c>
      <c r="R63" s="59">
        <f t="shared" si="0"/>
        <v>648.52520457360458</v>
      </c>
      <c r="S63" s="59">
        <f ca="1">AVERAGE(OFFSET($R$3,0,0,'Données projet'!$E$9+1,1))-AVERAGE(OFFSET($H$3,0,0,'Données projet'!$E$9+1,1))</f>
        <v>449.28947235329758</v>
      </c>
      <c r="T63" s="59">
        <f t="shared" si="34"/>
        <v>289.36994109443964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12.48907897819111</v>
      </c>
      <c r="AA63" s="21">
        <f>EXP(-LN(2)/25)*AA62+(1-EXP(-LN(2)/25))/(LN(2)/25)*Calculateur!V63*Calculateur!X63*VLOOKUP('Données projet'!$B$9,Paramètres!$A$1:$I$89,3,0)*0.475*44/12</f>
        <v>30.801467319558565</v>
      </c>
      <c r="AB63" s="21">
        <f>EXP(-LN(2)/2)*AB62+(1-EXP(-LN(2)/2))/(LN(2)/2)*V63*Y63*VLOOKUP('Données projet'!$B$9,Paramètres!$A$1:$I$89,3,0)*0.475*44/12</f>
        <v>2.9512342723462028</v>
      </c>
      <c r="AC63" s="22">
        <f t="shared" si="3"/>
        <v>46.241780570095877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440.94</v>
      </c>
      <c r="AG63" s="12">
        <f>VLOOKUP(A63,'Données projet'!$A$61:$I$81,9,0)</f>
        <v>14.113999999999999</v>
      </c>
      <c r="AH63" s="12">
        <f t="array" ref="AH63">INDEX(AG:AG,MIN(IF(ISNUMBER(AG63:AG259),ROW(AG63:AG259),"")))</f>
        <v>14.113999999999999</v>
      </c>
      <c r="AI63" s="13">
        <f>IF('Données projet'!$A$62&gt;35,AI62+AH63-AQ62,IF(A63&lt;'Données projet'!$A$62,$AF$205^A63,IF(A63='Données projet'!$A$62,'Données projet'!$B$62,AI62+AH63-AQ62)))</f>
        <v>440.93999999999983</v>
      </c>
      <c r="AJ63" s="13">
        <f>AI63*VLOOKUP('Données projet'!$B$10,Paramètres!$A$1:$I$89,3,0)*VLOOKUP('Données projet'!$B$10,Paramètres!$A$1:$I$89,5,0)</f>
        <v>263.68211999999988</v>
      </c>
      <c r="AK63" s="13">
        <f t="shared" si="35"/>
        <v>63.506613606650006</v>
      </c>
      <c r="AL63" s="20">
        <f t="shared" si="4"/>
        <v>569.85371103158184</v>
      </c>
      <c r="AM63" s="59">
        <f t="shared" si="5"/>
        <v>863.18704436491521</v>
      </c>
      <c r="AN63" s="59">
        <f ca="1">AVERAGE(OFFSET($AM$3,0,0,'Données projet'!$E$10+1,1))-AVERAGE(OFFSET($H$3,0,0,'Données projet'!$E$10+1,1))</f>
        <v>349.71285006949597</v>
      </c>
      <c r="AO63" s="59">
        <f t="shared" si="36"/>
        <v>258.51550516456842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69.839999999999975</v>
      </c>
      <c r="AR63" s="16">
        <f>IF(ISNA(VLOOKUP(A63,'Données projet'!$A$61:$I$81,5,0)),0%,VLOOKUP(A63,'Données projet'!$A$61:$I$81,5,0)*VLOOKUP('Données projet'!$B$10,Paramètres!$A$1:$I$89,7,0))</f>
        <v>0.27</v>
      </c>
      <c r="AS63" s="16">
        <f>IF(ISNA(VLOOKUP(A63,'Données projet'!$A$61:$I$81,6,0)),0%,VLOOKUP(A63,'Données projet'!$A$61:$I$81,6,0)*VLOOKUP('Données projet'!$B$10,Paramètres!$A$1:$I$89,7,0))</f>
        <v>9.0000000000000011E-2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44.515755621175032</v>
      </c>
      <c r="AV63" s="21">
        <f>EXP(-LN(2)/25)*AV62+(1-EXP(-LN(2)/25))/(LN(2)/25)*Calculateur!AQ63*Calculateur!AS63*VLOOKUP('Données projet'!$B$10,Paramètres!$A$1:$I$89,3,0)*0.475*44/12</f>
        <v>19.333668428072521</v>
      </c>
      <c r="AW63" s="21">
        <f>EXP(-LN(2)/2)*AW62+(1-EXP(-LN(2)/2))/(LN(2)/2)*AQ63*AT63*VLOOKUP('Données projet'!$B$10,Paramètres!$A$1:$I$89,3,0)*0.475*44/12</f>
        <v>9.7692382497482964</v>
      </c>
      <c r="AX63" s="21">
        <f t="shared" si="6"/>
        <v>73.618662298995844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437.74</v>
      </c>
      <c r="BB63" s="12">
        <f>VLOOKUP(A63,'Données projet'!$A$87:$I$107,9,0)</f>
        <v>13.18</v>
      </c>
      <c r="BC63" s="12">
        <f t="array" ref="BC63">INDEX(BB:BB,MIN(IF(ISNUMBER(BB63:BB259),ROW(BB63:BB259),"")))</f>
        <v>13.18</v>
      </c>
      <c r="BD63" s="12">
        <f>IF('Données projet'!$A$88&gt;35,BD62+BC63-BL62,IF(A63&lt;'Données projet'!$A$88,$BA$205^A63,IF(A63='Données projet'!$A$88,'Données projet'!$B$88,BD62+BC63-BL62)))</f>
        <v>437.74000000000012</v>
      </c>
      <c r="BE63" s="13">
        <f>BD63*VLOOKUP('Données projet'!$B$11,Paramètres!$A$1:$I$89,3,0)*VLOOKUP('Données projet'!$B$11,Paramètres!$A$1:$I$89,5,0)</f>
        <v>261.76852000000008</v>
      </c>
      <c r="BF63" s="13">
        <f t="shared" si="37"/>
        <v>63.099206092755566</v>
      </c>
      <c r="BG63" s="20">
        <f t="shared" si="7"/>
        <v>565.81128961154946</v>
      </c>
      <c r="BH63" s="59">
        <f t="shared" si="8"/>
        <v>859.14462294488271</v>
      </c>
      <c r="BI63" s="59">
        <f ca="1">AVERAGE(OFFSET($BH$3,0,0,'Données projet'!$E$11+1,1))-AVERAGE(OFFSET($H$3,0,0,'Données projet'!$E$11+1,1))</f>
        <v>302.00825291248458</v>
      </c>
      <c r="BJ63" s="59">
        <f t="shared" si="38"/>
        <v>307.35115839449355</v>
      </c>
      <c r="BK63" s="15">
        <f>IF(ISNA(VLOOKUP(A63,'Données projet'!$A$87:$I$107,3,0)),0,VLOOKUP(A63,'Données projet'!$A$87:$I$107,3,0))</f>
        <v>7</v>
      </c>
      <c r="BL63" s="15">
        <f>IF(ISNA(VLOOKUP(A63,'Données projet'!$A$87:$I$107,4,0)),0,VLOOKUP(A63,'Données projet'!$A$87:$I$107,4,0))</f>
        <v>437.74</v>
      </c>
      <c r="BM63" s="16">
        <f>IF(ISNA(VLOOKUP(A63,'Données projet'!$A$87:$I$107,5,0)),0%,VLOOKUP(A63,'Données projet'!$A$87:$I$107,5,0)*VLOOKUP('Données projet'!$B$11,Paramètres!$A$1:$I$89,7,0))</f>
        <v>0.27</v>
      </c>
      <c r="BN63" s="16">
        <f>IF(ISNA(VLOOKUP(A63,'Données projet'!$A$87:$I$107,6,0)),0%,VLOOKUP(A63,'Données projet'!$A$87:$I$107,6,0)*VLOOKUP('Données projet'!$B$11,Paramètres!$A$1:$I$89,7,0))</f>
        <v>9.0000000000000011E-2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138.86910891946479</v>
      </c>
      <c r="BQ63" s="21">
        <f>EXP(-LN(2)/25)*BQ62+(1-EXP(-LN(2)/25))/(LN(2)/25)*Calculateur!BL63*Calculateur!BN63*VLOOKUP('Données projet'!$B$11,Paramètres!$A$1:$I$89,3,0)*0.475*44/12</f>
        <v>48.440517763852199</v>
      </c>
      <c r="BR63" s="21">
        <f>EXP(-LN(2)/2)*BR62+(1-EXP(-LN(2)/2))/(LN(2)/2)*BL63*BO63*VLOOKUP('Données projet'!$B$11,Paramètres!$A$1:$I$89,3,0)*0.475*44/12</f>
        <v>59.961442823353359</v>
      </c>
      <c r="BS63" s="22">
        <f t="shared" si="9"/>
        <v>247.27106950667036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12.999000000000001</v>
      </c>
      <c r="BY63" s="12">
        <f>IF('Données projet'!$A$114&gt;35,BY62+BX63-CG62,IF(A63&lt;'Données projet'!$A$114,$BV$205^A63,IF(A63='Données projet'!$A$114,'Données projet'!$B$114,BY62+BX63-CG62)))</f>
        <v>339.37099999999987</v>
      </c>
      <c r="BZ63" s="13">
        <f>BY63*VLOOKUP('Données projet'!$B$12,Paramètres!$A$1:$I$89,3,0)*VLOOKUP('Données projet'!$B$12,Paramètres!$A$1:$I$89,5,0)</f>
        <v>158.82562799999994</v>
      </c>
      <c r="CA63" s="13">
        <f t="shared" si="39"/>
        <v>40.577519061672213</v>
      </c>
      <c r="CB63" s="20">
        <f t="shared" si="10"/>
        <v>347.2938144657457</v>
      </c>
      <c r="CC63" s="59">
        <f t="shared" si="11"/>
        <v>640.62714779907901</v>
      </c>
      <c r="CD63" s="59">
        <f ca="1">AVERAGE(OFFSET($CC$3,0,0,'Données projet'!$E$12+1,1))-AVERAGE(OFFSET($H$3,0,0,'Données projet'!$E$12+1,1))</f>
        <v>337.10499990421835</v>
      </c>
      <c r="CE63" s="59">
        <f t="shared" si="40"/>
        <v>277.4254079562175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12.426349319240735</v>
      </c>
      <c r="CL63" s="21">
        <f>EXP(-LN(2)/25)*CL62+(1-EXP(-LN(2)/25))/(LN(2)/25)*Calculateur!CG63*Calculateur!CI63*VLOOKUP('Données projet'!$B$12,Paramètres!$A$1:$I$89,3,0)*0.475*44/12</f>
        <v>17.058028275258504</v>
      </c>
      <c r="CM63" s="21">
        <f>EXP(-LN(2)/2)*CM62+(1-EXP(-LN(2)/2))/(LN(2)/2)*CG63*CJ63*VLOOKUP('Données projet'!$B$12,Paramètres!$A$1:$I$89,3,0)*0.475*44/12</f>
        <v>1.5481191109535943</v>
      </c>
      <c r="CN63" s="22">
        <f t="shared" si="12"/>
        <v>31.032496705452832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201.62</v>
      </c>
      <c r="CR63" s="12">
        <f>VLOOKUP(A63,'Données projet'!$A$139:$I$159,9,0)</f>
        <v>3.3603333333333336</v>
      </c>
      <c r="CS63" s="12">
        <f t="array" ref="CS63">INDEX(CR:CR,MIN(IF(ISNUMBER(CR63:CR259),ROW(CR63:CR259),"")))</f>
        <v>3.3603333333333336</v>
      </c>
      <c r="CT63" s="12">
        <f>IF('Données projet'!$A$140&gt;35,CT62+CS63-DB62,IF(A63&lt;'Données projet'!$A$140,$CQ$205^A63,IF(A63='Données projet'!$A$140,'Données projet'!$B$140,CT62+CS63-DB62)))</f>
        <v>201.61999999999989</v>
      </c>
      <c r="CU63" s="17">
        <f>CT63*VLOOKUP('Données projet'!$B$13,Paramètres!$A$1:$I$89,3,0)*VLOOKUP('Données projet'!$B$13,Paramètres!$A$1:$I$89,5,0)</f>
        <v>201.2974079999999</v>
      </c>
      <c r="CV63" s="13">
        <f t="shared" si="41"/>
        <v>50.029191344137956</v>
      </c>
      <c r="CW63" s="20">
        <f t="shared" si="13"/>
        <v>437.7271605243734</v>
      </c>
      <c r="CX63" s="59">
        <f t="shared" si="14"/>
        <v>731.06049385770666</v>
      </c>
      <c r="CY63" s="59">
        <f ca="1">AVERAGE(OFFSET($CX$3,0,0,'Données projet'!$E$13+1,1))-AVERAGE(OFFSET($H$3,0,0,'Données projet'!$E$13+1,1))</f>
        <v>525.74725170626471</v>
      </c>
      <c r="CZ63" s="59">
        <f t="shared" si="42"/>
        <v>259.19103598192197</v>
      </c>
      <c r="DA63" s="15">
        <f>IF(ISNA(VLOOKUP(A63,'Données projet'!$A$139:$I$159,3,0)),0,VLOOKUP(A63,'Données projet'!$A$139:$I$159,3,0))</f>
        <v>1</v>
      </c>
      <c r="DB63" s="15">
        <f>IF(ISNA(VLOOKUP(A63,'Données projet'!$A$139:$I$159,4,0)),0,VLOOKUP(A63,'Données projet'!$A$139:$I$159,4,0))</f>
        <v>72.87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0.34400000000000003</v>
      </c>
      <c r="DE63" s="16">
        <f>IF(ISNA(VLOOKUP(A63,'Données projet'!$A$139:$I$159,7,0)),0%,VLOOKUP(A63,'Données projet'!$A$139:$I$159,7,0))</f>
        <v>0.2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27.557862994107463</v>
      </c>
      <c r="DH63" s="21">
        <f>EXP(-LN(2)/2)*DH62+(1-EXP(-LN(2)/2))/(LN(2)/2)*DB63*DE63*VLOOKUP('Données projet'!$B$13,Paramètres!$A$1:$I$89,3,0)*0.475*44/12</f>
        <v>13.728959715453394</v>
      </c>
      <c r="DI63" s="22">
        <f t="shared" si="15"/>
        <v>41.286822709560859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8.5662500000000001</v>
      </c>
      <c r="DO63" s="12">
        <f>IF('Données projet'!$A$166&gt;35,DO62+DN63-DW62,IF(A63&lt;'Données projet'!$A$166,$DL$205^A63,IF(A63='Données projet'!$A$166,'Données projet'!$B$166,DO62+DN63-DW62)))</f>
        <v>173.11625000000029</v>
      </c>
      <c r="DP63" s="17">
        <f>DO63*VLOOKUP('Données projet'!$B$14,Paramètres!$A$1:$I$89,3,0)*VLOOKUP('Données projet'!$B$14,Paramètres!$A$1:$I$89,5,0)</f>
        <v>156.63558300000025</v>
      </c>
      <c r="DQ63" s="13">
        <f t="shared" si="43"/>
        <v>40.082725721977702</v>
      </c>
      <c r="DR63" s="20">
        <f t="shared" si="16"/>
        <v>342.61772102411163</v>
      </c>
      <c r="DS63" s="59">
        <f t="shared" si="17"/>
        <v>635.95105435744495</v>
      </c>
      <c r="DT63" s="59">
        <f ca="1">AVERAGE(OFFSET($DS$3,0,0,'Données projet'!$E$14+1,1))-AVERAGE(OFFSET($H$3,0,0,'Données projet'!$E$14+1,1))</f>
        <v>490.06222615476065</v>
      </c>
      <c r="DU63" s="59">
        <f t="shared" si="44"/>
        <v>310.43914804089906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7.7849855212030992</v>
      </c>
      <c r="EB63" s="21">
        <f>EXP(-LN(2)/25)*EB62+(1-EXP(-LN(2)/25))/(LN(2)/25)*Calculateur!DW63*Calculateur!DY63*VLOOKUP('Données projet'!$B$14,Paramètres!$A$1:$I$89,3,0)*0.475*44/12</f>
        <v>34.283831387481925</v>
      </c>
      <c r="EC63" s="21">
        <f>EXP(-LN(2)/2)*EC62+(1-EXP(-LN(2)/2))/(LN(2)/2)*DW63*DZ63*VLOOKUP('Données projet'!$B$14,Paramètres!$A$1:$I$89,3,0)*0.475*44/12</f>
        <v>3.6034506929191057</v>
      </c>
      <c r="ED63" s="22">
        <f t="shared" si="18"/>
        <v>45.672267601604126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201.62</v>
      </c>
      <c r="EH63" s="12">
        <f>VLOOKUP(A63,'Données projet'!$A$191:$I$211,9,0)</f>
        <v>3.3603333333333336</v>
      </c>
      <c r="EI63" s="12">
        <f t="array" ref="EI63">INDEX(EH:EH,MIN(IF(ISNUMBER(EH63:EH259),ROW(EH63:EH259),"")))</f>
        <v>3.3603333333333336</v>
      </c>
      <c r="EJ63" s="12">
        <f>IF('Données projet'!$A$192&gt;35,EJ62+EI63-ER62,IF(A63&lt;'Données projet'!$A$192,$EG$205^A63,IF(A63='Données projet'!$A$192,'Données projet'!$B$192,EJ62+EI63-ER62)))</f>
        <v>201.61999999999989</v>
      </c>
      <c r="EK63" s="17">
        <f>EJ63*VLOOKUP('Données projet'!$B$15,Paramètres!$A$1:$I$89,3,0)*VLOOKUP('Données projet'!$B$15,Paramètres!$A$1:$I$89,5,0)</f>
        <v>204.44267999999991</v>
      </c>
      <c r="EL63" s="13">
        <f t="shared" si="45"/>
        <v>50.719282370054088</v>
      </c>
      <c r="EM63" s="20">
        <f t="shared" si="19"/>
        <v>444.40708446117736</v>
      </c>
      <c r="EN63" s="59">
        <f t="shared" si="20"/>
        <v>737.74041779451068</v>
      </c>
      <c r="EO63" s="59">
        <f ca="1">AVERAGE(OFFSET($EN$3,0,0,'Données projet'!$E$15+1,1))-AVERAGE(OFFSET($H$3,0,0,'Données projet'!$E$15+1,1))</f>
        <v>533.26035274112917</v>
      </c>
      <c r="EP63" s="59">
        <f t="shared" si="46"/>
        <v>262.58149402282521</v>
      </c>
      <c r="EQ63" s="15">
        <f>IF(ISNA(VLOOKUP(A63,'Données projet'!$A$191:$I$211,3,0)),0,VLOOKUP(A63,'Données projet'!$A$191:$I$211,3,0))</f>
        <v>1</v>
      </c>
      <c r="ER63" s="15">
        <f>IF(ISNA(VLOOKUP(A63,'Données projet'!$A$191:$I$211,4,0)),0,VLOOKUP(A63,'Données projet'!$A$191:$I$211,4,0))</f>
        <v>72.87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0.34400000000000003</v>
      </c>
      <c r="EU63" s="16">
        <f>IF(ISNA(VLOOKUP(A63,'Données projet'!$A$191:$I$211,7,0)),0%,VLOOKUP(A63,'Données projet'!$A$191:$I$211,7,0))</f>
        <v>0.2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27.988454603390398</v>
      </c>
      <c r="EX63" s="21">
        <f>EXP(-LN(2)/2)*EX62+(1-EXP(-LN(2)/2))/(LN(2)/2)*ER63*EU63*VLOOKUP('Données projet'!$B$15,Paramètres!$A$1:$I$89,3,0)*0.475*44/12</f>
        <v>13.943474711007354</v>
      </c>
      <c r="EY63" s="22">
        <f t="shared" si="21"/>
        <v>41.931929314397749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121.15384615384616</v>
      </c>
      <c r="FC63" s="12">
        <f>VLOOKUP(A63,'Données projet'!$A$217:$I$237,9,0)</f>
        <v>3.2051282051282071</v>
      </c>
      <c r="FD63" s="12">
        <f t="array" ref="FD63">INDEX(FC:FC,MIN(IF(ISNUMBER(FC63:FC259),ROW(FC63:FC259),"")))</f>
        <v>3.2051282051282071</v>
      </c>
      <c r="FE63" s="12">
        <f>IF('Données projet'!$A$218&gt;35,FE62+FD63-FM62,IF(A63&lt;'Données projet'!$A$218,$FB$205^A63,IF(A63='Données projet'!$A$218,'Données projet'!$B$218,FE62+FD63-FM62)))</f>
        <v>121.15384615384609</v>
      </c>
      <c r="FF63" s="17">
        <f>FE63*VLOOKUP('Données projet'!$B$16,Paramètres!$A$1:$I$89,3,0)*VLOOKUP('Données projet'!$B$16,Paramètres!$A$1:$I$89,5,0)</f>
        <v>126.62999999999995</v>
      </c>
      <c r="FG63" s="13">
        <f t="shared" si="47"/>
        <v>33.216464931527199</v>
      </c>
      <c r="FH63" s="20">
        <f t="shared" si="22"/>
        <v>278.39925975574312</v>
      </c>
      <c r="FI63" s="59">
        <f t="shared" si="23"/>
        <v>571.73259308907643</v>
      </c>
      <c r="FJ63" s="59">
        <f ca="1">AVERAGE(OFFSET($FI$3,0,0,'Données projet'!$E$16+1,1))-AVERAGE(OFFSET($H$3,0,0,'Données projet'!$E$16+1,1))</f>
        <v>239.26156489359892</v>
      </c>
      <c r="FK63" s="59">
        <f t="shared" si="48"/>
        <v>213.97034450798111</v>
      </c>
      <c r="FL63" s="15">
        <f>IF(ISNA(VLOOKUP(A63,'Données projet'!$A$217:$I$237,3,0)),0,VLOOKUP(A63,'Données projet'!$A$217:$I$237,3,0))</f>
        <v>9</v>
      </c>
      <c r="FM63" s="15">
        <f>IF(ISNA(VLOOKUP(A63,'Données projet'!$A$217:$I$237,4,0)),0,VLOOKUP(A63,'Données projet'!$A$217:$I$237,4,0))</f>
        <v>10.256410256410255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0.215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16.485708619100112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16.485708619100112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9.7525000000000013</v>
      </c>
      <c r="N64" s="13">
        <f>IF('Données projet'!$A$36&gt;35,N63+M64-V63,IF(A64&lt;'Données projet'!$A$36,$K$205^A64,IF(A64='Données projet'!$A$36,'Données projet'!$B$36,N63+M64-V63)))</f>
        <v>180.54499999999999</v>
      </c>
      <c r="O64" s="13">
        <f>N64*VLOOKUP('Données projet'!$B$9,Paramètres!$A$1:$I$89,3,0)*VLOOKUP('Données projet'!$B$9,Paramètres!$A$1:$I$89,5,0)</f>
        <v>171.806622</v>
      </c>
      <c r="P64" s="13">
        <f t="shared" si="33"/>
        <v>43.494397538625861</v>
      </c>
      <c r="Q64" s="20">
        <f t="shared" si="53"/>
        <v>374.98260902977336</v>
      </c>
      <c r="R64" s="59">
        <f t="shared" si="0"/>
        <v>668.31594236310661</v>
      </c>
      <c r="S64" s="59">
        <f ca="1">AVERAGE(OFFSET($R$3,0,0,'Données projet'!$E$9+1,1))-AVERAGE(OFFSET($H$3,0,0,'Données projet'!$E$9+1,1))</f>
        <v>449.28947235329758</v>
      </c>
      <c r="T64" s="59">
        <f t="shared" si="34"/>
        <v>289.36994109443964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12.244175757014785</v>
      </c>
      <c r="AA64" s="21">
        <f>EXP(-LN(2)/25)*AA63+(1-EXP(-LN(2)/25))/(LN(2)/25)*Calculateur!V64*Calculateur!X64*VLOOKUP('Données projet'!$B$9,Paramètres!$A$1:$I$89,3,0)*0.475*44/12</f>
        <v>29.959199575926469</v>
      </c>
      <c r="AB64" s="21">
        <f>EXP(-LN(2)/2)*AB63+(1-EXP(-LN(2)/2))/(LN(2)/2)*V64*Y64*VLOOKUP('Données projet'!$B$9,Paramètres!$A$1:$I$89,3,0)*0.475*44/12</f>
        <v>2.0868377668461462</v>
      </c>
      <c r="AC64" s="22">
        <f t="shared" si="3"/>
        <v>44.290213099787401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11.896999999999997</v>
      </c>
      <c r="AI64" s="13">
        <f>IF('Données projet'!$A$62&gt;35,AI63+AH64-AQ63,IF(A64&lt;'Données projet'!$A$62,$AF$205^A64,IF(A64='Données projet'!$A$62,'Données projet'!$B$62,AI63+AH64-AQ63)))</f>
        <v>382.99699999999984</v>
      </c>
      <c r="AJ64" s="13">
        <f>AI64*VLOOKUP('Données projet'!$B$10,Paramètres!$A$1:$I$89,3,0)*VLOOKUP('Données projet'!$B$10,Paramètres!$A$1:$I$89,5,0)</f>
        <v>229.03220599999992</v>
      </c>
      <c r="AK64" s="13">
        <f t="shared" si="35"/>
        <v>56.073370514455313</v>
      </c>
      <c r="AL64" s="20">
        <f t="shared" si="4"/>
        <v>496.55887909600943</v>
      </c>
      <c r="AM64" s="59">
        <f t="shared" si="5"/>
        <v>789.89221242934275</v>
      </c>
      <c r="AN64" s="59">
        <f ca="1">AVERAGE(OFFSET($AM$3,0,0,'Données projet'!$E$10+1,1))-AVERAGE(OFFSET($H$3,0,0,'Données projet'!$E$10+1,1))</f>
        <v>349.71285006949597</v>
      </c>
      <c r="AO64" s="59">
        <f t="shared" si="36"/>
        <v>258.51550516456842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43.642828805373689</v>
      </c>
      <c r="AV64" s="21">
        <f>EXP(-LN(2)/25)*AV63+(1-EXP(-LN(2)/25))/(LN(2)/25)*Calculateur!AQ64*Calculateur!AS64*VLOOKUP('Données projet'!$B$10,Paramètres!$A$1:$I$89,3,0)*0.475*44/12</f>
        <v>18.804988248193443</v>
      </c>
      <c r="AW64" s="21">
        <f>EXP(-LN(2)/2)*AW63+(1-EXP(-LN(2)/2))/(LN(2)/2)*AQ64*AT64*VLOOKUP('Données projet'!$B$10,Paramètres!$A$1:$I$89,3,0)*0.475*44/12</f>
        <v>6.9078946134240198</v>
      </c>
      <c r="AX64" s="21">
        <f t="shared" si="6"/>
        <v>69.355711666991155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1.1368683772161603E-13</v>
      </c>
      <c r="BE64" s="13">
        <f>BD64*VLOOKUP('Données projet'!$B$11,Paramètres!$A$1:$I$89,3,0)*VLOOKUP('Données projet'!$B$11,Paramètres!$A$1:$I$89,5,0)</f>
        <v>6.7984728957526396E-14</v>
      </c>
      <c r="BF64" s="13">
        <f t="shared" si="37"/>
        <v>1.0682447123141398E-12</v>
      </c>
      <c r="BG64" s="20">
        <f t="shared" si="7"/>
        <v>1.978932943548152E-12</v>
      </c>
      <c r="BH64" s="59">
        <f t="shared" si="8"/>
        <v>293.3333333333353</v>
      </c>
      <c r="BI64" s="59">
        <f ca="1">AVERAGE(OFFSET($BH$3,0,0,'Données projet'!$E$11+1,1))-AVERAGE(OFFSET($H$3,0,0,'Données projet'!$E$11+1,1))</f>
        <v>302.00825291248458</v>
      </c>
      <c r="BJ64" s="59">
        <f t="shared" si="38"/>
        <v>307.35115839449355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136.14597039534692</v>
      </c>
      <c r="BQ64" s="21">
        <f>EXP(-LN(2)/25)*BQ63+(1-EXP(-LN(2)/25))/(LN(2)/25)*Calculateur!BL64*Calculateur!BN64*VLOOKUP('Données projet'!$B$11,Paramètres!$A$1:$I$89,3,0)*0.475*44/12</f>
        <v>47.115909258223546</v>
      </c>
      <c r="BR64" s="21">
        <f>EXP(-LN(2)/2)*BR63+(1-EXP(-LN(2)/2))/(LN(2)/2)*BL64*BO64*VLOOKUP('Données projet'!$B$11,Paramètres!$A$1:$I$89,3,0)*0.475*44/12</f>
        <v>42.399142830122607</v>
      </c>
      <c r="BS64" s="22">
        <f t="shared" si="9"/>
        <v>225.66102248369307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>
        <f>VLOOKUP(A64,'Données projet'!$A$113:$I$133,2,0)</f>
        <v>352.37</v>
      </c>
      <c r="BW64" s="12">
        <f>VLOOKUP(A64,'Données projet'!$A$113:$I$133,9,0)</f>
        <v>12.999000000000001</v>
      </c>
      <c r="BX64" s="12">
        <f t="array" ref="BX64">INDEX(BW:BW,MIN(IF(ISNUMBER(BW64:BW260),ROW(BW64:BW260),"")))</f>
        <v>12.999000000000001</v>
      </c>
      <c r="BY64" s="12">
        <f>IF('Données projet'!$A$114&gt;35,BY63+BX64-CG63,IF(A64&lt;'Données projet'!$A$114,$BV$205^A64,IF(A64='Données projet'!$A$114,'Données projet'!$B$114,BY63+BX64-CG63)))</f>
        <v>352.36999999999989</v>
      </c>
      <c r="BZ64" s="13">
        <f>BY64*VLOOKUP('Données projet'!$B$12,Paramètres!$A$1:$I$89,3,0)*VLOOKUP('Données projet'!$B$12,Paramètres!$A$1:$I$89,5,0)</f>
        <v>164.90915999999996</v>
      </c>
      <c r="CA64" s="13">
        <f t="shared" si="39"/>
        <v>41.947835096187085</v>
      </c>
      <c r="CB64" s="20">
        <f t="shared" si="10"/>
        <v>360.27593312585913</v>
      </c>
      <c r="CC64" s="59">
        <f t="shared" si="11"/>
        <v>653.60926645919244</v>
      </c>
      <c r="CD64" s="59">
        <f ca="1">AVERAGE(OFFSET($CC$3,0,0,'Données projet'!$E$12+1,1))-AVERAGE(OFFSET($H$3,0,0,'Données projet'!$E$12+1,1))</f>
        <v>337.10499990421835</v>
      </c>
      <c r="CE64" s="59">
        <f t="shared" si="40"/>
        <v>277.4254079562175</v>
      </c>
      <c r="CF64" s="15">
        <f>IF(ISNA(VLOOKUP(A64,'Données projet'!$A$113:$I$133,3,0)),0,VLOOKUP(A64,'Données projet'!$A$113:$I$133,3,0))</f>
        <v>2</v>
      </c>
      <c r="CG64" s="15">
        <f>IF(ISNA(VLOOKUP(A64,'Données projet'!$A$113:$I$133,4,0)),0,VLOOKUP(A64,'Données projet'!$A$113:$I$133,4,0))</f>
        <v>101.36000000000001</v>
      </c>
      <c r="CH64" s="16">
        <f>IF(ISNA(VLOOKUP(A64,'Données projet'!$A$113:$I$133,5,0)),0%,VLOOKUP(A64,'Données projet'!$A$113:$I$133,5,0)*VLOOKUP('Données projet'!$B$12,Paramètres!$A$1:$I$89,7,0))</f>
        <v>0.33</v>
      </c>
      <c r="CI64" s="16">
        <f>IF(ISNA(VLOOKUP(A64,'Données projet'!$A$113:$I$133,6,0)),0%,VLOOKUP(A64,'Données projet'!$A$113:$I$133,6,0)*VLOOKUP('Données projet'!$B$12,Paramètres!$A$1:$I$89,7,0))</f>
        <v>0.11000000000000001</v>
      </c>
      <c r="CJ64" s="16">
        <f>IF(ISNA(VLOOKUP(A64,'Données projet'!$A$113:$I$133,7,0)),0%,VLOOKUP(A64,'Données projet'!$A$113:$I$133,7,0))</f>
        <v>0.2</v>
      </c>
      <c r="CK64" s="21">
        <f>EXP(-LN(2)/35)*CK63+(1-EXP(-LN(2)/35))/(LN(2)/35)*CG64*CH64*VLOOKUP('Données projet'!$B$12,Paramètres!$A$1:$I$89,3,0)*0.475*44/12</f>
        <v>32.948767113940768</v>
      </c>
      <c r="CL64" s="21">
        <f>EXP(-LN(2)/25)*CL63+(1-EXP(-LN(2)/25))/(LN(2)/25)*Calculateur!CG64*Calculateur!CI64*VLOOKUP('Données projet'!$B$12,Paramètres!$A$1:$I$89,3,0)*0.475*44/12</f>
        <v>23.486351232712469</v>
      </c>
      <c r="CM64" s="21">
        <f>EXP(-LN(2)/2)*CM63+(1-EXP(-LN(2)/2))/(LN(2)/2)*CG64*CJ64*VLOOKUP('Données projet'!$B$12,Paramètres!$A$1:$I$89,3,0)*0.475*44/12</f>
        <v>11.836508468833424</v>
      </c>
      <c r="CN64" s="22">
        <f t="shared" si="12"/>
        <v>68.27162681548667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6.8933333333333326</v>
      </c>
      <c r="CT64" s="12">
        <f>IF('Données projet'!$A$140&gt;35,CT63+CS64-DB63,IF(A64&lt;'Données projet'!$A$140,$CQ$205^A64,IF(A64='Données projet'!$A$140,'Données projet'!$B$140,CT63+CS64-DB63)))</f>
        <v>135.64333333333323</v>
      </c>
      <c r="CU64" s="17">
        <f>CT64*VLOOKUP('Données projet'!$B$13,Paramètres!$A$1:$I$89,3,0)*VLOOKUP('Données projet'!$B$13,Paramètres!$A$1:$I$89,5,0)</f>
        <v>135.4263039999999</v>
      </c>
      <c r="CV64" s="13">
        <f t="shared" si="41"/>
        <v>35.247219143064889</v>
      </c>
      <c r="CW64" s="20">
        <f t="shared" si="13"/>
        <v>297.25638614083783</v>
      </c>
      <c r="CX64" s="59">
        <f t="shared" si="14"/>
        <v>590.58971947417115</v>
      </c>
      <c r="CY64" s="59">
        <f ca="1">AVERAGE(OFFSET($CX$3,0,0,'Données projet'!$E$13+1,1))-AVERAGE(OFFSET($H$3,0,0,'Données projet'!$E$13+1,1))</f>
        <v>525.74725170626471</v>
      </c>
      <c r="CZ64" s="59">
        <f t="shared" si="42"/>
        <v>259.19103598192197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26.804291781328565</v>
      </c>
      <c r="DH64" s="21">
        <f>EXP(-LN(2)/2)*DH63+(1-EXP(-LN(2)/2))/(LN(2)/2)*DB64*DE64*VLOOKUP('Données projet'!$B$13,Paramètres!$A$1:$I$89,3,0)*0.475*44/12</f>
        <v>9.7078405134340287</v>
      </c>
      <c r="DI64" s="22">
        <f t="shared" si="15"/>
        <v>36.512132294762594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8.5662500000000001</v>
      </c>
      <c r="DO64" s="12">
        <f>IF('Données projet'!$A$166&gt;35,DO63+DN64-DW63,IF(A64&lt;'Données projet'!$A$166,$DL$205^A64,IF(A64='Données projet'!$A$166,'Données projet'!$B$166,DO63+DN64-DW63)))</f>
        <v>181.68250000000029</v>
      </c>
      <c r="DP64" s="17">
        <f>DO64*VLOOKUP('Données projet'!$B$14,Paramètres!$A$1:$I$89,3,0)*VLOOKUP('Données projet'!$B$14,Paramètres!$A$1:$I$89,5,0)</f>
        <v>164.38632600000025</v>
      </c>
      <c r="DQ64" s="13">
        <f t="shared" si="43"/>
        <v>41.830300823322531</v>
      </c>
      <c r="DR64" s="20">
        <f t="shared" si="16"/>
        <v>359.16062505062047</v>
      </c>
      <c r="DS64" s="59">
        <f t="shared" si="17"/>
        <v>652.49395838395378</v>
      </c>
      <c r="DT64" s="59">
        <f ca="1">AVERAGE(OFFSET($DS$3,0,0,'Données projet'!$E$14+1,1))-AVERAGE(OFFSET($H$3,0,0,'Données projet'!$E$14+1,1))</f>
        <v>490.06222615476065</v>
      </c>
      <c r="DU64" s="59">
        <f t="shared" si="44"/>
        <v>310.43914804089906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7.6323267035046118</v>
      </c>
      <c r="EB64" s="21">
        <f>EXP(-LN(2)/25)*EB63+(1-EXP(-LN(2)/25))/(LN(2)/25)*Calculateur!DW64*Calculateur!DY64*VLOOKUP('Données projet'!$B$14,Paramètres!$A$1:$I$89,3,0)*0.475*44/12</f>
        <v>33.346338215282898</v>
      </c>
      <c r="EC64" s="21">
        <f>EXP(-LN(2)/2)*EC63+(1-EXP(-LN(2)/2))/(LN(2)/2)*DW64*DZ64*VLOOKUP('Données projet'!$B$14,Paramètres!$A$1:$I$89,3,0)*0.475*44/12</f>
        <v>2.5480244206344631</v>
      </c>
      <c r="ED64" s="22">
        <f t="shared" si="18"/>
        <v>43.526689339421971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6.8933333333333326</v>
      </c>
      <c r="EJ64" s="12">
        <f>IF('Données projet'!$A$192&gt;35,EJ63+EI64-ER63,IF(A64&lt;'Données projet'!$A$192,$EG$205^A64,IF(A64='Données projet'!$A$192,'Données projet'!$B$192,EJ63+EI64-ER63)))</f>
        <v>135.64333333333323</v>
      </c>
      <c r="EK64" s="17">
        <f>EJ64*VLOOKUP('Données projet'!$B$15,Paramètres!$A$1:$I$89,3,0)*VLOOKUP('Données projet'!$B$15,Paramètres!$A$1:$I$89,5,0)</f>
        <v>137.54233999999991</v>
      </c>
      <c r="EL64" s="13">
        <f t="shared" si="45"/>
        <v>35.733411083522441</v>
      </c>
      <c r="EM64" s="20">
        <f t="shared" si="19"/>
        <v>301.78859980380139</v>
      </c>
      <c r="EN64" s="59">
        <f t="shared" si="20"/>
        <v>595.12193313713465</v>
      </c>
      <c r="EO64" s="59">
        <f ca="1">AVERAGE(OFFSET($EN$3,0,0,'Données projet'!$E$15+1,1))-AVERAGE(OFFSET($H$3,0,0,'Données projet'!$E$15+1,1))</f>
        <v>533.26035274112917</v>
      </c>
      <c r="EP64" s="59">
        <f t="shared" si="46"/>
        <v>262.58149402282521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27.223108840411829</v>
      </c>
      <c r="EX64" s="21">
        <f>EXP(-LN(2)/2)*EX63+(1-EXP(-LN(2)/2))/(LN(2)/2)*ER64*EU64*VLOOKUP('Données projet'!$B$15,Paramètres!$A$1:$I$89,3,0)*0.475*44/12</f>
        <v>9.8595255214564368</v>
      </c>
      <c r="EY64" s="22">
        <f t="shared" si="21"/>
        <v>37.082634361868266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2.8205128205128176</v>
      </c>
      <c r="FE64" s="12">
        <f>IF('Données projet'!$A$218&gt;35,FE63+FD64-FM63,IF(A64&lt;'Données projet'!$A$218,$FB$205^A64,IF(A64='Données projet'!$A$218,'Données projet'!$B$218,FE63+FD64-FM63)))</f>
        <v>113.71794871794864</v>
      </c>
      <c r="FF64" s="17">
        <f>FE64*VLOOKUP('Données projet'!$B$16,Paramètres!$A$1:$I$89,3,0)*VLOOKUP('Données projet'!$B$16,Paramètres!$A$1:$I$89,5,0)</f>
        <v>118.85799999999992</v>
      </c>
      <c r="FG64" s="13">
        <f t="shared" si="47"/>
        <v>31.408498497995616</v>
      </c>
      <c r="FH64" s="20">
        <f t="shared" si="22"/>
        <v>261.71415155067552</v>
      </c>
      <c r="FI64" s="59">
        <f t="shared" si="23"/>
        <v>555.04748488400878</v>
      </c>
      <c r="FJ64" s="59">
        <f ca="1">AVERAGE(OFFSET($FI$3,0,0,'Données projet'!$E$16+1,1))-AVERAGE(OFFSET($H$3,0,0,'Données projet'!$E$16+1,1))</f>
        <v>239.26156489359892</v>
      </c>
      <c r="FK64" s="59">
        <f t="shared" si="48"/>
        <v>213.97034450798111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16.03490604996508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16.03490604996508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9.7525000000000013</v>
      </c>
      <c r="N65" s="13">
        <f>IF('Données projet'!$A$36&gt;35,N64+M65-V64,IF(A65&lt;'Données projet'!$A$36,$K$205^A65,IF(A65='Données projet'!$A$36,'Données projet'!$B$36,N64+M65-V64)))</f>
        <v>190.29749999999999</v>
      </c>
      <c r="O65" s="13">
        <f>N65*VLOOKUP('Données projet'!$B$9,Paramètres!$A$1:$I$89,3,0)*VLOOKUP('Données projet'!$B$9,Paramètres!$A$1:$I$89,5,0)</f>
        <v>181.08710099999999</v>
      </c>
      <c r="P65" s="13">
        <f t="shared" si="33"/>
        <v>45.563961288072498</v>
      </c>
      <c r="Q65" s="20">
        <f t="shared" si="53"/>
        <v>394.7506001517263</v>
      </c>
      <c r="R65" s="59">
        <f t="shared" si="0"/>
        <v>688.08393348505956</v>
      </c>
      <c r="S65" s="59">
        <f ca="1">AVERAGE(OFFSET($R$3,0,0,'Données projet'!$E$9+1,1))-AVERAGE(OFFSET($H$3,0,0,'Données projet'!$E$9+1,1))</f>
        <v>449.28947235329758</v>
      </c>
      <c r="T65" s="59">
        <f t="shared" si="34"/>
        <v>289.36994109443964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12.004074938629513</v>
      </c>
      <c r="AA65" s="21">
        <f>EXP(-LN(2)/25)*AA64+(1-EXP(-LN(2)/25))/(LN(2)/25)*Calculateur!V65*Calculateur!X65*VLOOKUP('Données projet'!$B$9,Paramètres!$A$1:$I$89,3,0)*0.475*44/12</f>
        <v>29.139963688036925</v>
      </c>
      <c r="AB65" s="21">
        <f>EXP(-LN(2)/2)*AB64+(1-EXP(-LN(2)/2))/(LN(2)/2)*V65*Y65*VLOOKUP('Données projet'!$B$9,Paramètres!$A$1:$I$89,3,0)*0.475*44/12</f>
        <v>1.4756171361731014</v>
      </c>
      <c r="AC65" s="22">
        <f t="shared" si="3"/>
        <v>42.619655762839535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11.896999999999997</v>
      </c>
      <c r="AI65" s="13">
        <f>IF('Données projet'!$A$62&gt;35,AI64+AH65-AQ64,IF(A65&lt;'Données projet'!$A$62,$AF$205^A65,IF(A65='Données projet'!$A$62,'Données projet'!$B$62,AI64+AH65-AQ64)))</f>
        <v>394.89399999999983</v>
      </c>
      <c r="AJ65" s="13">
        <f>AI65*VLOOKUP('Données projet'!$B$10,Paramètres!$A$1:$I$89,3,0)*VLOOKUP('Données projet'!$B$10,Paramètres!$A$1:$I$89,5,0)</f>
        <v>236.14661199999995</v>
      </c>
      <c r="AK65" s="13">
        <f t="shared" si="35"/>
        <v>57.609675887529612</v>
      </c>
      <c r="AL65" s="20">
        <f t="shared" si="4"/>
        <v>511.6255347374472</v>
      </c>
      <c r="AM65" s="59">
        <f t="shared" si="5"/>
        <v>804.95886807078045</v>
      </c>
      <c r="AN65" s="59">
        <f ca="1">AVERAGE(OFFSET($AM$3,0,0,'Données projet'!$E$10+1,1))-AVERAGE(OFFSET($H$3,0,0,'Données projet'!$E$10+1,1))</f>
        <v>349.71285006949597</v>
      </c>
      <c r="AO65" s="59">
        <f t="shared" si="36"/>
        <v>258.51550516456842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42.787019551997425</v>
      </c>
      <c r="AV65" s="21">
        <f>EXP(-LN(2)/25)*AV64+(1-EXP(-LN(2)/25))/(LN(2)/25)*Calculateur!AQ65*Calculateur!AS65*VLOOKUP('Données projet'!$B$10,Paramètres!$A$1:$I$89,3,0)*0.475*44/12</f>
        <v>18.290764855635238</v>
      </c>
      <c r="AW65" s="21">
        <f>EXP(-LN(2)/2)*AW64+(1-EXP(-LN(2)/2))/(LN(2)/2)*AQ65*AT65*VLOOKUP('Données projet'!$B$10,Paramètres!$A$1:$I$89,3,0)*0.475*44/12</f>
        <v>4.8846191248741491</v>
      </c>
      <c r="AX65" s="21">
        <f t="shared" si="6"/>
        <v>65.962403532506812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1.1368683772161603E-13</v>
      </c>
      <c r="BE65" s="13">
        <f>BD65*VLOOKUP('Données projet'!$B$11,Paramètres!$A$1:$I$89,3,0)*VLOOKUP('Données projet'!$B$11,Paramètres!$A$1:$I$89,5,0)</f>
        <v>6.7984728957526396E-14</v>
      </c>
      <c r="BF65" s="13">
        <f t="shared" si="37"/>
        <v>1.0682447123141398E-12</v>
      </c>
      <c r="BG65" s="20">
        <f t="shared" si="7"/>
        <v>1.978932943548152E-12</v>
      </c>
      <c r="BH65" s="59">
        <f t="shared" si="8"/>
        <v>293.3333333333353</v>
      </c>
      <c r="BI65" s="59">
        <f ca="1">AVERAGE(OFFSET($BH$3,0,0,'Données projet'!$E$11+1,1))-AVERAGE(OFFSET($H$3,0,0,'Données projet'!$E$11+1,1))</f>
        <v>302.00825291248458</v>
      </c>
      <c r="BJ65" s="59">
        <f t="shared" si="38"/>
        <v>307.35115839449355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133.47623095673652</v>
      </c>
      <c r="BQ65" s="21">
        <f>EXP(-LN(2)/25)*BQ64+(1-EXP(-LN(2)/25))/(LN(2)/25)*Calculateur!BL65*Calculateur!BN65*VLOOKUP('Données projet'!$B$11,Paramètres!$A$1:$I$89,3,0)*0.475*44/12</f>
        <v>45.827522241839439</v>
      </c>
      <c r="BR65" s="21">
        <f>EXP(-LN(2)/2)*BR64+(1-EXP(-LN(2)/2))/(LN(2)/2)*BL65*BO65*VLOOKUP('Données projet'!$B$11,Paramètres!$A$1:$I$89,3,0)*0.475*44/12</f>
        <v>29.980721411676683</v>
      </c>
      <c r="BS65" s="22">
        <f t="shared" si="9"/>
        <v>209.28447461025263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11.997500000000002</v>
      </c>
      <c r="BY65" s="12">
        <f>IF('Données projet'!$A$114&gt;35,BY64+BX65-CG64,IF(A65&lt;'Données projet'!$A$114,$BV$205^A65,IF(A65='Données projet'!$A$114,'Données projet'!$B$114,BY64+BX65-CG64)))</f>
        <v>263.00749999999988</v>
      </c>
      <c r="BZ65" s="13">
        <f>BY65*VLOOKUP('Données projet'!$B$12,Paramètres!$A$1:$I$89,3,0)*VLOOKUP('Données projet'!$B$12,Paramètres!$A$1:$I$89,5,0)</f>
        <v>123.08750999999994</v>
      </c>
      <c r="CA65" s="13">
        <f t="shared" si="39"/>
        <v>32.394042160547578</v>
      </c>
      <c r="CB65" s="20">
        <f t="shared" si="10"/>
        <v>270.79703667962025</v>
      </c>
      <c r="CC65" s="59">
        <f t="shared" si="11"/>
        <v>564.13037001295356</v>
      </c>
      <c r="CD65" s="59">
        <f ca="1">AVERAGE(OFFSET($CC$3,0,0,'Données projet'!$E$12+1,1))-AVERAGE(OFFSET($H$3,0,0,'Données projet'!$E$12+1,1))</f>
        <v>337.10499990421835</v>
      </c>
      <c r="CE65" s="59">
        <f t="shared" si="40"/>
        <v>277.4254079562175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32.302661887599939</v>
      </c>
      <c r="CL65" s="21">
        <f>EXP(-LN(2)/25)*CL64+(1-EXP(-LN(2)/25))/(LN(2)/25)*Calculateur!CG65*Calculateur!CI65*VLOOKUP('Données projet'!$B$12,Paramètres!$A$1:$I$89,3,0)*0.475*44/12</f>
        <v>22.844115723160414</v>
      </c>
      <c r="CM65" s="21">
        <f>EXP(-LN(2)/2)*CM64+(1-EXP(-LN(2)/2))/(LN(2)/2)*CG65*CJ65*VLOOKUP('Données projet'!$B$12,Paramètres!$A$1:$I$89,3,0)*0.475*44/12</f>
        <v>8.3696754038841128</v>
      </c>
      <c r="CN65" s="22">
        <f t="shared" si="12"/>
        <v>63.516453014644469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6.8933333333333326</v>
      </c>
      <c r="CT65" s="12">
        <f>IF('Données projet'!$A$140&gt;35,CT64+CS65-DB64,IF(A65&lt;'Données projet'!$A$140,$CQ$205^A65,IF(A65='Données projet'!$A$140,'Données projet'!$B$140,CT64+CS65-DB64)))</f>
        <v>142.53666666666658</v>
      </c>
      <c r="CU65" s="17">
        <f>CT65*VLOOKUP('Données projet'!$B$13,Paramètres!$A$1:$I$89,3,0)*VLOOKUP('Données projet'!$B$13,Paramètres!$A$1:$I$89,5,0)</f>
        <v>142.30860799999991</v>
      </c>
      <c r="CV65" s="13">
        <f t="shared" si="41"/>
        <v>36.825370689552905</v>
      </c>
      <c r="CW65" s="20">
        <f t="shared" si="13"/>
        <v>311.99167955097113</v>
      </c>
      <c r="CX65" s="59">
        <f t="shared" si="14"/>
        <v>605.32501288430444</v>
      </c>
      <c r="CY65" s="59">
        <f ca="1">AVERAGE(OFFSET($CX$3,0,0,'Données projet'!$E$13+1,1))-AVERAGE(OFFSET($H$3,0,0,'Données projet'!$E$13+1,1))</f>
        <v>525.74725170626471</v>
      </c>
      <c r="CZ65" s="59">
        <f t="shared" si="42"/>
        <v>259.19103598192197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26.071327012991691</v>
      </c>
      <c r="DH65" s="21">
        <f>EXP(-LN(2)/2)*DH64+(1-EXP(-LN(2)/2))/(LN(2)/2)*DB65*DE65*VLOOKUP('Données projet'!$B$13,Paramètres!$A$1:$I$89,3,0)*0.475*44/12</f>
        <v>6.864479857726697</v>
      </c>
      <c r="DI65" s="22">
        <f t="shared" si="15"/>
        <v>32.935806870718388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8.5662500000000001</v>
      </c>
      <c r="DO65" s="12">
        <f>IF('Données projet'!$A$166&gt;35,DO64+DN65-DW64,IF(A65&lt;'Données projet'!$A$166,$DL$205^A65,IF(A65='Données projet'!$A$166,'Données projet'!$B$166,DO64+DN65-DW64)))</f>
        <v>190.24875000000029</v>
      </c>
      <c r="DP65" s="17">
        <f>DO65*VLOOKUP('Données projet'!$B$14,Paramètres!$A$1:$I$89,3,0)*VLOOKUP('Données projet'!$B$14,Paramètres!$A$1:$I$89,5,0)</f>
        <v>172.13706900000025</v>
      </c>
      <c r="DQ65" s="13">
        <f t="shared" si="43"/>
        <v>43.5683073950158</v>
      </c>
      <c r="DR65" s="20">
        <f t="shared" si="16"/>
        <v>375.68686388798625</v>
      </c>
      <c r="DS65" s="59">
        <f t="shared" si="17"/>
        <v>669.02019722131956</v>
      </c>
      <c r="DT65" s="59">
        <f ca="1">AVERAGE(OFFSET($DS$3,0,0,'Données projet'!$E$14+1,1))-AVERAGE(OFFSET($H$3,0,0,'Données projet'!$E$14+1,1))</f>
        <v>490.06222615476065</v>
      </c>
      <c r="DU65" s="59">
        <f t="shared" si="44"/>
        <v>310.43914804089906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7.4826614321085065</v>
      </c>
      <c r="EB65" s="21">
        <f>EXP(-LN(2)/25)*EB64+(1-EXP(-LN(2)/25))/(LN(2)/25)*Calculateur!DW65*Calculateur!DY65*VLOOKUP('Données projet'!$B$14,Paramètres!$A$1:$I$89,3,0)*0.475*44/12</f>
        <v>32.434480843178278</v>
      </c>
      <c r="EC65" s="21">
        <f>EXP(-LN(2)/2)*EC64+(1-EXP(-LN(2)/2))/(LN(2)/2)*DW65*DZ65*VLOOKUP('Données projet'!$B$14,Paramètres!$A$1:$I$89,3,0)*0.475*44/12</f>
        <v>1.8017253464595528</v>
      </c>
      <c r="ED65" s="22">
        <f t="shared" si="18"/>
        <v>41.718867621746341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6.8933333333333326</v>
      </c>
      <c r="EJ65" s="12">
        <f>IF('Données projet'!$A$192&gt;35,EJ64+EI65-ER64,IF(A65&lt;'Données projet'!$A$192,$EG$205^A65,IF(A65='Données projet'!$A$192,'Données projet'!$B$192,EJ64+EI65-ER64)))</f>
        <v>142.53666666666658</v>
      </c>
      <c r="EK65" s="17">
        <f>EJ65*VLOOKUP('Données projet'!$B$15,Paramètres!$A$1:$I$89,3,0)*VLOOKUP('Données projet'!$B$15,Paramètres!$A$1:$I$89,5,0)</f>
        <v>144.5321799999999</v>
      </c>
      <c r="EL65" s="13">
        <f t="shared" si="45"/>
        <v>37.333331285279648</v>
      </c>
      <c r="EM65" s="20">
        <f t="shared" si="19"/>
        <v>316.74909882186188</v>
      </c>
      <c r="EN65" s="59">
        <f t="shared" si="20"/>
        <v>610.08243215519519</v>
      </c>
      <c r="EO65" s="59">
        <f ca="1">AVERAGE(OFFSET($EN$3,0,0,'Données projet'!$E$15+1,1))-AVERAGE(OFFSET($H$3,0,0,'Données projet'!$E$15+1,1))</f>
        <v>533.26035274112917</v>
      </c>
      <c r="EP65" s="59">
        <f t="shared" si="46"/>
        <v>262.58149402282521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26.478691497569692</v>
      </c>
      <c r="EX65" s="21">
        <f>EXP(-LN(2)/2)*EX64+(1-EXP(-LN(2)/2))/(LN(2)/2)*ER65*EU65*VLOOKUP('Données projet'!$B$15,Paramètres!$A$1:$I$89,3,0)*0.475*44/12</f>
        <v>6.9717373555036781</v>
      </c>
      <c r="EY65" s="22">
        <f t="shared" si="21"/>
        <v>33.450428853073369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2.8205128205128176</v>
      </c>
      <c r="FE65" s="12">
        <f>IF('Données projet'!$A$218&gt;35,FE64+FD65-FM64,IF(A65&lt;'Données projet'!$A$218,$FB$205^A65,IF(A65='Données projet'!$A$218,'Données projet'!$B$218,FE64+FD65-FM64)))</f>
        <v>116.53846153846146</v>
      </c>
      <c r="FF65" s="17">
        <f>FE65*VLOOKUP('Données projet'!$B$16,Paramètres!$A$1:$I$89,3,0)*VLOOKUP('Données projet'!$B$16,Paramètres!$A$1:$I$89,5,0)</f>
        <v>121.80599999999993</v>
      </c>
      <c r="FG65" s="13">
        <f t="shared" si="47"/>
        <v>32.09585223561038</v>
      </c>
      <c r="FH65" s="20">
        <f t="shared" si="22"/>
        <v>268.04572597702128</v>
      </c>
      <c r="FI65" s="59">
        <f t="shared" si="23"/>
        <v>561.37905931035459</v>
      </c>
      <c r="FJ65" s="59">
        <f ca="1">AVERAGE(OFFSET($FI$3,0,0,'Données projet'!$E$16+1,1))-AVERAGE(OFFSET($H$3,0,0,'Données projet'!$E$16+1,1))</f>
        <v>239.26156489359892</v>
      </c>
      <c r="FK65" s="59">
        <f t="shared" si="48"/>
        <v>213.97034450798111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15.596430700789725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15.596430700789725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9.7525000000000013</v>
      </c>
      <c r="N66" s="13">
        <f>IF('Données projet'!$A$36&gt;35,N65+M66-V65,IF(A66&lt;'Données projet'!$A$36,$K$205^A66,IF(A66='Données projet'!$A$36,'Données projet'!$B$36,N65+M66-V65)))</f>
        <v>200.04999999999998</v>
      </c>
      <c r="O66" s="13">
        <f>N66*VLOOKUP('Données projet'!$B$9,Paramètres!$A$1:$I$89,3,0)*VLOOKUP('Données projet'!$B$9,Paramètres!$A$1:$I$89,5,0)</f>
        <v>190.36758</v>
      </c>
      <c r="P66" s="13">
        <f t="shared" si="33"/>
        <v>47.621210426557901</v>
      </c>
      <c r="Q66" s="20">
        <f t="shared" si="53"/>
        <v>414.49714332625496</v>
      </c>
      <c r="R66" s="59">
        <f t="shared" si="0"/>
        <v>707.83047665958827</v>
      </c>
      <c r="S66" s="59">
        <f ca="1">AVERAGE(OFFSET($R$3,0,0,'Données projet'!$E$9+1,1))-AVERAGE(OFFSET($H$3,0,0,'Données projet'!$E$9+1,1))</f>
        <v>449.28947235329758</v>
      </c>
      <c r="T66" s="59">
        <f t="shared" si="34"/>
        <v>289.36994109443964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11.768682350845737</v>
      </c>
      <c r="AA66" s="21">
        <f>EXP(-LN(2)/25)*AA65+(1-EXP(-LN(2)/25))/(LN(2)/25)*Calculateur!V66*Calculateur!X66*VLOOKUP('Données projet'!$B$9,Paramètres!$A$1:$I$89,3,0)*0.475*44/12</f>
        <v>28.343129848583466</v>
      </c>
      <c r="AB66" s="21">
        <f>EXP(-LN(2)/2)*AB65+(1-EXP(-LN(2)/2))/(LN(2)/2)*V66*Y66*VLOOKUP('Données projet'!$B$9,Paramètres!$A$1:$I$89,3,0)*0.475*44/12</f>
        <v>1.0434188834230731</v>
      </c>
      <c r="AC66" s="22">
        <f t="shared" si="3"/>
        <v>41.155231082852275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11.896999999999997</v>
      </c>
      <c r="AI66" s="13">
        <f>IF('Données projet'!$A$62&gt;35,AI65+AH66-AQ65,IF(A66&lt;'Données projet'!$A$62,$AF$205^A66,IF(A66='Données projet'!$A$62,'Données projet'!$B$62,AI65+AH66-AQ65)))</f>
        <v>406.79099999999983</v>
      </c>
      <c r="AJ66" s="13">
        <f>AI66*VLOOKUP('Données projet'!$B$10,Paramètres!$A$1:$I$89,3,0)*VLOOKUP('Données projet'!$B$10,Paramètres!$A$1:$I$89,5,0)</f>
        <v>243.26101799999989</v>
      </c>
      <c r="AK66" s="13">
        <f t="shared" si="35"/>
        <v>59.140602334121624</v>
      </c>
      <c r="AL66" s="20">
        <f t="shared" si="4"/>
        <v>526.68282208192829</v>
      </c>
      <c r="AM66" s="59">
        <f t="shared" si="5"/>
        <v>820.01615541526166</v>
      </c>
      <c r="AN66" s="59">
        <f ca="1">AVERAGE(OFFSET($AM$3,0,0,'Données projet'!$E$10+1,1))-AVERAGE(OFFSET($H$3,0,0,'Données projet'!$E$10+1,1))</f>
        <v>349.71285006949597</v>
      </c>
      <c r="AO66" s="59">
        <f t="shared" si="36"/>
        <v>258.51550516456842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41.947992196087768</v>
      </c>
      <c r="AV66" s="21">
        <f>EXP(-LN(2)/25)*AV65+(1-EXP(-LN(2)/25))/(LN(2)/25)*Calculateur!AQ66*Calculateur!AS66*VLOOKUP('Données projet'!$B$10,Paramètres!$A$1:$I$89,3,0)*0.475*44/12</f>
        <v>17.790602928788374</v>
      </c>
      <c r="AW66" s="21">
        <f>EXP(-LN(2)/2)*AW65+(1-EXP(-LN(2)/2))/(LN(2)/2)*AQ66*AT66*VLOOKUP('Données projet'!$B$10,Paramètres!$A$1:$I$89,3,0)*0.475*44/12</f>
        <v>3.4539473067120103</v>
      </c>
      <c r="AX66" s="21">
        <f t="shared" si="6"/>
        <v>63.192542431588151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1.1368683772161603E-13</v>
      </c>
      <c r="BE66" s="13">
        <f>BD66*VLOOKUP('Données projet'!$B$11,Paramètres!$A$1:$I$89,3,0)*VLOOKUP('Données projet'!$B$11,Paramètres!$A$1:$I$89,5,0)</f>
        <v>6.7984728957526396E-14</v>
      </c>
      <c r="BF66" s="13">
        <f t="shared" si="37"/>
        <v>1.0682447123141398E-12</v>
      </c>
      <c r="BG66" s="20">
        <f t="shared" si="7"/>
        <v>1.978932943548152E-12</v>
      </c>
      <c r="BH66" s="59">
        <f t="shared" si="8"/>
        <v>293.3333333333353</v>
      </c>
      <c r="BI66" s="59">
        <f ca="1">AVERAGE(OFFSET($BH$3,0,0,'Données projet'!$E$11+1,1))-AVERAGE(OFFSET($H$3,0,0,'Données projet'!$E$11+1,1))</f>
        <v>302.00825291248458</v>
      </c>
      <c r="BJ66" s="59">
        <f t="shared" si="38"/>
        <v>307.35115839449355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130.85884348013698</v>
      </c>
      <c r="BQ66" s="21">
        <f>EXP(-LN(2)/25)*BQ65+(1-EXP(-LN(2)/25))/(LN(2)/25)*Calculateur!BL66*Calculateur!BN66*VLOOKUP('Données projet'!$B$11,Paramètres!$A$1:$I$89,3,0)*0.475*44/12</f>
        <v>44.574366236171684</v>
      </c>
      <c r="BR66" s="21">
        <f>EXP(-LN(2)/2)*BR65+(1-EXP(-LN(2)/2))/(LN(2)/2)*BL66*BO66*VLOOKUP('Données projet'!$B$11,Paramètres!$A$1:$I$89,3,0)*0.475*44/12</f>
        <v>21.199571415061307</v>
      </c>
      <c r="BS66" s="22">
        <f t="shared" si="9"/>
        <v>196.63278113137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11.997500000000002</v>
      </c>
      <c r="BY66" s="12">
        <f>IF('Données projet'!$A$114&gt;35,BY65+BX66-CG65,IF(A66&lt;'Données projet'!$A$114,$BV$205^A66,IF(A66='Données projet'!$A$114,'Données projet'!$B$114,BY65+BX66-CG65)))</f>
        <v>275.00499999999988</v>
      </c>
      <c r="BZ66" s="13">
        <f>BY66*VLOOKUP('Données projet'!$B$12,Paramètres!$A$1:$I$89,3,0)*VLOOKUP('Données projet'!$B$12,Paramètres!$A$1:$I$89,5,0)</f>
        <v>128.70233999999996</v>
      </c>
      <c r="CA66" s="13">
        <f t="shared" si="39"/>
        <v>33.69633335682834</v>
      </c>
      <c r="CB66" s="20">
        <f t="shared" si="10"/>
        <v>282.84435609647596</v>
      </c>
      <c r="CC66" s="59">
        <f t="shared" si="11"/>
        <v>576.17768942980933</v>
      </c>
      <c r="CD66" s="59">
        <f ca="1">AVERAGE(OFFSET($CC$3,0,0,'Données projet'!$E$12+1,1))-AVERAGE(OFFSET($H$3,0,0,'Données projet'!$E$12+1,1))</f>
        <v>337.10499990421835</v>
      </c>
      <c r="CE66" s="59">
        <f t="shared" si="40"/>
        <v>277.4254079562175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31.669226390662377</v>
      </c>
      <c r="CL66" s="21">
        <f>EXP(-LN(2)/25)*CL65+(1-EXP(-LN(2)/25))/(LN(2)/25)*Calculateur!CG66*Calculateur!CI66*VLOOKUP('Données projet'!$B$12,Paramètres!$A$1:$I$89,3,0)*0.475*44/12</f>
        <v>22.219442177390757</v>
      </c>
      <c r="CM66" s="21">
        <f>EXP(-LN(2)/2)*CM65+(1-EXP(-LN(2)/2))/(LN(2)/2)*CG66*CJ66*VLOOKUP('Données projet'!$B$12,Paramètres!$A$1:$I$89,3,0)*0.475*44/12</f>
        <v>5.9182542344167128</v>
      </c>
      <c r="CN66" s="22">
        <f t="shared" si="12"/>
        <v>59.806922802469849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6.8933333333333326</v>
      </c>
      <c r="CT66" s="12">
        <f>IF('Données projet'!$A$140&gt;35,CT65+CS66-DB65,IF(A66&lt;'Données projet'!$A$140,$CQ$205^A66,IF(A66='Données projet'!$A$140,'Données projet'!$B$140,CT65+CS66-DB65)))</f>
        <v>149.42999999999992</v>
      </c>
      <c r="CU66" s="17">
        <f>CT66*VLOOKUP('Données projet'!$B$13,Paramètres!$A$1:$I$89,3,0)*VLOOKUP('Données projet'!$B$13,Paramètres!$A$1:$I$89,5,0)</f>
        <v>149.19091199999994</v>
      </c>
      <c r="CV66" s="13">
        <f t="shared" si="41"/>
        <v>38.394659632339028</v>
      </c>
      <c r="CW66" s="20">
        <f t="shared" si="13"/>
        <v>326.71153725965706</v>
      </c>
      <c r="CX66" s="59">
        <f t="shared" si="14"/>
        <v>620.04487059299038</v>
      </c>
      <c r="CY66" s="59">
        <f ca="1">AVERAGE(OFFSET($CX$3,0,0,'Données projet'!$E$13+1,1))-AVERAGE(OFFSET($H$3,0,0,'Données projet'!$E$13+1,1))</f>
        <v>525.74725170626471</v>
      </c>
      <c r="CZ66" s="59">
        <f t="shared" si="42"/>
        <v>259.19103598192197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25.358405204789932</v>
      </c>
      <c r="DH66" s="21">
        <f>EXP(-LN(2)/2)*DH65+(1-EXP(-LN(2)/2))/(LN(2)/2)*DB66*DE66*VLOOKUP('Données projet'!$B$13,Paramètres!$A$1:$I$89,3,0)*0.475*44/12</f>
        <v>4.8539202567170143</v>
      </c>
      <c r="DI66" s="22">
        <f t="shared" si="15"/>
        <v>30.212325461506946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8.5662500000000001</v>
      </c>
      <c r="DO66" s="12">
        <f>IF('Données projet'!$A$166&gt;35,DO65+DN66-DW65,IF(A66&lt;'Données projet'!$A$166,$DL$205^A66,IF(A66='Données projet'!$A$166,'Données projet'!$B$166,DO65+DN66-DW65)))</f>
        <v>198.81500000000028</v>
      </c>
      <c r="DP66" s="17">
        <f>DO66*VLOOKUP('Données projet'!$B$14,Paramètres!$A$1:$I$89,3,0)*VLOOKUP('Données projet'!$B$14,Paramètres!$A$1:$I$89,5,0)</f>
        <v>179.88781200000022</v>
      </c>
      <c r="DQ66" s="13">
        <f t="shared" si="43"/>
        <v>45.297225497901827</v>
      </c>
      <c r="DR66" s="20">
        <f t="shared" si="16"/>
        <v>392.19727364217937</v>
      </c>
      <c r="DS66" s="59">
        <f t="shared" si="17"/>
        <v>685.53060697551268</v>
      </c>
      <c r="DT66" s="59">
        <f ca="1">AVERAGE(OFFSET($DS$3,0,0,'Données projet'!$E$14+1,1))-AVERAGE(OFFSET($H$3,0,0,'Données projet'!$E$14+1,1))</f>
        <v>490.06222615476065</v>
      </c>
      <c r="DU66" s="59">
        <f t="shared" si="44"/>
        <v>310.43914804089906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7.3359310053976774</v>
      </c>
      <c r="EB66" s="21">
        <f>EXP(-LN(2)/25)*EB65+(1-EXP(-LN(2)/25))/(LN(2)/25)*Calculateur!DW66*Calculateur!DY66*VLOOKUP('Données projet'!$B$14,Paramètres!$A$1:$I$89,3,0)*0.475*44/12</f>
        <v>31.547558258866349</v>
      </c>
      <c r="EC66" s="21">
        <f>EXP(-LN(2)/2)*EC65+(1-EXP(-LN(2)/2))/(LN(2)/2)*DW66*DZ66*VLOOKUP('Données projet'!$B$14,Paramètres!$A$1:$I$89,3,0)*0.475*44/12</f>
        <v>1.2740122103172316</v>
      </c>
      <c r="ED66" s="22">
        <f t="shared" si="18"/>
        <v>40.15750147458126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6.8933333333333326</v>
      </c>
      <c r="EJ66" s="12">
        <f>IF('Données projet'!$A$192&gt;35,EJ65+EI66-ER65,IF(A66&lt;'Données projet'!$A$192,$EG$205^A66,IF(A66='Données projet'!$A$192,'Données projet'!$B$192,EJ65+EI66-ER65)))</f>
        <v>149.42999999999992</v>
      </c>
      <c r="EK66" s="17">
        <f>EJ66*VLOOKUP('Données projet'!$B$15,Paramètres!$A$1:$I$89,3,0)*VLOOKUP('Données projet'!$B$15,Paramètres!$A$1:$I$89,5,0)</f>
        <v>151.52201999999994</v>
      </c>
      <c r="EL66" s="13">
        <f t="shared" si="45"/>
        <v>38.924266634641384</v>
      </c>
      <c r="EM66" s="20">
        <f t="shared" si="19"/>
        <v>331.6939492220003</v>
      </c>
      <c r="EN66" s="59">
        <f t="shared" si="20"/>
        <v>625.02728255533361</v>
      </c>
      <c r="EO66" s="59">
        <f ca="1">AVERAGE(OFFSET($EN$3,0,0,'Données projet'!$E$15+1,1))-AVERAGE(OFFSET($H$3,0,0,'Données projet'!$E$15+1,1))</f>
        <v>533.26035274112917</v>
      </c>
      <c r="EP66" s="59">
        <f t="shared" si="46"/>
        <v>262.58149402282521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25.754630286114779</v>
      </c>
      <c r="EX66" s="21">
        <f>EXP(-LN(2)/2)*EX65+(1-EXP(-LN(2)/2))/(LN(2)/2)*ER66*EU66*VLOOKUP('Données projet'!$B$15,Paramètres!$A$1:$I$89,3,0)*0.475*44/12</f>
        <v>4.9297627607282193</v>
      </c>
      <c r="EY66" s="22">
        <f t="shared" si="21"/>
        <v>30.684393046842999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2.8205128205128176</v>
      </c>
      <c r="FE66" s="12">
        <f>IF('Données projet'!$A$218&gt;35,FE65+FD66-FM65,IF(A66&lt;'Données projet'!$A$218,$FB$205^A66,IF(A66='Données projet'!$A$218,'Données projet'!$B$218,FE65+FD66-FM65)))</f>
        <v>119.35897435897428</v>
      </c>
      <c r="FF66" s="17">
        <f>FE66*VLOOKUP('Données projet'!$B$16,Paramètres!$A$1:$I$89,3,0)*VLOOKUP('Données projet'!$B$16,Paramètres!$A$1:$I$89,5,0)</f>
        <v>124.75399999999992</v>
      </c>
      <c r="FG66" s="13">
        <f t="shared" si="47"/>
        <v>32.781272112057259</v>
      </c>
      <c r="FH66" s="20">
        <f t="shared" si="22"/>
        <v>274.37393226183292</v>
      </c>
      <c r="FI66" s="59">
        <f t="shared" si="23"/>
        <v>567.70726559516629</v>
      </c>
      <c r="FJ66" s="59">
        <f ca="1">AVERAGE(OFFSET($FI$3,0,0,'Données projet'!$E$16+1,1))-AVERAGE(OFFSET($H$3,0,0,'Données projet'!$E$16+1,1))</f>
        <v>239.26156489359892</v>
      </c>
      <c r="FK66" s="59">
        <f t="shared" si="48"/>
        <v>213.97034450798111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15.169945483095985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15.169945483095985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9.7525000000000013</v>
      </c>
      <c r="N67" s="13">
        <f>IF('Données projet'!$A$36&gt;35,N66+M67-V66,IF(A67&lt;'Données projet'!$A$36,$K$205^A67,IF(A67='Données projet'!$A$36,'Données projet'!$B$36,N66+M67-V66)))</f>
        <v>209.80249999999998</v>
      </c>
      <c r="O67" s="13">
        <f>N67*VLOOKUP('Données projet'!$B$9,Paramètres!$A$1:$I$89,3,0)*VLOOKUP('Données projet'!$B$9,Paramètres!$A$1:$I$89,5,0)</f>
        <v>199.64805899999999</v>
      </c>
      <c r="P67" s="13">
        <f t="shared" si="33"/>
        <v>49.666813819210098</v>
      </c>
      <c r="Q67" s="20">
        <f t="shared" ref="Q67:Q98" si="54">(O67+P67)*0.475*44/12</f>
        <v>434.22340349345751</v>
      </c>
      <c r="R67" s="59">
        <f t="shared" ref="R67:R130" si="55">Q67+(I67+J67)*44/12</f>
        <v>727.55673682679083</v>
      </c>
      <c r="S67" s="59">
        <f ca="1">AVERAGE(OFFSET($R$3,0,0,'Données projet'!$E$9+1,1))-AVERAGE(OFFSET($H$3,0,0,'Données projet'!$E$9+1,1))</f>
        <v>449.28947235329758</v>
      </c>
      <c r="T67" s="59">
        <f t="shared" si="34"/>
        <v>289.36994109443964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11.537905668133099</v>
      </c>
      <c r="AA67" s="21">
        <f>EXP(-LN(2)/25)*AA66+(1-EXP(-LN(2)/25))/(LN(2)/25)*Calculateur!V67*Calculateur!X67*VLOOKUP('Données projet'!$B$9,Paramètres!$A$1:$I$89,3,0)*0.475*44/12</f>
        <v>27.568085472373532</v>
      </c>
      <c r="AB67" s="21">
        <f>EXP(-LN(2)/2)*AB66+(1-EXP(-LN(2)/2))/(LN(2)/2)*V67*Y67*VLOOKUP('Données projet'!$B$9,Paramètres!$A$1:$I$89,3,0)*0.475*44/12</f>
        <v>0.73780856808655071</v>
      </c>
      <c r="AC67" s="22">
        <f t="shared" si="3"/>
        <v>39.843799708593181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11.896999999999997</v>
      </c>
      <c r="AI67" s="13">
        <f>IF('Données projet'!$A$62&gt;35,AI66+AH67-AQ66,IF(A67&lt;'Données projet'!$A$62,$AF$205^A67,IF(A67='Données projet'!$A$62,'Données projet'!$B$62,AI66+AH67-AQ66)))</f>
        <v>418.68799999999982</v>
      </c>
      <c r="AJ67" s="13">
        <f>AI67*VLOOKUP('Données projet'!$B$10,Paramètres!$A$1:$I$89,3,0)*VLOOKUP('Données projet'!$B$10,Paramètres!$A$1:$I$89,5,0)</f>
        <v>250.37542399999992</v>
      </c>
      <c r="AK67" s="13">
        <f t="shared" si="35"/>
        <v>60.666325229387866</v>
      </c>
      <c r="AL67" s="20">
        <f t="shared" si="4"/>
        <v>541.73104657451711</v>
      </c>
      <c r="AM67" s="59">
        <f t="shared" si="5"/>
        <v>835.06437990785048</v>
      </c>
      <c r="AN67" s="59">
        <f ca="1">AVERAGE(OFFSET($AM$3,0,0,'Données projet'!$E$10+1,1))-AVERAGE(OFFSET($H$3,0,0,'Données projet'!$E$10+1,1))</f>
        <v>349.71285006949597</v>
      </c>
      <c r="AO67" s="59">
        <f t="shared" si="36"/>
        <v>258.51550516456842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41.125417654871342</v>
      </c>
      <c r="AV67" s="21">
        <f>EXP(-LN(2)/25)*AV66+(1-EXP(-LN(2)/25))/(LN(2)/25)*Calculateur!AQ67*Calculateur!AS67*VLOOKUP('Données projet'!$B$10,Paramètres!$A$1:$I$89,3,0)*0.475*44/12</f>
        <v>17.30411795613351</v>
      </c>
      <c r="AW67" s="21">
        <f>EXP(-LN(2)/2)*AW66+(1-EXP(-LN(2)/2))/(LN(2)/2)*AQ67*AT67*VLOOKUP('Données projet'!$B$10,Paramètres!$A$1:$I$89,3,0)*0.475*44/12</f>
        <v>2.442309562437075</v>
      </c>
      <c r="AX67" s="21">
        <f t="shared" si="6"/>
        <v>60.871845173441926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1.1368683772161603E-13</v>
      </c>
      <c r="BE67" s="13">
        <f>BD67*VLOOKUP('Données projet'!$B$11,Paramètres!$A$1:$I$89,3,0)*VLOOKUP('Données projet'!$B$11,Paramètres!$A$1:$I$89,5,0)</f>
        <v>6.7984728957526396E-14</v>
      </c>
      <c r="BF67" s="13">
        <f t="shared" si="37"/>
        <v>1.0682447123141398E-12</v>
      </c>
      <c r="BG67" s="20">
        <f t="shared" si="7"/>
        <v>1.978932943548152E-12</v>
      </c>
      <c r="BH67" s="59">
        <f t="shared" si="8"/>
        <v>293.3333333333353</v>
      </c>
      <c r="BI67" s="59">
        <f ca="1">AVERAGE(OFFSET($BH$3,0,0,'Données projet'!$E$11+1,1))-AVERAGE(OFFSET($H$3,0,0,'Données projet'!$E$11+1,1))</f>
        <v>302.00825291248458</v>
      </c>
      <c r="BJ67" s="59">
        <f t="shared" si="38"/>
        <v>307.35115839449355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128.29278137550483</v>
      </c>
      <c r="BQ67" s="21">
        <f>EXP(-LN(2)/25)*BQ66+(1-EXP(-LN(2)/25))/(LN(2)/25)*Calculateur!BL67*Calculateur!BN67*VLOOKUP('Données projet'!$B$11,Paramètres!$A$1:$I$89,3,0)*0.475*44/12</f>
        <v>43.355477847379525</v>
      </c>
      <c r="BR67" s="21">
        <f>EXP(-LN(2)/2)*BR66+(1-EXP(-LN(2)/2))/(LN(2)/2)*BL67*BO67*VLOOKUP('Données projet'!$B$11,Paramètres!$A$1:$I$89,3,0)*0.475*44/12</f>
        <v>14.990360705838345</v>
      </c>
      <c r="BS67" s="22">
        <f t="shared" si="9"/>
        <v>186.6386199287227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11.997500000000002</v>
      </c>
      <c r="BY67" s="12">
        <f>IF('Données projet'!$A$114&gt;35,BY66+BX67-CG66,IF(A67&lt;'Données projet'!$A$114,$BV$205^A67,IF(A67='Données projet'!$A$114,'Données projet'!$B$114,BY66+BX67-CG66)))</f>
        <v>287.00249999999988</v>
      </c>
      <c r="BZ67" s="13">
        <f>BY67*VLOOKUP('Données projet'!$B$12,Paramètres!$A$1:$I$89,3,0)*VLOOKUP('Données projet'!$B$12,Paramètres!$A$1:$I$89,5,0)</f>
        <v>134.31716999999995</v>
      </c>
      <c r="CA67" s="13">
        <f t="shared" si="39"/>
        <v>34.992025911781333</v>
      </c>
      <c r="CB67" s="20">
        <f t="shared" si="10"/>
        <v>294.88018287968566</v>
      </c>
      <c r="CC67" s="59">
        <f t="shared" si="11"/>
        <v>588.21351621301892</v>
      </c>
      <c r="CD67" s="59">
        <f ca="1">AVERAGE(OFFSET($CC$3,0,0,'Données projet'!$E$12+1,1))-AVERAGE(OFFSET($H$3,0,0,'Données projet'!$E$12+1,1))</f>
        <v>337.10499990421835</v>
      </c>
      <c r="CE67" s="59">
        <f t="shared" si="40"/>
        <v>277.4254079562175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31.048212177462258</v>
      </c>
      <c r="CL67" s="21">
        <f>EXP(-LN(2)/25)*CL66+(1-EXP(-LN(2)/25))/(LN(2)/25)*Calculateur!CG67*Calculateur!CI67*VLOOKUP('Données projet'!$B$12,Paramètres!$A$1:$I$89,3,0)*0.475*44/12</f>
        <v>21.611850362580327</v>
      </c>
      <c r="CM67" s="21">
        <f>EXP(-LN(2)/2)*CM66+(1-EXP(-LN(2)/2))/(LN(2)/2)*CG67*CJ67*VLOOKUP('Données projet'!$B$12,Paramètres!$A$1:$I$89,3,0)*0.475*44/12</f>
        <v>4.1848377019420573</v>
      </c>
      <c r="CN67" s="22">
        <f t="shared" si="12"/>
        <v>56.844900241984647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6.8933333333333326</v>
      </c>
      <c r="CT67" s="12">
        <f>IF('Données projet'!$A$140&gt;35,CT66+CS67-DB66,IF(A67&lt;'Données projet'!$A$140,$CQ$205^A67,IF(A67='Données projet'!$A$140,'Données projet'!$B$140,CT66+CS67-DB66)))</f>
        <v>156.32333333333327</v>
      </c>
      <c r="CU67" s="17">
        <f>CT67*VLOOKUP('Données projet'!$B$13,Paramètres!$A$1:$I$89,3,0)*VLOOKUP('Données projet'!$B$13,Paramètres!$A$1:$I$89,5,0)</f>
        <v>156.07321599999995</v>
      </c>
      <c r="CV67" s="13">
        <f t="shared" si="41"/>
        <v>39.955541506835537</v>
      </c>
      <c r="CW67" s="20">
        <f t="shared" si="13"/>
        <v>341.41675265773847</v>
      </c>
      <c r="CX67" s="59">
        <f t="shared" si="14"/>
        <v>634.75008599107173</v>
      </c>
      <c r="CY67" s="59">
        <f ca="1">AVERAGE(OFFSET($CX$3,0,0,'Données projet'!$E$13+1,1))-AVERAGE(OFFSET($H$3,0,0,'Données projet'!$E$13+1,1))</f>
        <v>525.74725170626471</v>
      </c>
      <c r="CZ67" s="59">
        <f t="shared" si="42"/>
        <v>259.19103598192197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24.66497828092438</v>
      </c>
      <c r="DH67" s="21">
        <f>EXP(-LN(2)/2)*DH66+(1-EXP(-LN(2)/2))/(LN(2)/2)*DB67*DE67*VLOOKUP('Données projet'!$B$13,Paramètres!$A$1:$I$89,3,0)*0.475*44/12</f>
        <v>3.4322399288633485</v>
      </c>
      <c r="DI67" s="22">
        <f t="shared" si="15"/>
        <v>28.09721820978773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8.5662500000000001</v>
      </c>
      <c r="DO67" s="12">
        <f>IF('Données projet'!$A$166&gt;35,DO66+DN67-DW66,IF(A67&lt;'Données projet'!$A$166,$DL$205^A67,IF(A67='Données projet'!$A$166,'Données projet'!$B$166,DO66+DN67-DW66)))</f>
        <v>207.38125000000028</v>
      </c>
      <c r="DP67" s="17">
        <f>DO67*VLOOKUP('Données projet'!$B$14,Paramètres!$A$1:$I$89,3,0)*VLOOKUP('Données projet'!$B$14,Paramètres!$A$1:$I$89,5,0)</f>
        <v>187.63855500000025</v>
      </c>
      <c r="DQ67" s="13">
        <f t="shared" si="43"/>
        <v>47.017491484907552</v>
      </c>
      <c r="DR67" s="20">
        <f t="shared" si="16"/>
        <v>408.6926142945477</v>
      </c>
      <c r="DS67" s="59">
        <f t="shared" si="17"/>
        <v>702.02594762788101</v>
      </c>
      <c r="DT67" s="59">
        <f ca="1">AVERAGE(OFFSET($DS$3,0,0,'Données projet'!$E$14+1,1))-AVERAGE(OFFSET($H$3,0,0,'Données projet'!$E$14+1,1))</f>
        <v>490.06222615476065</v>
      </c>
      <c r="DU67" s="59">
        <f t="shared" si="44"/>
        <v>310.43914804089906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7.192077872857924</v>
      </c>
      <c r="EB67" s="21">
        <f>EXP(-LN(2)/25)*EB66+(1-EXP(-LN(2)/25))/(LN(2)/25)*Calculateur!DW67*Calculateur!DY67*VLOOKUP('Données projet'!$B$14,Paramètres!$A$1:$I$89,3,0)*0.475*44/12</f>
        <v>30.684888619263663</v>
      </c>
      <c r="EC67" s="21">
        <f>EXP(-LN(2)/2)*EC66+(1-EXP(-LN(2)/2))/(LN(2)/2)*DW67*DZ67*VLOOKUP('Données projet'!$B$14,Paramètres!$A$1:$I$89,3,0)*0.475*44/12</f>
        <v>0.90086267322977642</v>
      </c>
      <c r="ED67" s="22">
        <f t="shared" si="18"/>
        <v>38.777829165351363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6.8933333333333326</v>
      </c>
      <c r="EJ67" s="12">
        <f>IF('Données projet'!$A$192&gt;35,EJ66+EI67-ER66,IF(A67&lt;'Données projet'!$A$192,$EG$205^A67,IF(A67='Données projet'!$A$192,'Données projet'!$B$192,EJ66+EI67-ER66)))</f>
        <v>156.32333333333327</v>
      </c>
      <c r="EK67" s="17">
        <f>EJ67*VLOOKUP('Données projet'!$B$15,Paramètres!$A$1:$I$89,3,0)*VLOOKUP('Données projet'!$B$15,Paramètres!$A$1:$I$89,5,0)</f>
        <v>158.51185999999996</v>
      </c>
      <c r="EL67" s="13">
        <f t="shared" si="45"/>
        <v>40.506678950569523</v>
      </c>
      <c r="EM67" s="20">
        <f t="shared" si="19"/>
        <v>346.6239553389085</v>
      </c>
      <c r="EN67" s="59">
        <f t="shared" si="20"/>
        <v>639.95728867224182</v>
      </c>
      <c r="EO67" s="59">
        <f ca="1">AVERAGE(OFFSET($EN$3,0,0,'Données projet'!$E$15+1,1))-AVERAGE(OFFSET($H$3,0,0,'Données projet'!$E$15+1,1))</f>
        <v>533.26035274112917</v>
      </c>
      <c r="EP67" s="59">
        <f t="shared" si="46"/>
        <v>262.58149402282521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25.050368566563826</v>
      </c>
      <c r="EX67" s="21">
        <f>EXP(-LN(2)/2)*EX66+(1-EXP(-LN(2)/2))/(LN(2)/2)*ER67*EU67*VLOOKUP('Données projet'!$B$15,Paramètres!$A$1:$I$89,3,0)*0.475*44/12</f>
        <v>3.4858686777518395</v>
      </c>
      <c r="EY67" s="22">
        <f t="shared" si="21"/>
        <v>28.536237244315664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2.8205128205128176</v>
      </c>
      <c r="FE67" s="12">
        <f>IF('Données projet'!$A$218&gt;35,FE66+FD67-FM66,IF(A67&lt;'Données projet'!$A$218,$FB$205^A67,IF(A67='Données projet'!$A$218,'Données projet'!$B$218,FE66+FD67-FM66)))</f>
        <v>122.1794871794871</v>
      </c>
      <c r="FF67" s="17">
        <f>FE67*VLOOKUP('Données projet'!$B$16,Paramètres!$A$1:$I$89,3,0)*VLOOKUP('Données projet'!$B$16,Paramètres!$A$1:$I$89,5,0)</f>
        <v>127.70199999999991</v>
      </c>
      <c r="FG67" s="13">
        <f t="shared" si="47"/>
        <v>33.464809084200624</v>
      </c>
      <c r="FH67" s="20">
        <f t="shared" si="22"/>
        <v>280.69885915498259</v>
      </c>
      <c r="FI67" s="59">
        <f t="shared" si="23"/>
        <v>574.0321924883159</v>
      </c>
      <c r="FJ67" s="59">
        <f ca="1">AVERAGE(OFFSET($FI$3,0,0,'Données projet'!$E$16+1,1))-AVERAGE(OFFSET($H$3,0,0,'Données projet'!$E$16+1,1))</f>
        <v>239.26156489359892</v>
      </c>
      <c r="FK67" s="59">
        <f t="shared" si="48"/>
        <v>213.97034450798111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14.755122526107964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14.755122526107964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9.7525000000000013</v>
      </c>
      <c r="N68" s="13">
        <f>IF('Données projet'!$A$36&gt;35,N67+M68-V67,IF(A68&lt;'Données projet'!$A$36,$K$205^A68,IF(A68='Données projet'!$A$36,'Données projet'!$B$36,N67+M68-V67)))</f>
        <v>219.55499999999998</v>
      </c>
      <c r="O68" s="13">
        <f>N68*VLOOKUP('Données projet'!$B$9,Paramètres!$A$1:$I$89,3,0)*VLOOKUP('Données projet'!$B$9,Paramètres!$A$1:$I$89,5,0)</f>
        <v>208.92853799999997</v>
      </c>
      <c r="P68" s="13">
        <f t="shared" si="33"/>
        <v>51.701374633508699</v>
      </c>
      <c r="Q68" s="20">
        <f t="shared" si="54"/>
        <v>453.93043117002759</v>
      </c>
      <c r="R68" s="59">
        <f t="shared" si="55"/>
        <v>747.2637645033609</v>
      </c>
      <c r="S68" s="59">
        <f ca="1">AVERAGE(OFFSET($R$3,0,0,'Données projet'!$E$9+1,1))-AVERAGE(OFFSET($H$3,0,0,'Données projet'!$E$9+1,1))</f>
        <v>449.28947235329758</v>
      </c>
      <c r="T68" s="59">
        <f t="shared" si="34"/>
        <v>289.36994109443964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11.311654375408578</v>
      </c>
      <c r="AA68" s="21">
        <f>EXP(-LN(2)/25)*AA67+(1-EXP(-LN(2)/25))/(LN(2)/25)*Calculateur!V68*Calculateur!X68*VLOOKUP('Données projet'!$B$9,Paramètres!$A$1:$I$89,3,0)*0.475*44/12</f>
        <v>26.814234725388872</v>
      </c>
      <c r="AB68" s="21">
        <f>EXP(-LN(2)/2)*AB67+(1-EXP(-LN(2)/2))/(LN(2)/2)*V68*Y68*VLOOKUP('Données projet'!$B$9,Paramètres!$A$1:$I$89,3,0)*0.475*44/12</f>
        <v>0.52170944171153655</v>
      </c>
      <c r="AC68" s="22">
        <f t="shared" ref="AC68:AC131" si="57">SUM(Z68:AB68)</f>
        <v>38.647598542508987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11.896999999999997</v>
      </c>
      <c r="AI68" s="13">
        <f>IF('Données projet'!$A$62&gt;35,AI67+AH68-AQ67,IF(A68&lt;'Données projet'!$A$62,$AF$205^A68,IF(A68='Données projet'!$A$62,'Données projet'!$B$62,AI67+AH68-AQ67)))</f>
        <v>430.58499999999981</v>
      </c>
      <c r="AJ68" s="13">
        <f>AI68*VLOOKUP('Données projet'!$B$10,Paramètres!$A$1:$I$89,3,0)*VLOOKUP('Données projet'!$B$10,Paramètres!$A$1:$I$89,5,0)</f>
        <v>257.48982999999993</v>
      </c>
      <c r="AK68" s="13">
        <f t="shared" si="35"/>
        <v>62.187009415011673</v>
      </c>
      <c r="AL68" s="20">
        <f t="shared" ref="AL68:AL131" si="58">(AJ68+AK68)*0.475*44/12</f>
        <v>556.77049531447858</v>
      </c>
      <c r="AM68" s="59">
        <f t="shared" ref="AM68:AM131" si="59">AL68+(AD68+AE68)*44/12</f>
        <v>850.10382864781195</v>
      </c>
      <c r="AN68" s="59">
        <f ca="1">AVERAGE(OFFSET($AM$3,0,0,'Données projet'!$E$10+1,1))-AVERAGE(OFFSET($H$3,0,0,'Données projet'!$E$10+1,1))</f>
        <v>349.71285006949597</v>
      </c>
      <c r="AO68" s="59">
        <f t="shared" si="36"/>
        <v>258.51550516456842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40.31897329868724</v>
      </c>
      <c r="AV68" s="21">
        <f>EXP(-LN(2)/25)*AV67+(1-EXP(-LN(2)/25))/(LN(2)/25)*Calculateur!AQ68*Calculateur!AS68*VLOOKUP('Données projet'!$B$10,Paramètres!$A$1:$I$89,3,0)*0.475*44/12</f>
        <v>16.830935940639026</v>
      </c>
      <c r="AW68" s="21">
        <f>EXP(-LN(2)/2)*AW67+(1-EXP(-LN(2)/2))/(LN(2)/2)*AQ68*AT68*VLOOKUP('Données projet'!$B$10,Paramètres!$A$1:$I$89,3,0)*0.475*44/12</f>
        <v>1.7269736533560056</v>
      </c>
      <c r="AX68" s="21">
        <f t="shared" ref="AX68:AX131" si="60">SUM(AU68:AW68)</f>
        <v>58.876882892682268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1.1368683772161603E-13</v>
      </c>
      <c r="BE68" s="13">
        <f>BD68*VLOOKUP('Données projet'!$B$11,Paramètres!$A$1:$I$89,3,0)*VLOOKUP('Données projet'!$B$11,Paramètres!$A$1:$I$89,5,0)</f>
        <v>6.7984728957526396E-14</v>
      </c>
      <c r="BF68" s="13">
        <f t="shared" si="37"/>
        <v>1.0682447123141398E-12</v>
      </c>
      <c r="BG68" s="20">
        <f t="shared" ref="BG68:BG131" si="61">(BE68+BF68)*0.475*44/12</f>
        <v>1.978932943548152E-12</v>
      </c>
      <c r="BH68" s="59">
        <f t="shared" ref="BH68:BH131" si="62">BG68+(AY68+AZ68)*44/12</f>
        <v>293.3333333333353</v>
      </c>
      <c r="BI68" s="59">
        <f ca="1">AVERAGE(OFFSET($BH$3,0,0,'Données projet'!$E$11+1,1))-AVERAGE(OFFSET($H$3,0,0,'Données projet'!$E$11+1,1))</f>
        <v>302.00825291248458</v>
      </c>
      <c r="BJ68" s="59">
        <f t="shared" si="38"/>
        <v>307.35115839449355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125.77703818360119</v>
      </c>
      <c r="BQ68" s="21">
        <f>EXP(-LN(2)/25)*BQ67+(1-EXP(-LN(2)/25))/(LN(2)/25)*Calculateur!BL68*Calculateur!BN68*VLOOKUP('Données projet'!$B$11,Paramètres!$A$1:$I$89,3,0)*0.475*44/12</f>
        <v>42.169920025677442</v>
      </c>
      <c r="BR68" s="21">
        <f>EXP(-LN(2)/2)*BR67+(1-EXP(-LN(2)/2))/(LN(2)/2)*BL68*BO68*VLOOKUP('Données projet'!$B$11,Paramètres!$A$1:$I$89,3,0)*0.475*44/12</f>
        <v>10.599785707530655</v>
      </c>
      <c r="BS68" s="22">
        <f t="shared" ref="BS68:BS131" si="63">SUM(BP68:BR68)</f>
        <v>178.54674391680931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11.997500000000002</v>
      </c>
      <c r="BY68" s="12">
        <f>IF('Données projet'!$A$114&gt;35,BY67+BX68-CG67,IF(A68&lt;'Données projet'!$A$114,$BV$205^A68,IF(A68='Données projet'!$A$114,'Données projet'!$B$114,BY67+BX68-CG67)))</f>
        <v>298.99999999999989</v>
      </c>
      <c r="BZ68" s="13">
        <f>BY68*VLOOKUP('Données projet'!$B$12,Paramètres!$A$1:$I$89,3,0)*VLOOKUP('Données projet'!$B$12,Paramètres!$A$1:$I$89,5,0)</f>
        <v>139.93199999999996</v>
      </c>
      <c r="CA68" s="13">
        <f t="shared" si="39"/>
        <v>36.281427209452353</v>
      </c>
      <c r="CB68" s="20">
        <f t="shared" ref="CB68:CB131" si="64">(BZ68+CA68)*0.475*44/12</f>
        <v>306.90505238979614</v>
      </c>
      <c r="CC68" s="59">
        <f t="shared" ref="CC68:CC131" si="65">CB68+(BT68+BU68)*44/12</f>
        <v>600.23838572312945</v>
      </c>
      <c r="CD68" s="59">
        <f ca="1">AVERAGE(OFFSET($CC$3,0,0,'Données projet'!$E$12+1,1))-AVERAGE(OFFSET($H$3,0,0,'Données projet'!$E$12+1,1))</f>
        <v>337.10499990421835</v>
      </c>
      <c r="CE68" s="59">
        <f t="shared" si="40"/>
        <v>277.4254079562175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30.439375674201724</v>
      </c>
      <c r="CL68" s="21">
        <f>EXP(-LN(2)/25)*CL67+(1-EXP(-LN(2)/25))/(LN(2)/25)*Calculateur!CG68*Calculateur!CI68*VLOOKUP('Données projet'!$B$12,Paramètres!$A$1:$I$89,3,0)*0.475*44/12</f>
        <v>21.020873177897752</v>
      </c>
      <c r="CM68" s="21">
        <f>EXP(-LN(2)/2)*CM67+(1-EXP(-LN(2)/2))/(LN(2)/2)*CG68*CJ68*VLOOKUP('Données projet'!$B$12,Paramètres!$A$1:$I$89,3,0)*0.475*44/12</f>
        <v>2.9591271172083569</v>
      </c>
      <c r="CN68" s="22">
        <f t="shared" ref="CN68:CN131" si="66">SUM(CK68:CM68)</f>
        <v>54.419375969307829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6.8933333333333326</v>
      </c>
      <c r="CT68" s="12">
        <f>IF('Données projet'!$A$140&gt;35,CT67+CS68-DB67,IF(A68&lt;'Données projet'!$A$140,$CQ$205^A68,IF(A68='Données projet'!$A$140,'Données projet'!$B$140,CT67+CS68-DB67)))</f>
        <v>163.21666666666661</v>
      </c>
      <c r="CU68" s="17">
        <f>CT68*VLOOKUP('Données projet'!$B$13,Paramètres!$A$1:$I$89,3,0)*VLOOKUP('Données projet'!$B$13,Paramètres!$A$1:$I$89,5,0)</f>
        <v>162.95551999999995</v>
      </c>
      <c r="CV68" s="13">
        <f t="shared" si="41"/>
        <v>41.508429401707161</v>
      </c>
      <c r="CW68" s="20">
        <f t="shared" ref="CW68:CW131" si="67">(CU68+CV68)*0.475*44/12</f>
        <v>356.10804520797319</v>
      </c>
      <c r="CX68" s="59">
        <f t="shared" ref="CX68:CX131" si="68">CW68+(CO68+CP68)*44/12</f>
        <v>649.44137854130645</v>
      </c>
      <c r="CY68" s="59">
        <f ca="1">AVERAGE(OFFSET($CX$3,0,0,'Données projet'!$E$13+1,1))-AVERAGE(OFFSET($H$3,0,0,'Données projet'!$E$13+1,1))</f>
        <v>525.74725170626471</v>
      </c>
      <c r="CZ68" s="59">
        <f t="shared" si="42"/>
        <v>259.19103598192197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23.990513152757668</v>
      </c>
      <c r="DH68" s="21">
        <f>EXP(-LN(2)/2)*DH67+(1-EXP(-LN(2)/2))/(LN(2)/2)*DB68*DE68*VLOOKUP('Données projet'!$B$13,Paramètres!$A$1:$I$89,3,0)*0.475*44/12</f>
        <v>2.4269601283585072</v>
      </c>
      <c r="DI68" s="22">
        <f t="shared" ref="DI68:DI131" si="69">SUM(DF68:DH68)</f>
        <v>26.417473281116173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8.5662500000000001</v>
      </c>
      <c r="DO68" s="12">
        <f>IF('Données projet'!$A$166&gt;35,DO67+DN68-DW67,IF(A68&lt;'Données projet'!$A$166,$DL$205^A68,IF(A68='Données projet'!$A$166,'Données projet'!$B$166,DO67+DN68-DW67)))</f>
        <v>215.94750000000028</v>
      </c>
      <c r="DP68" s="17">
        <f>DO68*VLOOKUP('Données projet'!$B$14,Paramètres!$A$1:$I$89,3,0)*VLOOKUP('Données projet'!$B$14,Paramètres!$A$1:$I$89,5,0)</f>
        <v>195.38929800000025</v>
      </c>
      <c r="DQ68" s="13">
        <f t="shared" si="43"/>
        <v>48.729503620609371</v>
      </c>
      <c r="DR68" s="20">
        <f t="shared" ref="DR68:DR131" si="70">(DP68+DQ68)*0.475*44/12</f>
        <v>425.17357948922836</v>
      </c>
      <c r="DS68" s="59">
        <f t="shared" ref="DS68:DS131" si="71">DR68+(DJ68+DK68)*44/12</f>
        <v>718.50691282256162</v>
      </c>
      <c r="DT68" s="59">
        <f ca="1">AVERAGE(OFFSET($DS$3,0,0,'Données projet'!$E$14+1,1))-AVERAGE(OFFSET($H$3,0,0,'Données projet'!$E$14+1,1))</f>
        <v>490.06222615476065</v>
      </c>
      <c r="DU68" s="59">
        <f t="shared" si="44"/>
        <v>310.43914804089906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7.0510456125055283</v>
      </c>
      <c r="EB68" s="21">
        <f>EXP(-LN(2)/25)*EB67+(1-EXP(-LN(2)/25))/(LN(2)/25)*Calculateur!DW68*Calculateur!DY68*VLOOKUP('Données projet'!$B$14,Paramètres!$A$1:$I$89,3,0)*0.475*44/12</f>
        <v>29.845808726321739</v>
      </c>
      <c r="EC68" s="21">
        <f>EXP(-LN(2)/2)*EC67+(1-EXP(-LN(2)/2))/(LN(2)/2)*DW68*DZ68*VLOOKUP('Données projet'!$B$14,Paramètres!$A$1:$I$89,3,0)*0.475*44/12</f>
        <v>0.63700610515861578</v>
      </c>
      <c r="ED68" s="22">
        <f t="shared" ref="ED68:ED131" si="72">SUM(EA68:EC68)</f>
        <v>37.533860443985887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6.8933333333333326</v>
      </c>
      <c r="EJ68" s="12">
        <f>IF('Données projet'!$A$192&gt;35,EJ67+EI68-ER67,IF(A68&lt;'Données projet'!$A$192,$EG$205^A68,IF(A68='Données projet'!$A$192,'Données projet'!$B$192,EJ67+EI68-ER67)))</f>
        <v>163.21666666666661</v>
      </c>
      <c r="EK68" s="17">
        <f>EJ68*VLOOKUP('Données projet'!$B$15,Paramètres!$A$1:$I$89,3,0)*VLOOKUP('Données projet'!$B$15,Paramètres!$A$1:$I$89,5,0)</f>
        <v>165.50169999999997</v>
      </c>
      <c r="EL68" s="13">
        <f t="shared" si="45"/>
        <v>42.080987019777631</v>
      </c>
      <c r="EM68" s="20">
        <f t="shared" ref="EM68:EM131" si="73">(EK68+EL68)*0.475*44/12</f>
        <v>361.539846559446</v>
      </c>
      <c r="EN68" s="59">
        <f t="shared" ref="EN68:EN131" si="74">EM68+(EE68+EF68)*44/12</f>
        <v>654.87317989277926</v>
      </c>
      <c r="EO68" s="59">
        <f ca="1">AVERAGE(OFFSET($EN$3,0,0,'Données projet'!$E$15+1,1))-AVERAGE(OFFSET($H$3,0,0,'Données projet'!$E$15+1,1))</f>
        <v>533.26035274112917</v>
      </c>
      <c r="EP68" s="59">
        <f t="shared" si="46"/>
        <v>262.58149402282521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24.365364920769508</v>
      </c>
      <c r="EX68" s="21">
        <f>EXP(-LN(2)/2)*EX67+(1-EXP(-LN(2)/2))/(LN(2)/2)*ER68*EU68*VLOOKUP('Données projet'!$B$15,Paramètres!$A$1:$I$89,3,0)*0.475*44/12</f>
        <v>2.4648813803641101</v>
      </c>
      <c r="EY68" s="22">
        <f t="shared" ref="EY68:EY131" si="75">SUM(EV68:EX68)</f>
        <v>26.83024630113362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125</v>
      </c>
      <c r="FC68" s="12">
        <f>VLOOKUP(A68,'Données projet'!$A$217:$I$237,9,0)</f>
        <v>2.8205128205128176</v>
      </c>
      <c r="FD68" s="12">
        <f t="array" ref="FD68">INDEX(FC:FC,MIN(IF(ISNUMBER(FC68:FC264),ROW(FC68:FC264),"")))</f>
        <v>2.8205128205128176</v>
      </c>
      <c r="FE68" s="12">
        <f>IF('Données projet'!$A$218&gt;35,FE67+FD68-FM67,IF(A68&lt;'Données projet'!$A$218,$FB$205^A68,IF(A68='Données projet'!$A$218,'Données projet'!$B$218,FE67+FD68-FM67)))</f>
        <v>124.99999999999991</v>
      </c>
      <c r="FF68" s="17">
        <f>FE68*VLOOKUP('Données projet'!$B$16,Paramètres!$A$1:$I$89,3,0)*VLOOKUP('Données projet'!$B$16,Paramètres!$A$1:$I$89,5,0)</f>
        <v>130.64999999999992</v>
      </c>
      <c r="FG68" s="13">
        <f t="shared" si="47"/>
        <v>34.146511621978362</v>
      </c>
      <c r="FH68" s="20">
        <f t="shared" ref="FH68:FH131" si="76">(FF68+FG68)*0.475*44/12</f>
        <v>287.02059107494546</v>
      </c>
      <c r="FI68" s="59">
        <f t="shared" ref="FI68:FI131" si="77">FH68+(EZ68+FA68)*44/12</f>
        <v>580.35392440827877</v>
      </c>
      <c r="FJ68" s="59">
        <f ca="1">AVERAGE(OFFSET($FI$3,0,0,'Données projet'!$E$16+1,1))-AVERAGE(OFFSET($H$3,0,0,'Données projet'!$E$16+1,1))</f>
        <v>239.26156489359892</v>
      </c>
      <c r="FK68" s="59">
        <f t="shared" si="48"/>
        <v>213.97034450798111</v>
      </c>
      <c r="FL68" s="15">
        <f>IF(ISNA(VLOOKUP(A68,'Données projet'!$A$217:$I$237,3,0)),0,VLOOKUP(A68,'Données projet'!$A$217:$I$237,3,0))</f>
        <v>10</v>
      </c>
      <c r="FM68" s="15">
        <f>IF(ISNA(VLOOKUP(A68,'Données projet'!$A$217:$I$237,4,0)),0,VLOOKUP(A68,'Données projet'!$A$217:$I$237,4,0))</f>
        <v>9.615384615384615</v>
      </c>
      <c r="FN68" s="16">
        <f>IF(ISNA(VLOOKUP(A68,'Données projet'!$A$217:$I$237,5,0)),0%,VLOOKUP(A68,'Données projet'!$A$217:$I$237,5,0)*VLOOKUP('Données projet'!$B$16,Paramètres!$A$1:$I$89,7,0))</f>
        <v>4.3000000000000003E-2</v>
      </c>
      <c r="FO68" s="16">
        <f>IF(ISNA(VLOOKUP(A68,'Données projet'!$A$217:$I$237,6,0)),0%,VLOOKUP(A68,'Données projet'!$A$217:$I$237,6,0)*VLOOKUP('Données projet'!$B$16,Paramètres!$A$1:$I$89,7,0))</f>
        <v>0.215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0.47772902451516441</v>
      </c>
      <c r="FR68" s="21">
        <f>EXP(-LN(2)/25)*FR67+(1-EXP(-LN(2)/25))/(LN(2)/25)*Calculateur!FM68*Calculateur!FO68*VLOOKUP('Données projet'!$B$16,Paramètres!$A$1:$I$89,3,0)*0.475*44/12</f>
        <v>16.730883041276467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17.20861206579163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9.7525000000000013</v>
      </c>
      <c r="N69" s="13">
        <f>IF('Données projet'!$A$36&gt;35,N68+M69-V68,IF(A69&lt;'Données projet'!$A$36,$K$205^A69,IF(A69='Données projet'!$A$36,'Données projet'!$B$36,N68+M69-V68)))</f>
        <v>229.30749999999998</v>
      </c>
      <c r="O69" s="13">
        <f>N69*VLOOKUP('Données projet'!$B$9,Paramètres!$A$1:$I$89,3,0)*VLOOKUP('Données projet'!$B$9,Paramètres!$A$1:$I$89,5,0)</f>
        <v>218.20901699999999</v>
      </c>
      <c r="P69" s="13">
        <f t="shared" ref="P69:P132" si="87">EXP(-1.0587+0.8836*LN(O69)+0.284)</f>
        <v>53.725439422688339</v>
      </c>
      <c r="Q69" s="20">
        <f t="shared" si="54"/>
        <v>473.61917826951543</v>
      </c>
      <c r="R69" s="59">
        <f t="shared" si="55"/>
        <v>766.95251160284874</v>
      </c>
      <c r="S69" s="59">
        <f ca="1">AVERAGE(OFFSET($R$3,0,0,'Données projet'!$E$9+1,1))-AVERAGE(OFFSET($H$3,0,0,'Données projet'!$E$9+1,1))</f>
        <v>449.28947235329758</v>
      </c>
      <c r="T69" s="59">
        <f t="shared" ref="T69:T132" si="88">$T$3</f>
        <v>289.36994109443964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11.089839732534722</v>
      </c>
      <c r="AA69" s="21">
        <f>EXP(-LN(2)/25)*AA68+(1-EXP(-LN(2)/25))/(LN(2)/25)*Calculateur!V69*Calculateur!X69*VLOOKUP('Données projet'!$B$9,Paramètres!$A$1:$I$89,3,0)*0.475*44/12</f>
        <v>26.080998066723794</v>
      </c>
      <c r="AB69" s="21">
        <f>EXP(-LN(2)/2)*AB68+(1-EXP(-LN(2)/2))/(LN(2)/2)*V69*Y69*VLOOKUP('Données projet'!$B$9,Paramètres!$A$1:$I$89,3,0)*0.475*44/12</f>
        <v>0.36890428404327535</v>
      </c>
      <c r="AC69" s="22">
        <f t="shared" si="57"/>
        <v>37.539742083301789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11.896999999999997</v>
      </c>
      <c r="AI69" s="13">
        <f>IF('Données projet'!$A$62&gt;35,AI68+AH69-AQ68,IF(A69&lt;'Données projet'!$A$62,$AF$205^A69,IF(A69='Données projet'!$A$62,'Données projet'!$B$62,AI68+AH69-AQ68)))</f>
        <v>442.4819999999998</v>
      </c>
      <c r="AJ69" s="13">
        <f>AI69*VLOOKUP('Données projet'!$B$10,Paramètres!$A$1:$I$89,3,0)*VLOOKUP('Données projet'!$B$10,Paramètres!$A$1:$I$89,5,0)</f>
        <v>264.6042359999999</v>
      </c>
      <c r="AK69" s="13">
        <f t="shared" ref="AK69:AK132" si="89">EXP(-1.0587+0.8836*LN(AJ69)+0.284)</f>
        <v>63.702810105204811</v>
      </c>
      <c r="AL69" s="20">
        <f t="shared" si="58"/>
        <v>571.80143863323156</v>
      </c>
      <c r="AM69" s="59">
        <f t="shared" si="59"/>
        <v>865.13477196656481</v>
      </c>
      <c r="AN69" s="59">
        <f ca="1">AVERAGE(OFFSET($AM$3,0,0,'Données projet'!$E$10+1,1))-AVERAGE(OFFSET($H$3,0,0,'Données projet'!$E$10+1,1))</f>
        <v>349.71285006949597</v>
      </c>
      <c r="AO69" s="59">
        <f t="shared" ref="AO69:AO132" si="90">$AO$3</f>
        <v>258.51550516456842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39.528342824445424</v>
      </c>
      <c r="AV69" s="21">
        <f>EXP(-LN(2)/25)*AV68+(1-EXP(-LN(2)/25))/(LN(2)/25)*Calculateur!AQ69*Calculateur!AS69*VLOOKUP('Données projet'!$B$10,Paramètres!$A$1:$I$89,3,0)*0.475*44/12</f>
        <v>16.370693112241799</v>
      </c>
      <c r="AW69" s="21">
        <f>EXP(-LN(2)/2)*AW68+(1-EXP(-LN(2)/2))/(LN(2)/2)*AQ69*AT69*VLOOKUP('Données projet'!$B$10,Paramètres!$A$1:$I$89,3,0)*0.475*44/12</f>
        <v>1.2211547812185377</v>
      </c>
      <c r="AX69" s="21">
        <f t="shared" si="60"/>
        <v>57.120190717905764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1.1368683772161603E-13</v>
      </c>
      <c r="BE69" s="13">
        <f>BD69*VLOOKUP('Données projet'!$B$11,Paramètres!$A$1:$I$89,3,0)*VLOOKUP('Données projet'!$B$11,Paramètres!$A$1:$I$89,5,0)</f>
        <v>6.7984728957526396E-14</v>
      </c>
      <c r="BF69" s="13">
        <f t="shared" ref="BF69:BF132" si="91">EXP(-1.0587+0.8836*LN(BE69)+0.284)</f>
        <v>1.0682447123141398E-12</v>
      </c>
      <c r="BG69" s="20">
        <f t="shared" si="61"/>
        <v>1.978932943548152E-12</v>
      </c>
      <c r="BH69" s="59">
        <f t="shared" si="62"/>
        <v>293.3333333333353</v>
      </c>
      <c r="BI69" s="59">
        <f ca="1">AVERAGE(OFFSET($BH$3,0,0,'Données projet'!$E$11+1,1))-AVERAGE(OFFSET($H$3,0,0,'Données projet'!$E$11+1,1))</f>
        <v>302.00825291248458</v>
      </c>
      <c r="BJ69" s="59">
        <f t="shared" ref="BJ69:BJ132" si="92">$BJ$3</f>
        <v>307.35115839449355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123.31062718123894</v>
      </c>
      <c r="BQ69" s="21">
        <f>EXP(-LN(2)/25)*BQ68+(1-EXP(-LN(2)/25))/(LN(2)/25)*Calculateur!BL69*Calculateur!BN69*VLOOKUP('Données projet'!$B$11,Paramètres!$A$1:$I$89,3,0)*0.475*44/12</f>
        <v>41.016781344955575</v>
      </c>
      <c r="BR69" s="21">
        <f>EXP(-LN(2)/2)*BR68+(1-EXP(-LN(2)/2))/(LN(2)/2)*BL69*BO69*VLOOKUP('Données projet'!$B$11,Paramètres!$A$1:$I$89,3,0)*0.475*44/12</f>
        <v>7.4951803529191734</v>
      </c>
      <c r="BS69" s="22">
        <f t="shared" si="63"/>
        <v>171.82258887911368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11.997500000000002</v>
      </c>
      <c r="BY69" s="12">
        <f>IF('Données projet'!$A$114&gt;35,BY68+BX69-CG68,IF(A69&lt;'Données projet'!$A$114,$BV$205^A69,IF(A69='Données projet'!$A$114,'Données projet'!$B$114,BY68+BX69-CG68)))</f>
        <v>310.99749999999989</v>
      </c>
      <c r="BZ69" s="13">
        <f>BY69*VLOOKUP('Données projet'!$B$12,Paramètres!$A$1:$I$89,3,0)*VLOOKUP('Données projet'!$B$12,Paramètres!$A$1:$I$89,5,0)</f>
        <v>145.54682999999994</v>
      </c>
      <c r="CA69" s="13">
        <f t="shared" ref="CA69:CA132" si="93">EXP(-1.0587+0.8836*LN(BZ69)+0.284)</f>
        <v>37.564818569836</v>
      </c>
      <c r="CB69" s="20">
        <f t="shared" si="64"/>
        <v>318.91945459246426</v>
      </c>
      <c r="CC69" s="59">
        <f t="shared" si="65"/>
        <v>612.25278792579752</v>
      </c>
      <c r="CD69" s="59">
        <f ca="1">AVERAGE(OFFSET($CC$3,0,0,'Données projet'!$E$12+1,1))-AVERAGE(OFFSET($H$3,0,0,'Données projet'!$E$12+1,1))</f>
        <v>337.10499990421835</v>
      </c>
      <c r="CE69" s="59">
        <f t="shared" ref="CE69:CE132" si="94">$CE$3</f>
        <v>277.4254079562175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29.84247808341653</v>
      </c>
      <c r="CL69" s="21">
        <f>EXP(-LN(2)/25)*CL68+(1-EXP(-LN(2)/25))/(LN(2)/25)*Calculateur!CG69*Calculateur!CI69*VLOOKUP('Données projet'!$B$12,Paramètres!$A$1:$I$89,3,0)*0.475*44/12</f>
        <v>20.446056295408461</v>
      </c>
      <c r="CM69" s="21">
        <f>EXP(-LN(2)/2)*CM68+(1-EXP(-LN(2)/2))/(LN(2)/2)*CG69*CJ69*VLOOKUP('Données projet'!$B$12,Paramètres!$A$1:$I$89,3,0)*0.475*44/12</f>
        <v>2.0924188509710291</v>
      </c>
      <c r="CN69" s="22">
        <f t="shared" si="66"/>
        <v>52.38095322979602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6.8933333333333326</v>
      </c>
      <c r="CT69" s="12">
        <f>IF('Données projet'!$A$140&gt;35,CT68+CS69-DB68,IF(A69&lt;'Données projet'!$A$140,$CQ$205^A69,IF(A69='Données projet'!$A$140,'Données projet'!$B$140,CT68+CS69-DB68)))</f>
        <v>170.10999999999996</v>
      </c>
      <c r="CU69" s="17">
        <f>CT69*VLOOKUP('Données projet'!$B$13,Paramètres!$A$1:$I$89,3,0)*VLOOKUP('Données projet'!$B$13,Paramètres!$A$1:$I$89,5,0)</f>
        <v>169.83782399999996</v>
      </c>
      <c r="CV69" s="13">
        <f t="shared" ref="CV69:CV132" si="95">EXP(-1.0587+0.8836*LN(CU69)+0.284)</f>
        <v>43.053699538834387</v>
      </c>
      <c r="CW69" s="20">
        <f t="shared" si="67"/>
        <v>370.78607016346979</v>
      </c>
      <c r="CX69" s="59">
        <f t="shared" si="68"/>
        <v>664.1194034968031</v>
      </c>
      <c r="CY69" s="59">
        <f ca="1">AVERAGE(OFFSET($CX$3,0,0,'Données projet'!$E$13+1,1))-AVERAGE(OFFSET($H$3,0,0,'Données projet'!$E$13+1,1))</f>
        <v>525.74725170626471</v>
      </c>
      <c r="CZ69" s="59">
        <f t="shared" ref="CZ69:CZ132" si="96">$CZ$3</f>
        <v>259.19103598192197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23.334491308989254</v>
      </c>
      <c r="DH69" s="21">
        <f>EXP(-LN(2)/2)*DH68+(1-EXP(-LN(2)/2))/(LN(2)/2)*DB69*DE69*VLOOKUP('Données projet'!$B$13,Paramètres!$A$1:$I$89,3,0)*0.475*44/12</f>
        <v>1.7161199644316742</v>
      </c>
      <c r="DI69" s="22">
        <f t="shared" si="69"/>
        <v>25.050611273420927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8.5662500000000001</v>
      </c>
      <c r="DO69" s="12">
        <f>IF('Données projet'!$A$166&gt;35,DO68+DN69-DW68,IF(A69&lt;'Données projet'!$A$166,$DL$205^A69,IF(A69='Données projet'!$A$166,'Données projet'!$B$166,DO68+DN69-DW68)))</f>
        <v>224.51375000000027</v>
      </c>
      <c r="DP69" s="17">
        <f>DO69*VLOOKUP('Données projet'!$B$14,Paramètres!$A$1:$I$89,3,0)*VLOOKUP('Données projet'!$B$14,Paramètres!$A$1:$I$89,5,0)</f>
        <v>203.14004100000022</v>
      </c>
      <c r="DQ69" s="13">
        <f t="shared" ref="DQ69:DQ132" si="97">EXP(-1.0587+0.8836*LN(DP69)+0.284)</f>
        <v>50.433626784032469</v>
      </c>
      <c r="DR69" s="20">
        <f t="shared" si="70"/>
        <v>441.64080472385695</v>
      </c>
      <c r="DS69" s="59">
        <f t="shared" si="71"/>
        <v>734.9741380571902</v>
      </c>
      <c r="DT69" s="59">
        <f ca="1">AVERAGE(OFFSET($DS$3,0,0,'Données projet'!$E$14+1,1))-AVERAGE(OFFSET($H$3,0,0,'Données projet'!$E$14+1,1))</f>
        <v>490.06222615476065</v>
      </c>
      <c r="DU69" s="59">
        <f t="shared" ref="DU69:DU132" si="98">$DU$3</f>
        <v>310.43914804089906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6.912778908757458</v>
      </c>
      <c r="EB69" s="21">
        <f>EXP(-LN(2)/25)*EB68+(1-EXP(-LN(2)/25))/(LN(2)/25)*Calculateur!DW69*Calculateur!DY69*VLOOKUP('Données projet'!$B$14,Paramètres!$A$1:$I$89,3,0)*0.475*44/12</f>
        <v>29.029673517177603</v>
      </c>
      <c r="EC69" s="21">
        <f>EXP(-LN(2)/2)*EC68+(1-EXP(-LN(2)/2))/(LN(2)/2)*DW69*DZ69*VLOOKUP('Données projet'!$B$14,Paramètres!$A$1:$I$89,3,0)*0.475*44/12</f>
        <v>0.45043133661488821</v>
      </c>
      <c r="ED69" s="22">
        <f t="shared" si="72"/>
        <v>36.39288376254995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6.8933333333333326</v>
      </c>
      <c r="EJ69" s="12">
        <f>IF('Données projet'!$A$192&gt;35,EJ68+EI69-ER68,IF(A69&lt;'Données projet'!$A$192,$EG$205^A69,IF(A69='Données projet'!$A$192,'Données projet'!$B$192,EJ68+EI69-ER68)))</f>
        <v>170.10999999999996</v>
      </c>
      <c r="EK69" s="17">
        <f>EJ69*VLOOKUP('Données projet'!$B$15,Paramètres!$A$1:$I$89,3,0)*VLOOKUP('Données projet'!$B$15,Paramètres!$A$1:$I$89,5,0)</f>
        <v>172.49153999999996</v>
      </c>
      <c r="EL69" s="13">
        <f t="shared" ref="EL69:EL132" si="99">EXP(-1.0587+0.8836*LN(EK69)+0.284)</f>
        <v>43.64757225366332</v>
      </c>
      <c r="EM69" s="20">
        <f t="shared" si="73"/>
        <v>376.44228717513016</v>
      </c>
      <c r="EN69" s="59">
        <f t="shared" si="74"/>
        <v>669.77562050846348</v>
      </c>
      <c r="EO69" s="59">
        <f ca="1">AVERAGE(OFFSET($EN$3,0,0,'Données projet'!$E$15+1,1))-AVERAGE(OFFSET($H$3,0,0,'Données projet'!$E$15+1,1))</f>
        <v>533.26035274112917</v>
      </c>
      <c r="EP69" s="59">
        <f t="shared" ref="EP69:EP132" si="100">$EP$3</f>
        <v>262.58149402282521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23.699092735692211</v>
      </c>
      <c r="EX69" s="21">
        <f>EXP(-LN(2)/2)*EX68+(1-EXP(-LN(2)/2))/(LN(2)/2)*ER69*EU69*VLOOKUP('Données projet'!$B$15,Paramètres!$A$1:$I$89,3,0)*0.475*44/12</f>
        <v>1.7429343388759202</v>
      </c>
      <c r="EY69" s="22">
        <f t="shared" si="75"/>
        <v>25.442027074568131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2.6923076923076907</v>
      </c>
      <c r="FE69" s="12">
        <f>IF('Données projet'!$A$218&gt;35,FE68+FD69-FM68,IF(A69&lt;'Données projet'!$A$218,$FB$205^A69,IF(A69='Données projet'!$A$218,'Données projet'!$B$218,FE68+FD69-FM68)))</f>
        <v>118.07692307692299</v>
      </c>
      <c r="FF69" s="17">
        <f>FE69*VLOOKUP('Données projet'!$B$16,Paramètres!$A$1:$I$89,3,0)*VLOOKUP('Données projet'!$B$16,Paramètres!$A$1:$I$89,5,0)</f>
        <v>123.41399999999993</v>
      </c>
      <c r="FG69" s="13">
        <f t="shared" ref="FG69:FG132" si="101">EXP(-1.0587+0.8836*LN(FF69)+0.284)</f>
        <v>32.469954043567462</v>
      </c>
      <c r="FH69" s="20">
        <f t="shared" si="76"/>
        <v>271.49788662587986</v>
      </c>
      <c r="FI69" s="59">
        <f t="shared" si="77"/>
        <v>564.83121995921317</v>
      </c>
      <c r="FJ69" s="59">
        <f ca="1">AVERAGE(OFFSET($FI$3,0,0,'Données projet'!$E$16+1,1))-AVERAGE(OFFSET($H$3,0,0,'Données projet'!$E$16+1,1))</f>
        <v>239.26156489359892</v>
      </c>
      <c r="FK69" s="59">
        <f t="shared" ref="FK69:FK132" si="102">$FK$3</f>
        <v>213.97034450798111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0.46836104973035503</v>
      </c>
      <c r="FR69" s="21">
        <f>EXP(-LN(2)/25)*FR68+(1-EXP(-LN(2)/25))/(LN(2)/25)*Calculateur!FM69*Calculateur!FO69*VLOOKUP('Données projet'!$B$16,Paramètres!$A$1:$I$89,3,0)*0.475*44/12</f>
        <v>16.273376164673863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16.741737214404218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>
        <f>VLOOKUP(A70,'Données projet'!$A$35:$I$55,2,0)</f>
        <v>239.06</v>
      </c>
      <c r="L70" s="12">
        <f>VLOOKUP(A70,'Données projet'!$A$35:$I$55,9,0)</f>
        <v>9.7525000000000013</v>
      </c>
      <c r="M70" s="12">
        <f t="array" ref="M70">INDEX(L:L,MIN(IF(ISNUMBER(L70:L266),ROW(L70:L266),"")))</f>
        <v>9.7525000000000013</v>
      </c>
      <c r="N70" s="13">
        <f>IF('Données projet'!$A$36&gt;35,N69+M70-V69,IF(A70&lt;'Données projet'!$A$36,$K$205^A70,IF(A70='Données projet'!$A$36,'Données projet'!$B$36,N69+M70-V69)))</f>
        <v>239.05999999999997</v>
      </c>
      <c r="O70" s="13">
        <f>N70*VLOOKUP('Données projet'!$B$9,Paramètres!$A$1:$I$89,3,0)*VLOOKUP('Données projet'!$B$9,Paramètres!$A$1:$I$89,5,0)</f>
        <v>227.48949599999997</v>
      </c>
      <c r="P70" s="13">
        <f t="shared" si="87"/>
        <v>55.739505620294999</v>
      </c>
      <c r="Q70" s="20">
        <f t="shared" si="54"/>
        <v>493.29051115534702</v>
      </c>
      <c r="R70" s="59">
        <f t="shared" si="55"/>
        <v>786.62384448868033</v>
      </c>
      <c r="S70" s="59">
        <f ca="1">AVERAGE(OFFSET($R$3,0,0,'Données projet'!$E$9+1,1))-AVERAGE(OFFSET($H$3,0,0,'Données projet'!$E$9+1,1))</f>
        <v>449.28947235329758</v>
      </c>
      <c r="T70" s="59">
        <f t="shared" si="88"/>
        <v>289.36994109443964</v>
      </c>
      <c r="U70" s="15">
        <f>IF(ISNA(VLOOKUP(A70,'Données projet'!$A$35:$I$55,3,0)),0,VLOOKUP(A70,'Données projet'!$A$35:$I$55,3,0))</f>
        <v>5</v>
      </c>
      <c r="V70" s="15">
        <f>IF(ISNA(VLOOKUP(A70,'Données projet'!$A$35:$I$55,4,0)),0,VLOOKUP(A70,'Données projet'!$A$35:$I$55,4,0))</f>
        <v>42.550000000000011</v>
      </c>
      <c r="W70" s="16">
        <f>IF(ISNA(VLOOKUP(A70,'Données projet'!$A$35:$I$55,5,0)),0%,VLOOKUP(A70,'Données projet'!$A$35:$I$55,5,0)*VLOOKUP('Données projet'!$B$9,Paramètres!$A$1:$I$89,7,0))</f>
        <v>0.15049999999999999</v>
      </c>
      <c r="X70" s="16">
        <f>IF(ISNA(VLOOKUP(A70,'Données projet'!$A$35:$I$55,6,0)),0%,VLOOKUP(A70,'Données projet'!$A$35:$I$55,6,0)*VLOOKUP('Données projet'!$B$9,Paramètres!$A$1:$I$89,7,0))</f>
        <v>8.6000000000000007E-2</v>
      </c>
      <c r="Y70" s="16">
        <f>IF(ISNA(VLOOKUP(A70,'Données projet'!$A$35:$I$55,7,0)),0%,VLOOKUP(A70,'Données projet'!$A$35:$I$55,7,0))</f>
        <v>0.1</v>
      </c>
      <c r="Z70" s="21">
        <f>EXP(-LN(2)/35)*Z69+(1-EXP(-LN(2)/35))/(LN(2)/35)*V70*W70*VLOOKUP('Données projet'!$B$9,Paramètres!$A$1:$I$89,3,0)*0.475*44/12</f>
        <v>17.608925833950501</v>
      </c>
      <c r="AA70" s="21">
        <f>EXP(-LN(2)/25)*AA69+(1-EXP(-LN(2)/25))/(LN(2)/25)*Calculateur!V70*Calculateur!X70*VLOOKUP('Données projet'!$B$9,Paramètres!$A$1:$I$89,3,0)*0.475*44/12</f>
        <v>29.202112789306554</v>
      </c>
      <c r="AB70" s="21">
        <f>EXP(-LN(2)/2)*AB69+(1-EXP(-LN(2)/2))/(LN(2)/2)*V70*Y70*VLOOKUP('Données projet'!$B$9,Paramètres!$A$1:$I$89,3,0)*0.475*44/12</f>
        <v>4.0812499226540329</v>
      </c>
      <c r="AC70" s="22">
        <f t="shared" si="57"/>
        <v>50.892288545911086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11.896999999999997</v>
      </c>
      <c r="AI70" s="13">
        <f>IF('Données projet'!$A$62&gt;35,AI69+AH70-AQ69,IF(A70&lt;'Données projet'!$A$62,$AF$205^A70,IF(A70='Données projet'!$A$62,'Données projet'!$B$62,AI69+AH70-AQ69)))</f>
        <v>454.37899999999979</v>
      </c>
      <c r="AJ70" s="13">
        <f>AI70*VLOOKUP('Données projet'!$B$10,Paramètres!$A$1:$I$89,3,0)*VLOOKUP('Données projet'!$B$10,Paramètres!$A$1:$I$89,5,0)</f>
        <v>271.71864199999993</v>
      </c>
      <c r="AK70" s="13">
        <f t="shared" si="89"/>
        <v>65.213873692530555</v>
      </c>
      <c r="AL70" s="20">
        <f t="shared" si="58"/>
        <v>586.82413149782394</v>
      </c>
      <c r="AM70" s="59">
        <f t="shared" si="59"/>
        <v>880.15746483115731</v>
      </c>
      <c r="AN70" s="59">
        <f ca="1">AVERAGE(OFFSET($AM$3,0,0,'Données projet'!$E$10+1,1))-AVERAGE(OFFSET($H$3,0,0,'Données projet'!$E$10+1,1))</f>
        <v>349.71285006949597</v>
      </c>
      <c r="AO70" s="59">
        <f t="shared" si="90"/>
        <v>258.51550516456842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38.753216131566518</v>
      </c>
      <c r="AV70" s="21">
        <f>EXP(-LN(2)/25)*AV69+(1-EXP(-LN(2)/25))/(LN(2)/25)*Calculateur!AQ70*Calculateur!AS70*VLOOKUP('Données projet'!$B$10,Paramètres!$A$1:$I$89,3,0)*0.475*44/12</f>
        <v>15.923035648190211</v>
      </c>
      <c r="AW70" s="21">
        <f>EXP(-LN(2)/2)*AW69+(1-EXP(-LN(2)/2))/(LN(2)/2)*AQ70*AT70*VLOOKUP('Données projet'!$B$10,Paramètres!$A$1:$I$89,3,0)*0.475*44/12</f>
        <v>0.86348682667800292</v>
      </c>
      <c r="AX70" s="21">
        <f t="shared" si="60"/>
        <v>55.539738606434732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1.1368683772161603E-13</v>
      </c>
      <c r="BE70" s="13">
        <f>BD70*VLOOKUP('Données projet'!$B$11,Paramètres!$A$1:$I$89,3,0)*VLOOKUP('Données projet'!$B$11,Paramètres!$A$1:$I$89,5,0)</f>
        <v>6.7984728957526396E-14</v>
      </c>
      <c r="BF70" s="13">
        <f t="shared" si="91"/>
        <v>1.0682447123141398E-12</v>
      </c>
      <c r="BG70" s="20">
        <f t="shared" si="61"/>
        <v>1.978932943548152E-12</v>
      </c>
      <c r="BH70" s="59">
        <f t="shared" si="62"/>
        <v>293.3333333333353</v>
      </c>
      <c r="BI70" s="59">
        <f ca="1">AVERAGE(OFFSET($BH$3,0,0,'Données projet'!$E$11+1,1))-AVERAGE(OFFSET($H$3,0,0,'Données projet'!$E$11+1,1))</f>
        <v>302.00825291248458</v>
      </c>
      <c r="BJ70" s="59">
        <f t="shared" si="92"/>
        <v>307.35115839449355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120.89258099427086</v>
      </c>
      <c r="BQ70" s="21">
        <f>EXP(-LN(2)/25)*BQ69+(1-EXP(-LN(2)/25))/(LN(2)/25)*Calculateur!BL70*Calculateur!BN70*VLOOKUP('Données projet'!$B$11,Paramètres!$A$1:$I$89,3,0)*0.475*44/12</f>
        <v>39.895175302098977</v>
      </c>
      <c r="BR70" s="21">
        <f>EXP(-LN(2)/2)*BR69+(1-EXP(-LN(2)/2))/(LN(2)/2)*BL70*BO70*VLOOKUP('Données projet'!$B$11,Paramètres!$A$1:$I$89,3,0)*0.475*44/12</f>
        <v>5.2998928537653285</v>
      </c>
      <c r="BS70" s="22">
        <f t="shared" si="63"/>
        <v>166.08764915013515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11.997500000000002</v>
      </c>
      <c r="BY70" s="12">
        <f>IF('Données projet'!$A$114&gt;35,BY69+BX70-CG69,IF(A70&lt;'Données projet'!$A$114,$BV$205^A70,IF(A70='Données projet'!$A$114,'Données projet'!$B$114,BY69+BX70-CG69)))</f>
        <v>322.99499999999989</v>
      </c>
      <c r="BZ70" s="13">
        <f>BY70*VLOOKUP('Données projet'!$B$12,Paramètres!$A$1:$I$89,3,0)*VLOOKUP('Données projet'!$B$12,Paramètres!$A$1:$I$89,5,0)</f>
        <v>151.16165999999996</v>
      </c>
      <c r="CA70" s="13">
        <f t="shared" si="93"/>
        <v>38.842458378546986</v>
      </c>
      <c r="CB70" s="20">
        <f t="shared" si="64"/>
        <v>330.92383950930258</v>
      </c>
      <c r="CC70" s="59">
        <f t="shared" si="65"/>
        <v>624.2571728426359</v>
      </c>
      <c r="CD70" s="59">
        <f ca="1">AVERAGE(OFFSET($CC$3,0,0,'Données projet'!$E$12+1,1))-AVERAGE(OFFSET($H$3,0,0,'Données projet'!$E$12+1,1))</f>
        <v>337.10499990421835</v>
      </c>
      <c r="CE70" s="59">
        <f t="shared" si="94"/>
        <v>277.4254079562175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29.257285290315053</v>
      </c>
      <c r="CL70" s="21">
        <f>EXP(-LN(2)/25)*CL69+(1-EXP(-LN(2)/25))/(LN(2)/25)*Calculateur!CG70*Calculateur!CI70*VLOOKUP('Données projet'!$B$12,Paramètres!$A$1:$I$89,3,0)*0.475*44/12</f>
        <v>19.886957810799146</v>
      </c>
      <c r="CM70" s="21">
        <f>EXP(-LN(2)/2)*CM69+(1-EXP(-LN(2)/2))/(LN(2)/2)*CG70*CJ70*VLOOKUP('Données projet'!$B$12,Paramètres!$A$1:$I$89,3,0)*0.475*44/12</f>
        <v>1.4795635586041787</v>
      </c>
      <c r="CN70" s="22">
        <f t="shared" si="66"/>
        <v>50.623806659718376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6.8933333333333326</v>
      </c>
      <c r="CT70" s="12">
        <f>IF('Données projet'!$A$140&gt;35,CT69+CS70-DB69,IF(A70&lt;'Données projet'!$A$140,$CQ$205^A70,IF(A70='Données projet'!$A$140,'Données projet'!$B$140,CT69+CS70-DB69)))</f>
        <v>177.0033333333333</v>
      </c>
      <c r="CU70" s="17">
        <f>CT70*VLOOKUP('Données projet'!$B$13,Paramètres!$A$1:$I$89,3,0)*VLOOKUP('Données projet'!$B$13,Paramètres!$A$1:$I$89,5,0)</f>
        <v>176.72012799999999</v>
      </c>
      <c r="CV70" s="13">
        <f t="shared" si="95"/>
        <v>44.591695923346833</v>
      </c>
      <c r="CW70" s="20">
        <f t="shared" si="67"/>
        <v>385.45142666649571</v>
      </c>
      <c r="CX70" s="59">
        <f t="shared" si="68"/>
        <v>678.78475999982902</v>
      </c>
      <c r="CY70" s="59">
        <f ca="1">AVERAGE(OFFSET($CX$3,0,0,'Données projet'!$E$13+1,1))-AVERAGE(OFFSET($H$3,0,0,'Données projet'!$E$13+1,1))</f>
        <v>525.74725170626471</v>
      </c>
      <c r="CZ70" s="59">
        <f t="shared" si="96"/>
        <v>259.19103598192197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22.696408417037375</v>
      </c>
      <c r="DH70" s="21">
        <f>EXP(-LN(2)/2)*DH69+(1-EXP(-LN(2)/2))/(LN(2)/2)*DB70*DE70*VLOOKUP('Données projet'!$B$13,Paramètres!$A$1:$I$89,3,0)*0.475*44/12</f>
        <v>1.2134800641792536</v>
      </c>
      <c r="DI70" s="22">
        <f t="shared" si="69"/>
        <v>23.90988848121663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>
        <f>VLOOKUP(A70,'Données projet'!$A$165:$I$185,2,0)</f>
        <v>233.08</v>
      </c>
      <c r="DM70" s="12">
        <f>VLOOKUP(A70,'Données projet'!$A$165:$I$185,9,0)</f>
        <v>8.5662500000000001</v>
      </c>
      <c r="DN70" s="12">
        <f t="array" ref="DN70">INDEX(DM:DM,MIN(IF(ISNUMBER(DM70:DM266),ROW(DM70:DM266),"")))</f>
        <v>8.5662500000000001</v>
      </c>
      <c r="DO70" s="12">
        <f>IF('Données projet'!$A$166&gt;35,DO69+DN70-DW69,IF(A70&lt;'Données projet'!$A$166,$DL$205^A70,IF(A70='Données projet'!$A$166,'Données projet'!$B$166,DO69+DN70-DW69)))</f>
        <v>233.08000000000027</v>
      </c>
      <c r="DP70" s="17">
        <f>DO70*VLOOKUP('Données projet'!$B$14,Paramètres!$A$1:$I$89,3,0)*VLOOKUP('Données projet'!$B$14,Paramètres!$A$1:$I$89,5,0)</f>
        <v>210.89078400000022</v>
      </c>
      <c r="DQ70" s="13">
        <f t="shared" si="97"/>
        <v>52.130196433530017</v>
      </c>
      <c r="DR70" s="20">
        <f t="shared" si="70"/>
        <v>458.09487425506512</v>
      </c>
      <c r="DS70" s="59">
        <f t="shared" si="71"/>
        <v>751.42820758839844</v>
      </c>
      <c r="DT70" s="59">
        <f ca="1">AVERAGE(OFFSET($DS$3,0,0,'Données projet'!$E$14+1,1))-AVERAGE(OFFSET($H$3,0,0,'Données projet'!$E$14+1,1))</f>
        <v>490.06222615476065</v>
      </c>
      <c r="DU70" s="59">
        <f t="shared" si="98"/>
        <v>310.43914804089906</v>
      </c>
      <c r="DV70" s="15">
        <f>IF(ISNA(VLOOKUP(A70,'Données projet'!$A$165:$I$185,3,0)),0,VLOOKUP(A70,'Données projet'!$A$165:$I$185,3,0))</f>
        <v>4</v>
      </c>
      <c r="DW70" s="15">
        <f>IF(ISNA(VLOOKUP(A70,'Données projet'!$A$165:$I$185,4,0)),0,VLOOKUP(A70,'Données projet'!$A$165:$I$185,4,0))</f>
        <v>44.170000000000016</v>
      </c>
      <c r="DX70" s="16">
        <f>IF(ISNA(VLOOKUP(A70,'Données projet'!$A$165:$I$185,5,0)),0%,VLOOKUP(A70,'Données projet'!$A$165:$I$185,5,0)*VLOOKUP('Données projet'!$B$14,Paramètres!$A$1:$I$89,7,0))</f>
        <v>0.15049999999999999</v>
      </c>
      <c r="DY70" s="16">
        <f>IF(ISNA(VLOOKUP(A70,'Données projet'!$A$165:$I$185,6,0)),0%,VLOOKUP(A70,'Données projet'!$A$165:$I$185,6,0)*VLOOKUP('Données projet'!$B$14,Paramètres!$A$1:$I$89,7,0))</f>
        <v>8.6000000000000007E-2</v>
      </c>
      <c r="DZ70" s="16">
        <f>IF(ISNA(VLOOKUP(A70,'Données projet'!$A$165:$I$185,7,0)),0%,VLOOKUP(A70,'Données projet'!$A$165:$I$185,7,0))</f>
        <v>0.1</v>
      </c>
      <c r="EA70" s="21">
        <f>EXP(-LN(2)/35)*EA69+(1-EXP(-LN(2)/35))/(LN(2)/35)*DW70*DX70*VLOOKUP('Données projet'!$B$14,Paramètres!$A$1:$I$89,3,0)*0.475*44/12</f>
        <v>13.426334812272373</v>
      </c>
      <c r="EB70" s="21">
        <f>EXP(-LN(2)/25)*EB69+(1-EXP(-LN(2)/25))/(LN(2)/25)*Calculateur!DW70*Calculateur!DY70*VLOOKUP('Données projet'!$B$14,Paramètres!$A$1:$I$89,3,0)*0.475*44/12</f>
        <v>32.020387680767008</v>
      </c>
      <c r="EC70" s="21">
        <f>EXP(-LN(2)/2)*EC69+(1-EXP(-LN(2)/2))/(LN(2)/2)*DW70*DZ70*VLOOKUP('Données projet'!$B$14,Paramètres!$A$1:$I$89,3,0)*0.475*44/12</f>
        <v>4.0893098764428064</v>
      </c>
      <c r="ED70" s="22">
        <f t="shared" si="72"/>
        <v>49.536032369482186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6.8933333333333326</v>
      </c>
      <c r="EJ70" s="12">
        <f>IF('Données projet'!$A$192&gt;35,EJ69+EI70-ER69,IF(A70&lt;'Données projet'!$A$192,$EG$205^A70,IF(A70='Données projet'!$A$192,'Données projet'!$B$192,EJ69+EI70-ER69)))</f>
        <v>177.0033333333333</v>
      </c>
      <c r="EK70" s="17">
        <f>EJ70*VLOOKUP('Données projet'!$B$15,Paramètres!$A$1:$I$89,3,0)*VLOOKUP('Données projet'!$B$15,Paramètres!$A$1:$I$89,5,0)</f>
        <v>179.48137999999997</v>
      </c>
      <c r="EL70" s="13">
        <f t="shared" si="99"/>
        <v>45.20678340248292</v>
      </c>
      <c r="EM70" s="20">
        <f t="shared" si="73"/>
        <v>391.33188459265767</v>
      </c>
      <c r="EN70" s="59">
        <f t="shared" si="74"/>
        <v>684.66521792599099</v>
      </c>
      <c r="EO70" s="59">
        <f ca="1">AVERAGE(OFFSET($EN$3,0,0,'Données projet'!$E$15+1,1))-AVERAGE(OFFSET($H$3,0,0,'Données projet'!$E$15+1,1))</f>
        <v>533.26035274112917</v>
      </c>
      <c r="EP70" s="59">
        <f t="shared" si="100"/>
        <v>262.58149402282521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23.051039798553585</v>
      </c>
      <c r="EX70" s="21">
        <f>EXP(-LN(2)/2)*EX69+(1-EXP(-LN(2)/2))/(LN(2)/2)*ER70*EU70*VLOOKUP('Données projet'!$B$15,Paramètres!$A$1:$I$89,3,0)*0.475*44/12</f>
        <v>1.2324406901820553</v>
      </c>
      <c r="EY70" s="22">
        <f t="shared" si="75"/>
        <v>24.283480488735641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2.6923076923076907</v>
      </c>
      <c r="FE70" s="12">
        <f>IF('Données projet'!$A$218&gt;35,FE69+FD70-FM69,IF(A70&lt;'Données projet'!$A$218,$FB$205^A70,IF(A70='Données projet'!$A$218,'Données projet'!$B$218,FE69+FD70-FM69)))</f>
        <v>120.76923076923069</v>
      </c>
      <c r="FF70" s="17">
        <f>FE70*VLOOKUP('Données projet'!$B$16,Paramètres!$A$1:$I$89,3,0)*VLOOKUP('Données projet'!$B$16,Paramètres!$A$1:$I$89,5,0)</f>
        <v>126.22799999999992</v>
      </c>
      <c r="FG70" s="13">
        <f t="shared" si="101"/>
        <v>33.123272875637802</v>
      </c>
      <c r="FH70" s="20">
        <f t="shared" si="76"/>
        <v>277.53680025840237</v>
      </c>
      <c r="FI70" s="59">
        <f t="shared" si="77"/>
        <v>570.87013359173568</v>
      </c>
      <c r="FJ70" s="59">
        <f ca="1">AVERAGE(OFFSET($FI$3,0,0,'Données projet'!$E$16+1,1))-AVERAGE(OFFSET($H$3,0,0,'Données projet'!$E$16+1,1))</f>
        <v>239.26156489359892</v>
      </c>
      <c r="FK70" s="59">
        <f t="shared" si="102"/>
        <v>213.97034450798111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0.45917677521717531</v>
      </c>
      <c r="FR70" s="21">
        <f>EXP(-LN(2)/25)*FR69+(1-EXP(-LN(2)/25))/(LN(2)/25)*Calculateur!FM70*Calculateur!FO70*VLOOKUP('Données projet'!$B$16,Paramètres!$A$1:$I$89,3,0)*0.475*44/12</f>
        <v>15.828379837671196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16.287556612888373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9.65625</v>
      </c>
      <c r="N71" s="13">
        <f>IF('Données projet'!$A$36&gt;35,N70+M71-V70,IF(A71&lt;'Données projet'!$A$36,$K$205^A71,IF(A71='Données projet'!$A$36,'Données projet'!$B$36,N70+M71-V70)))</f>
        <v>206.16624999999996</v>
      </c>
      <c r="O71" s="13">
        <f>N71*VLOOKUP('Données projet'!$B$9,Paramètres!$A$1:$I$89,3,0)*VLOOKUP('Données projet'!$B$9,Paramètres!$A$1:$I$89,5,0)</f>
        <v>196.18780349999997</v>
      </c>
      <c r="P71" s="13">
        <f t="shared" si="87"/>
        <v>48.905426239785484</v>
      </c>
      <c r="Q71" s="20">
        <f t="shared" si="54"/>
        <v>426.87070846345961</v>
      </c>
      <c r="R71" s="59">
        <f t="shared" si="55"/>
        <v>720.20404179679292</v>
      </c>
      <c r="S71" s="59">
        <f ca="1">AVERAGE(OFFSET($R$3,0,0,'Données projet'!$E$9+1,1))-AVERAGE(OFFSET($H$3,0,0,'Données projet'!$E$9+1,1))</f>
        <v>449.28947235329758</v>
      </c>
      <c r="T71" s="59">
        <f t="shared" si="88"/>
        <v>289.36994109443964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17.263625538730967</v>
      </c>
      <c r="AA71" s="21">
        <f>EXP(-LN(2)/25)*AA70+(1-EXP(-LN(2)/25))/(LN(2)/25)*Calculateur!V71*Calculateur!X71*VLOOKUP('Données projet'!$B$9,Paramètres!$A$1:$I$89,3,0)*0.475*44/12</f>
        <v>28.403579479410595</v>
      </c>
      <c r="AB71" s="21">
        <f>EXP(-LN(2)/2)*AB70+(1-EXP(-LN(2)/2))/(LN(2)/2)*V71*Y71*VLOOKUP('Données projet'!$B$9,Paramètres!$A$1:$I$89,3,0)*0.475*44/12</f>
        <v>2.8858794960257392</v>
      </c>
      <c r="AC71" s="22">
        <f t="shared" si="57"/>
        <v>48.553084514167296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11.896999999999997</v>
      </c>
      <c r="AI71" s="13">
        <f>IF('Données projet'!$A$62&gt;35,AI70+AH71-AQ70,IF(A71&lt;'Données projet'!$A$62,$AF$205^A71,IF(A71='Données projet'!$A$62,'Données projet'!$B$62,AI70+AH71-AQ70)))</f>
        <v>466.27599999999978</v>
      </c>
      <c r="AJ71" s="13">
        <f>AI71*VLOOKUP('Données projet'!$B$10,Paramètres!$A$1:$I$89,3,0)*VLOOKUP('Données projet'!$B$10,Paramètres!$A$1:$I$89,5,0)</f>
        <v>278.83304799999985</v>
      </c>
      <c r="AK71" s="13">
        <f t="shared" si="89"/>
        <v>66.720338466956676</v>
      </c>
      <c r="AL71" s="20">
        <f t="shared" si="58"/>
        <v>601.83881476328258</v>
      </c>
      <c r="AM71" s="59">
        <f t="shared" si="59"/>
        <v>895.17214809661596</v>
      </c>
      <c r="AN71" s="59">
        <f ca="1">AVERAGE(OFFSET($AM$3,0,0,'Données projet'!$E$10+1,1))-AVERAGE(OFFSET($H$3,0,0,'Données projet'!$E$10+1,1))</f>
        <v>349.71285006949597</v>
      </c>
      <c r="AO71" s="59">
        <f t="shared" si="90"/>
        <v>258.51550516456842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37.993289200354369</v>
      </c>
      <c r="AV71" s="21">
        <f>EXP(-LN(2)/25)*AV70+(1-EXP(-LN(2)/25))/(LN(2)/25)*Calculateur!AQ71*Calculateur!AS71*VLOOKUP('Données projet'!$B$10,Paramètres!$A$1:$I$89,3,0)*0.475*44/12</f>
        <v>15.487619401034397</v>
      </c>
      <c r="AW71" s="21">
        <f>EXP(-LN(2)/2)*AW70+(1-EXP(-LN(2)/2))/(LN(2)/2)*AQ71*AT71*VLOOKUP('Données projet'!$B$10,Paramètres!$A$1:$I$89,3,0)*0.475*44/12</f>
        <v>0.61057739060926897</v>
      </c>
      <c r="AX71" s="21">
        <f t="shared" si="60"/>
        <v>54.091485991998034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1.1368683772161603E-13</v>
      </c>
      <c r="BE71" s="13">
        <f>BD71*VLOOKUP('Données projet'!$B$11,Paramètres!$A$1:$I$89,3,0)*VLOOKUP('Données projet'!$B$11,Paramètres!$A$1:$I$89,5,0)</f>
        <v>6.7984728957526396E-14</v>
      </c>
      <c r="BF71" s="13">
        <f t="shared" si="91"/>
        <v>1.0682447123141398E-12</v>
      </c>
      <c r="BG71" s="20">
        <f t="shared" si="61"/>
        <v>1.978932943548152E-12</v>
      </c>
      <c r="BH71" s="59">
        <f t="shared" si="62"/>
        <v>293.3333333333353</v>
      </c>
      <c r="BI71" s="59">
        <f ca="1">AVERAGE(OFFSET($BH$3,0,0,'Données projet'!$E$11+1,1))-AVERAGE(OFFSET($H$3,0,0,'Données projet'!$E$11+1,1))</f>
        <v>302.00825291248458</v>
      </c>
      <c r="BJ71" s="59">
        <f t="shared" si="92"/>
        <v>307.35115839449355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118.52195121816666</v>
      </c>
      <c r="BQ71" s="21">
        <f>EXP(-LN(2)/25)*BQ70+(1-EXP(-LN(2)/25))/(LN(2)/25)*Calculateur!BL71*Calculateur!BN71*VLOOKUP('Données projet'!$B$11,Paramètres!$A$1:$I$89,3,0)*0.475*44/12</f>
        <v>38.804239635466992</v>
      </c>
      <c r="BR71" s="21">
        <f>EXP(-LN(2)/2)*BR70+(1-EXP(-LN(2)/2))/(LN(2)/2)*BL71*BO71*VLOOKUP('Données projet'!$B$11,Paramètres!$A$1:$I$89,3,0)*0.475*44/12</f>
        <v>3.7475901764595871</v>
      </c>
      <c r="BS71" s="22">
        <f t="shared" si="63"/>
        <v>161.07378103009324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11.997500000000002</v>
      </c>
      <c r="BY71" s="12">
        <f>IF('Données projet'!$A$114&gt;35,BY70+BX71-CG70,IF(A71&lt;'Données projet'!$A$114,$BV$205^A71,IF(A71='Données projet'!$A$114,'Données projet'!$B$114,BY70+BX71-CG70)))</f>
        <v>334.99249999999989</v>
      </c>
      <c r="BZ71" s="13">
        <f>BY71*VLOOKUP('Données projet'!$B$12,Paramètres!$A$1:$I$89,3,0)*VLOOKUP('Données projet'!$B$12,Paramètres!$A$1:$I$89,5,0)</f>
        <v>156.77648999999997</v>
      </c>
      <c r="CA71" s="13">
        <f t="shared" si="93"/>
        <v>40.114584738417847</v>
      </c>
      <c r="CB71" s="20">
        <f t="shared" si="64"/>
        <v>342.91862183607765</v>
      </c>
      <c r="CC71" s="59">
        <f t="shared" si="65"/>
        <v>636.25195516941096</v>
      </c>
      <c r="CD71" s="59">
        <f ca="1">AVERAGE(OFFSET($CC$3,0,0,'Données projet'!$E$12+1,1))-AVERAGE(OFFSET($H$3,0,0,'Données projet'!$E$12+1,1))</f>
        <v>337.10499990421835</v>
      </c>
      <c r="CE71" s="59">
        <f t="shared" si="94"/>
        <v>277.4254079562175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28.683567770953935</v>
      </c>
      <c r="CL71" s="21">
        <f>EXP(-LN(2)/25)*CL70+(1-EXP(-LN(2)/25))/(LN(2)/25)*Calculateur!CG71*Calculateur!CI71*VLOOKUP('Données projet'!$B$12,Paramètres!$A$1:$I$89,3,0)*0.475*44/12</f>
        <v>19.343147903653183</v>
      </c>
      <c r="CM71" s="21">
        <f>EXP(-LN(2)/2)*CM70+(1-EXP(-LN(2)/2))/(LN(2)/2)*CG71*CJ71*VLOOKUP('Données projet'!$B$12,Paramètres!$A$1:$I$89,3,0)*0.475*44/12</f>
        <v>1.0462094254855145</v>
      </c>
      <c r="CN71" s="22">
        <f t="shared" si="66"/>
        <v>49.072925100092633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6.8933333333333326</v>
      </c>
      <c r="CT71" s="12">
        <f>IF('Données projet'!$A$140&gt;35,CT70+CS71-DB70,IF(A71&lt;'Données projet'!$A$140,$CQ$205^A71,IF(A71='Données projet'!$A$140,'Données projet'!$B$140,CT70+CS71-DB70)))</f>
        <v>183.89666666666665</v>
      </c>
      <c r="CU71" s="17">
        <f>CT71*VLOOKUP('Données projet'!$B$13,Paramètres!$A$1:$I$89,3,0)*VLOOKUP('Données projet'!$B$13,Paramètres!$A$1:$I$89,5,0)</f>
        <v>183.60243199999999</v>
      </c>
      <c r="CV71" s="13">
        <f t="shared" si="95"/>
        <v>46.122734248901445</v>
      </c>
      <c r="CW71" s="20">
        <f t="shared" si="67"/>
        <v>400.10466455016996</v>
      </c>
      <c r="CX71" s="59">
        <f t="shared" si="68"/>
        <v>693.43799788350327</v>
      </c>
      <c r="CY71" s="59">
        <f ca="1">AVERAGE(OFFSET($CX$3,0,0,'Données projet'!$E$13+1,1))-AVERAGE(OFFSET($H$3,0,0,'Données projet'!$E$13+1,1))</f>
        <v>525.74725170626471</v>
      </c>
      <c r="CZ71" s="59">
        <f t="shared" si="96"/>
        <v>259.19103598192197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22.075773935321244</v>
      </c>
      <c r="DH71" s="21">
        <f>EXP(-LN(2)/2)*DH70+(1-EXP(-LN(2)/2))/(LN(2)/2)*DB71*DE71*VLOOKUP('Données projet'!$B$13,Paramètres!$A$1:$I$89,3,0)*0.475*44/12</f>
        <v>0.85805998221583712</v>
      </c>
      <c r="DI71" s="22">
        <f t="shared" si="69"/>
        <v>22.933833917537083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8.2474999999999987</v>
      </c>
      <c r="DO71" s="12">
        <f>IF('Données projet'!$A$166&gt;35,DO70+DN71-DW70,IF(A71&lt;'Données projet'!$A$166,$DL$205^A71,IF(A71='Données projet'!$A$166,'Données projet'!$B$166,DO70+DN71-DW70)))</f>
        <v>197.15750000000025</v>
      </c>
      <c r="DP71" s="17">
        <f>DO71*VLOOKUP('Données projet'!$B$14,Paramètres!$A$1:$I$89,3,0)*VLOOKUP('Données projet'!$B$14,Paramètres!$A$1:$I$89,5,0)</f>
        <v>178.38810600000022</v>
      </c>
      <c r="DQ71" s="13">
        <f t="shared" si="97"/>
        <v>44.96338191961236</v>
      </c>
      <c r="DR71" s="20">
        <f t="shared" si="70"/>
        <v>389.00384145999186</v>
      </c>
      <c r="DS71" s="59">
        <f t="shared" si="71"/>
        <v>682.33717479332518</v>
      </c>
      <c r="DT71" s="59">
        <f ca="1">AVERAGE(OFFSET($DS$3,0,0,'Données projet'!$E$14+1,1))-AVERAGE(OFFSET($H$3,0,0,'Données projet'!$E$14+1,1))</f>
        <v>490.06222615476065</v>
      </c>
      <c r="DU71" s="59">
        <f t="shared" si="98"/>
        <v>310.43914804089906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13.163052575859325</v>
      </c>
      <c r="EB71" s="21">
        <f>EXP(-LN(2)/25)*EB70+(1-EXP(-LN(2)/25))/(LN(2)/25)*Calculateur!DW71*Calculateur!DY71*VLOOKUP('Données projet'!$B$14,Paramètres!$A$1:$I$89,3,0)*0.475*44/12</f>
        <v>31.144788495757432</v>
      </c>
      <c r="EC71" s="21">
        <f>EXP(-LN(2)/2)*EC70+(1-EXP(-LN(2)/2))/(LN(2)/2)*DW71*DZ71*VLOOKUP('Données projet'!$B$14,Paramètres!$A$1:$I$89,3,0)*0.475*44/12</f>
        <v>2.8915787440058316</v>
      </c>
      <c r="ED71" s="22">
        <f t="shared" si="72"/>
        <v>47.199419815622591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6.8933333333333326</v>
      </c>
      <c r="EJ71" s="12">
        <f>IF('Données projet'!$A$192&gt;35,EJ70+EI71-ER70,IF(A71&lt;'Données projet'!$A$192,$EG$205^A71,IF(A71='Données projet'!$A$192,'Données projet'!$B$192,EJ70+EI71-ER70)))</f>
        <v>183.89666666666665</v>
      </c>
      <c r="EK71" s="17">
        <f>EJ71*VLOOKUP('Données projet'!$B$15,Paramètres!$A$1:$I$89,3,0)*VLOOKUP('Données projet'!$B$15,Paramètres!$A$1:$I$89,5,0)</f>
        <v>186.47121999999999</v>
      </c>
      <c r="EL71" s="13">
        <f t="shared" si="99"/>
        <v>46.758940514498235</v>
      </c>
      <c r="EM71" s="20">
        <f t="shared" si="73"/>
        <v>406.20919622941773</v>
      </c>
      <c r="EN71" s="59">
        <f t="shared" si="74"/>
        <v>699.54252956275104</v>
      </c>
      <c r="EO71" s="59">
        <f ca="1">AVERAGE(OFFSET($EN$3,0,0,'Données projet'!$E$15+1,1))-AVERAGE(OFFSET($H$3,0,0,'Données projet'!$E$15+1,1))</f>
        <v>533.26035274112917</v>
      </c>
      <c r="EP71" s="59">
        <f t="shared" si="100"/>
        <v>262.58149402282521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22.420707903060638</v>
      </c>
      <c r="EX71" s="21">
        <f>EXP(-LN(2)/2)*EX70+(1-EXP(-LN(2)/2))/(LN(2)/2)*ER71*EU71*VLOOKUP('Données projet'!$B$15,Paramètres!$A$1:$I$89,3,0)*0.475*44/12</f>
        <v>0.87146716943796021</v>
      </c>
      <c r="EY71" s="22">
        <f t="shared" si="75"/>
        <v>23.292175072498598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2.6923076923076907</v>
      </c>
      <c r="FE71" s="12">
        <f>IF('Données projet'!$A$218&gt;35,FE70+FD71-FM70,IF(A71&lt;'Données projet'!$A$218,$FB$205^A71,IF(A71='Données projet'!$A$218,'Données projet'!$B$218,FE70+FD71-FM70)))</f>
        <v>123.46153846153838</v>
      </c>
      <c r="FF71" s="17">
        <f>FE71*VLOOKUP('Données projet'!$B$16,Paramètres!$A$1:$I$89,3,0)*VLOOKUP('Données projet'!$B$16,Paramètres!$A$1:$I$89,5,0)</f>
        <v>129.04199999999992</v>
      </c>
      <c r="FG71" s="13">
        <f t="shared" si="101"/>
        <v>33.77489845718803</v>
      </c>
      <c r="FH71" s="20">
        <f t="shared" si="76"/>
        <v>283.5727648129357</v>
      </c>
      <c r="FI71" s="59">
        <f t="shared" si="77"/>
        <v>576.90609814626896</v>
      </c>
      <c r="FJ71" s="59">
        <f ca="1">AVERAGE(OFFSET($FI$3,0,0,'Données projet'!$E$16+1,1))-AVERAGE(OFFSET($H$3,0,0,'Données projet'!$E$16+1,1))</f>
        <v>239.26156489359892</v>
      </c>
      <c r="FK71" s="59">
        <f t="shared" si="102"/>
        <v>213.97034450798111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0.45017259872534476</v>
      </c>
      <c r="FR71" s="21">
        <f>EXP(-LN(2)/25)*FR70+(1-EXP(-LN(2)/25))/(LN(2)/25)*Calculateur!FM71*Calculateur!FO71*VLOOKUP('Données projet'!$B$16,Paramètres!$A$1:$I$89,3,0)*0.475*44/12</f>
        <v>15.395551958631758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15.845724557357103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9.65625</v>
      </c>
      <c r="N72" s="13">
        <f>IF('Données projet'!$A$36&gt;35,N71+M72-V71,IF(A72&lt;'Données projet'!$A$36,$K$205^A72,IF(A72='Données projet'!$A$36,'Données projet'!$B$36,N71+M72-V71)))</f>
        <v>215.82249999999996</v>
      </c>
      <c r="O72" s="13">
        <f>N72*VLOOKUP('Données projet'!$B$9,Paramètres!$A$1:$I$89,3,0)*VLOOKUP('Données projet'!$B$9,Paramètres!$A$1:$I$89,5,0)</f>
        <v>205.37669099999997</v>
      </c>
      <c r="P72" s="13">
        <f t="shared" si="87"/>
        <v>50.923971103388858</v>
      </c>
      <c r="Q72" s="20">
        <f t="shared" si="54"/>
        <v>446.3903198300689</v>
      </c>
      <c r="R72" s="59">
        <f t="shared" si="55"/>
        <v>739.72365316340222</v>
      </c>
      <c r="S72" s="59">
        <f ca="1">AVERAGE(OFFSET($R$3,0,0,'Données projet'!$E$9+1,1))-AVERAGE(OFFSET($H$3,0,0,'Données projet'!$E$9+1,1))</f>
        <v>449.28947235329758</v>
      </c>
      <c r="T72" s="59">
        <f t="shared" si="88"/>
        <v>289.36994109443964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16.925096371688301</v>
      </c>
      <c r="AA72" s="21">
        <f>EXP(-LN(2)/25)*AA71+(1-EXP(-LN(2)/25))/(LN(2)/25)*Calculateur!V72*Calculateur!X72*VLOOKUP('Données projet'!$B$9,Paramètres!$A$1:$I$89,3,0)*0.475*44/12</f>
        <v>27.626882104866784</v>
      </c>
      <c r="AB72" s="21">
        <f>EXP(-LN(2)/2)*AB71+(1-EXP(-LN(2)/2))/(LN(2)/2)*V72*Y72*VLOOKUP('Données projet'!$B$9,Paramètres!$A$1:$I$89,3,0)*0.475*44/12</f>
        <v>2.0406249613270164</v>
      </c>
      <c r="AC72" s="22">
        <f t="shared" si="57"/>
        <v>46.592603437882104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11.896999999999997</v>
      </c>
      <c r="AI72" s="13">
        <f>IF('Données projet'!$A$62&gt;35,AI71+AH72-AQ71,IF(A72&lt;'Données projet'!$A$62,$AF$205^A72,IF(A72='Données projet'!$A$62,'Données projet'!$B$62,AI71+AH72-AQ71)))</f>
        <v>478.17299999999977</v>
      </c>
      <c r="AJ72" s="13">
        <f>AI72*VLOOKUP('Données projet'!$B$10,Paramètres!$A$1:$I$89,3,0)*VLOOKUP('Données projet'!$B$10,Paramètres!$A$1:$I$89,5,0)</f>
        <v>285.94745399999988</v>
      </c>
      <c r="AK72" s="13">
        <f t="shared" si="89"/>
        <v>68.222335259457765</v>
      </c>
      <c r="AL72" s="20">
        <f t="shared" si="58"/>
        <v>616.84571629355526</v>
      </c>
      <c r="AM72" s="59">
        <f t="shared" si="59"/>
        <v>910.17904962688863</v>
      </c>
      <c r="AN72" s="59">
        <f ca="1">AVERAGE(OFFSET($AM$3,0,0,'Données projet'!$E$10+1,1))-AVERAGE(OFFSET($H$3,0,0,'Données projet'!$E$10+1,1))</f>
        <v>349.71285006949597</v>
      </c>
      <c r="AO72" s="59">
        <f t="shared" si="90"/>
        <v>258.51550516456842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37.248263972753627</v>
      </c>
      <c r="AV72" s="21">
        <f>EXP(-LN(2)/25)*AV71+(1-EXP(-LN(2)/25))/(LN(2)/25)*Calculateur!AQ72*Calculateur!AS72*VLOOKUP('Données projet'!$B$10,Paramètres!$A$1:$I$89,3,0)*0.475*44/12</f>
        <v>15.064109634054605</v>
      </c>
      <c r="AW72" s="21">
        <f>EXP(-LN(2)/2)*AW71+(1-EXP(-LN(2)/2))/(LN(2)/2)*AQ72*AT72*VLOOKUP('Données projet'!$B$10,Paramètres!$A$1:$I$89,3,0)*0.475*44/12</f>
        <v>0.43174341333900151</v>
      </c>
      <c r="AX72" s="21">
        <f t="shared" si="60"/>
        <v>52.744117020147229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1.1368683772161603E-13</v>
      </c>
      <c r="BE72" s="13">
        <f>BD72*VLOOKUP('Données projet'!$B$11,Paramètres!$A$1:$I$89,3,0)*VLOOKUP('Données projet'!$B$11,Paramètres!$A$1:$I$89,5,0)</f>
        <v>6.7984728957526396E-14</v>
      </c>
      <c r="BF72" s="13">
        <f t="shared" si="91"/>
        <v>1.0682447123141398E-12</v>
      </c>
      <c r="BG72" s="20">
        <f t="shared" si="61"/>
        <v>1.978932943548152E-12</v>
      </c>
      <c r="BH72" s="59">
        <f t="shared" si="62"/>
        <v>293.3333333333353</v>
      </c>
      <c r="BI72" s="59">
        <f ca="1">AVERAGE(OFFSET($BH$3,0,0,'Données projet'!$E$11+1,1))-AVERAGE(OFFSET($H$3,0,0,'Données projet'!$E$11+1,1))</f>
        <v>302.00825291248458</v>
      </c>
      <c r="BJ72" s="59">
        <f t="shared" si="92"/>
        <v>307.35115839449355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116.19780804603049</v>
      </c>
      <c r="BQ72" s="21">
        <f>EXP(-LN(2)/25)*BQ71+(1-EXP(-LN(2)/25))/(LN(2)/25)*Calculateur!BL72*Calculateur!BN72*VLOOKUP('Données projet'!$B$11,Paramètres!$A$1:$I$89,3,0)*0.475*44/12</f>
        <v>37.743135662008875</v>
      </c>
      <c r="BR72" s="21">
        <f>EXP(-LN(2)/2)*BR71+(1-EXP(-LN(2)/2))/(LN(2)/2)*BL72*BO72*VLOOKUP('Données projet'!$B$11,Paramètres!$A$1:$I$89,3,0)*0.475*44/12</f>
        <v>2.6499464268826647</v>
      </c>
      <c r="BS72" s="22">
        <f t="shared" si="63"/>
        <v>156.59089013492203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11.997500000000002</v>
      </c>
      <c r="BY72" s="12">
        <f>IF('Données projet'!$A$114&gt;35,BY71+BX72-CG71,IF(A72&lt;'Données projet'!$A$114,$BV$205^A72,IF(A72='Données projet'!$A$114,'Données projet'!$B$114,BY71+BX72-CG71)))</f>
        <v>346.9899999999999</v>
      </c>
      <c r="BZ72" s="13">
        <f>BY72*VLOOKUP('Données projet'!$B$12,Paramètres!$A$1:$I$89,3,0)*VLOOKUP('Données projet'!$B$12,Paramètres!$A$1:$I$89,5,0)</f>
        <v>162.39131999999995</v>
      </c>
      <c r="CA72" s="13">
        <f t="shared" si="93"/>
        <v>41.381417730562205</v>
      </c>
      <c r="CB72" s="20">
        <f t="shared" si="64"/>
        <v>354.90418488072902</v>
      </c>
      <c r="CC72" s="59">
        <f t="shared" si="65"/>
        <v>648.23751821406233</v>
      </c>
      <c r="CD72" s="59">
        <f ca="1">AVERAGE(OFFSET($CC$3,0,0,'Données projet'!$E$12+1,1))-AVERAGE(OFFSET($H$3,0,0,'Données projet'!$E$12+1,1))</f>
        <v>337.10499990421835</v>
      </c>
      <c r="CE72" s="59">
        <f t="shared" si="94"/>
        <v>277.4254079562175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28.121100502214357</v>
      </c>
      <c r="CL72" s="21">
        <f>EXP(-LN(2)/25)*CL71+(1-EXP(-LN(2)/25))/(LN(2)/25)*Calculateur!CG72*Calculateur!CI72*VLOOKUP('Données projet'!$B$12,Paramètres!$A$1:$I$89,3,0)*0.475*44/12</f>
        <v>18.814208507015849</v>
      </c>
      <c r="CM72" s="21">
        <f>EXP(-LN(2)/2)*CM71+(1-EXP(-LN(2)/2))/(LN(2)/2)*CG72*CJ72*VLOOKUP('Données projet'!$B$12,Paramètres!$A$1:$I$89,3,0)*0.475*44/12</f>
        <v>0.73978177930208933</v>
      </c>
      <c r="CN72" s="22">
        <f t="shared" si="66"/>
        <v>47.675090788532302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>
        <f>VLOOKUP(A72,'Données projet'!$A$139:$I$159,2,0)</f>
        <v>190.79</v>
      </c>
      <c r="CR72" s="12">
        <f>VLOOKUP(A72,'Données projet'!$A$139:$I$159,9,0)</f>
        <v>6.8933333333333326</v>
      </c>
      <c r="CS72" s="12">
        <f t="array" ref="CS72">INDEX(CR:CR,MIN(IF(ISNUMBER(CR72:CR268),ROW(CR72:CR268),"")))</f>
        <v>6.8933333333333326</v>
      </c>
      <c r="CT72" s="12">
        <f>IF('Données projet'!$A$140&gt;35,CT71+CS72-DB71,IF(A72&lt;'Données projet'!$A$140,$CQ$205^A72,IF(A72='Données projet'!$A$140,'Données projet'!$B$140,CT71+CS72-DB71)))</f>
        <v>190.79</v>
      </c>
      <c r="CU72" s="17">
        <f>CT72*VLOOKUP('Données projet'!$B$13,Paramètres!$A$1:$I$89,3,0)*VLOOKUP('Données projet'!$B$13,Paramètres!$A$1:$I$89,5,0)</f>
        <v>190.484736</v>
      </c>
      <c r="CV72" s="13">
        <f t="shared" si="95"/>
        <v>47.647105200942853</v>
      </c>
      <c r="CW72" s="20">
        <f t="shared" si="67"/>
        <v>414.74629009164209</v>
      </c>
      <c r="CX72" s="59">
        <f t="shared" si="68"/>
        <v>708.07962342497535</v>
      </c>
      <c r="CY72" s="59">
        <f ca="1">AVERAGE(OFFSET($CX$3,0,0,'Données projet'!$E$13+1,1))-AVERAGE(OFFSET($H$3,0,0,'Données projet'!$E$13+1,1))</f>
        <v>525.74725170626471</v>
      </c>
      <c r="CZ72" s="59">
        <f t="shared" si="96"/>
        <v>259.19103598192197</v>
      </c>
      <c r="DA72" s="15">
        <f>IF(ISNA(VLOOKUP(A72,'Données projet'!$A$139:$I$159,3,0)),0,VLOOKUP(A72,'Données projet'!$A$139:$I$159,3,0))</f>
        <v>2</v>
      </c>
      <c r="DB72" s="15">
        <f>IF(ISNA(VLOOKUP(A72,'Données projet'!$A$139:$I$159,4,0)),0,VLOOKUP(A72,'Données projet'!$A$139:$I$159,4,0))</f>
        <v>42.22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0.34400000000000003</v>
      </c>
      <c r="DE72" s="16">
        <f>IF(ISNA(VLOOKUP(A72,'Données projet'!$A$139:$I$159,7,0)),0%,VLOOKUP(A72,'Données projet'!$A$139:$I$159,7,0))</f>
        <v>0.2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37.438804514260077</v>
      </c>
      <c r="DH72" s="21">
        <f>EXP(-LN(2)/2)*DH71+(1-EXP(-LN(2)/2))/(LN(2)/2)*DB72*DE72*VLOOKUP('Données projet'!$B$13,Paramètres!$A$1:$I$89,3,0)*0.475*44/12</f>
        <v>8.5611338729904407</v>
      </c>
      <c r="DI72" s="22">
        <f t="shared" si="69"/>
        <v>45.999938387250516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8.2474999999999987</v>
      </c>
      <c r="DO72" s="12">
        <f>IF('Données projet'!$A$166&gt;35,DO71+DN72-DW71,IF(A72&lt;'Données projet'!$A$166,$DL$205^A72,IF(A72='Données projet'!$A$166,'Données projet'!$B$166,DO71+DN72-DW71)))</f>
        <v>205.40500000000026</v>
      </c>
      <c r="DP72" s="17">
        <f>DO72*VLOOKUP('Données projet'!$B$14,Paramètres!$A$1:$I$89,3,0)*VLOOKUP('Données projet'!$B$14,Paramètres!$A$1:$I$89,5,0)</f>
        <v>185.85044400000024</v>
      </c>
      <c r="DQ72" s="13">
        <f t="shared" si="97"/>
        <v>46.621369253856919</v>
      </c>
      <c r="DR72" s="20">
        <f t="shared" si="70"/>
        <v>404.88840808380127</v>
      </c>
      <c r="DS72" s="59">
        <f t="shared" si="71"/>
        <v>698.22174141713458</v>
      </c>
      <c r="DT72" s="59">
        <f ca="1">AVERAGE(OFFSET($DS$3,0,0,'Données projet'!$E$14+1,1))-AVERAGE(OFFSET($H$3,0,0,'Données projet'!$E$14+1,1))</f>
        <v>490.06222615476065</v>
      </c>
      <c r="DU72" s="59">
        <f t="shared" si="98"/>
        <v>310.43914804089906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12.904933143516029</v>
      </c>
      <c r="EB72" s="21">
        <f>EXP(-LN(2)/25)*EB71+(1-EXP(-LN(2)/25))/(LN(2)/25)*Calculateur!DW72*Calculateur!DY72*VLOOKUP('Données projet'!$B$14,Paramètres!$A$1:$I$89,3,0)*0.475*44/12</f>
        <v>30.293132616507702</v>
      </c>
      <c r="EC72" s="21">
        <f>EXP(-LN(2)/2)*EC71+(1-EXP(-LN(2)/2))/(LN(2)/2)*DW72*DZ72*VLOOKUP('Données projet'!$B$14,Paramètres!$A$1:$I$89,3,0)*0.475*44/12</f>
        <v>2.0446549382214037</v>
      </c>
      <c r="ED72" s="22">
        <f t="shared" si="72"/>
        <v>45.242720698245137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>
        <f>VLOOKUP(A72,'Données projet'!$A$191:$I$211,2,0)</f>
        <v>190.79</v>
      </c>
      <c r="EH72" s="12">
        <f>VLOOKUP(A72,'Données projet'!$A$191:$I$211,9,0)</f>
        <v>6.8933333333333326</v>
      </c>
      <c r="EI72" s="12">
        <f t="array" ref="EI72">INDEX(EH:EH,MIN(IF(ISNUMBER(EH72:EH268),ROW(EH72:EH268),"")))</f>
        <v>6.8933333333333326</v>
      </c>
      <c r="EJ72" s="12">
        <f>IF('Données projet'!$A$192&gt;35,EJ71+EI72-ER71,IF(A72&lt;'Données projet'!$A$192,$EG$205^A72,IF(A72='Données projet'!$A$192,'Données projet'!$B$192,EJ71+EI72-ER71)))</f>
        <v>190.79</v>
      </c>
      <c r="EK72" s="17">
        <f>EJ72*VLOOKUP('Données projet'!$B$15,Paramètres!$A$1:$I$89,3,0)*VLOOKUP('Données projet'!$B$15,Paramètres!$A$1:$I$89,5,0)</f>
        <v>193.46106</v>
      </c>
      <c r="EL72" s="13">
        <f t="shared" si="99"/>
        <v>48.304338284801261</v>
      </c>
      <c r="EM72" s="20">
        <f t="shared" si="73"/>
        <v>421.07473534602883</v>
      </c>
      <c r="EN72" s="59">
        <f t="shared" si="74"/>
        <v>714.40806867936215</v>
      </c>
      <c r="EO72" s="59">
        <f ca="1">AVERAGE(OFFSET($EN$3,0,0,'Données projet'!$E$15+1,1))-AVERAGE(OFFSET($H$3,0,0,'Données projet'!$E$15+1,1))</f>
        <v>533.26035274112917</v>
      </c>
      <c r="EP72" s="59">
        <f t="shared" si="100"/>
        <v>262.58149402282521</v>
      </c>
      <c r="EQ72" s="15">
        <f>IF(ISNA(VLOOKUP(A72,'Données projet'!$A$191:$I$211,3,0)),0,VLOOKUP(A72,'Données projet'!$A$191:$I$211,3,0))</f>
        <v>2</v>
      </c>
      <c r="ER72" s="15">
        <f>IF(ISNA(VLOOKUP(A72,'Données projet'!$A$191:$I$211,4,0)),0,VLOOKUP(A72,'Données projet'!$A$191:$I$211,4,0))</f>
        <v>42.22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0.34400000000000003</v>
      </c>
      <c r="EU72" s="16">
        <f>IF(ISNA(VLOOKUP(A72,'Données projet'!$A$191:$I$211,7,0)),0%,VLOOKUP(A72,'Données projet'!$A$191:$I$211,7,0))</f>
        <v>0.2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38.02378583479539</v>
      </c>
      <c r="EX72" s="21">
        <f>EXP(-LN(2)/2)*EX71+(1-EXP(-LN(2)/2))/(LN(2)/2)*ER72*EU72*VLOOKUP('Données projet'!$B$15,Paramètres!$A$1:$I$89,3,0)*0.475*44/12</f>
        <v>8.6949015897559168</v>
      </c>
      <c r="EY72" s="22">
        <f t="shared" si="75"/>
        <v>46.718687424551305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2.6923076923076907</v>
      </c>
      <c r="FE72" s="12">
        <f>IF('Données projet'!$A$218&gt;35,FE71+FD72-FM71,IF(A72&lt;'Données projet'!$A$218,$FB$205^A72,IF(A72='Données projet'!$A$218,'Données projet'!$B$218,FE71+FD72-FM71)))</f>
        <v>126.15384615384608</v>
      </c>
      <c r="FF72" s="17">
        <f>FE72*VLOOKUP('Données projet'!$B$16,Paramètres!$A$1:$I$89,3,0)*VLOOKUP('Données projet'!$B$16,Paramètres!$A$1:$I$89,5,0)</f>
        <v>131.85599999999994</v>
      </c>
      <c r="FG72" s="13">
        <f t="shared" si="101"/>
        <v>34.424871965010759</v>
      </c>
      <c r="FH72" s="20">
        <f t="shared" si="76"/>
        <v>289.60585200572694</v>
      </c>
      <c r="FI72" s="59">
        <f t="shared" si="77"/>
        <v>582.93918533906026</v>
      </c>
      <c r="FJ72" s="59">
        <f ca="1">AVERAGE(OFFSET($FI$3,0,0,'Données projet'!$E$16+1,1))-AVERAGE(OFFSET($H$3,0,0,'Données projet'!$E$16+1,1))</f>
        <v>239.26156489359892</v>
      </c>
      <c r="FK72" s="59">
        <f t="shared" si="102"/>
        <v>213.97034450798111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0.44134498864251365</v>
      </c>
      <c r="FR72" s="21">
        <f>EXP(-LN(2)/25)*FR71+(1-EXP(-LN(2)/25))/(LN(2)/25)*Calculateur!FM72*Calculateur!FO72*VLOOKUP('Données projet'!$B$16,Paramètres!$A$1:$I$89,3,0)*0.475*44/12</f>
        <v>14.974559780706082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15.415904769348597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9.65625</v>
      </c>
      <c r="N73" s="13">
        <f>IF('Données projet'!$A$36&gt;35,N72+M73-V72,IF(A73&lt;'Données projet'!$A$36,$K$205^A73,IF(A73='Données projet'!$A$36,'Données projet'!$B$36,N72+M73-V72)))</f>
        <v>225.47874999999996</v>
      </c>
      <c r="O73" s="13">
        <f>N73*VLOOKUP('Données projet'!$B$9,Paramètres!$A$1:$I$89,3,0)*VLOOKUP('Données projet'!$B$9,Paramètres!$A$1:$I$89,5,0)</f>
        <v>214.56557849999996</v>
      </c>
      <c r="P73" s="13">
        <f t="shared" si="87"/>
        <v>52.932027166993123</v>
      </c>
      <c r="Q73" s="20">
        <f t="shared" si="54"/>
        <v>465.8916632033463</v>
      </c>
      <c r="R73" s="59">
        <f t="shared" si="55"/>
        <v>759.22499653667955</v>
      </c>
      <c r="S73" s="59">
        <f ca="1">AVERAGE(OFFSET($R$3,0,0,'Données projet'!$E$9+1,1))-AVERAGE(OFFSET($H$3,0,0,'Données projet'!$E$9+1,1))</f>
        <v>449.28947235329758</v>
      </c>
      <c r="T73" s="59">
        <f t="shared" si="88"/>
        <v>289.36994109443964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16.593205555128939</v>
      </c>
      <c r="AA73" s="21">
        <f>EXP(-LN(2)/25)*AA72+(1-EXP(-LN(2)/25))/(LN(2)/25)*Calculateur!V73*Calculateur!X73*VLOOKUP('Données projet'!$B$9,Paramètres!$A$1:$I$89,3,0)*0.475*44/12</f>
        <v>26.871423560874614</v>
      </c>
      <c r="AB73" s="21">
        <f>EXP(-LN(2)/2)*AB72+(1-EXP(-LN(2)/2))/(LN(2)/2)*V73*Y73*VLOOKUP('Données projet'!$B$9,Paramètres!$A$1:$I$89,3,0)*0.475*44/12</f>
        <v>1.4429397480128696</v>
      </c>
      <c r="AC73" s="22">
        <f t="shared" si="57"/>
        <v>44.907568864016419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490.07</v>
      </c>
      <c r="AG73" s="12">
        <f>VLOOKUP(A73,'Données projet'!$A$61:$I$81,9,0)</f>
        <v>11.896999999999997</v>
      </c>
      <c r="AH73" s="12">
        <f t="array" ref="AH73">INDEX(AG:AG,MIN(IF(ISNUMBER(AG73:AG269),ROW(AG73:AG269),"")))</f>
        <v>11.896999999999997</v>
      </c>
      <c r="AI73" s="13">
        <f>IF('Données projet'!$A$62&gt;35,AI72+AH73-AQ72,IF(A73&lt;'Données projet'!$A$62,$AF$205^A73,IF(A73='Données projet'!$A$62,'Données projet'!$B$62,AI72+AH73-AQ72)))</f>
        <v>490.06999999999977</v>
      </c>
      <c r="AJ73" s="13">
        <f>AI73*VLOOKUP('Données projet'!$B$10,Paramètres!$A$1:$I$89,3,0)*VLOOKUP('Données projet'!$B$10,Paramètres!$A$1:$I$89,5,0)</f>
        <v>293.06185999999991</v>
      </c>
      <c r="AK73" s="13">
        <f t="shared" si="89"/>
        <v>69.719988019761743</v>
      </c>
      <c r="AL73" s="20">
        <f t="shared" si="58"/>
        <v>631.84505196775149</v>
      </c>
      <c r="AM73" s="59">
        <f t="shared" si="59"/>
        <v>925.17838530108475</v>
      </c>
      <c r="AN73" s="59">
        <f ca="1">AVERAGE(OFFSET($AM$3,0,0,'Données projet'!$E$10+1,1))-AVERAGE(OFFSET($H$3,0,0,'Données projet'!$E$10+1,1))</f>
        <v>349.71285006949597</v>
      </c>
      <c r="AO73" s="59">
        <f t="shared" si="90"/>
        <v>258.51550516456842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67.88</v>
      </c>
      <c r="AR73" s="16">
        <f>IF(ISNA(VLOOKUP(A73,'Données projet'!$A$61:$I$81,5,0)),0%,VLOOKUP(A73,'Données projet'!$A$61:$I$81,5,0)*VLOOKUP('Données projet'!$B$10,Paramètres!$A$1:$I$89,7,0))</f>
        <v>0.27</v>
      </c>
      <c r="AS73" s="16">
        <f>IF(ISNA(VLOOKUP(A73,'Données projet'!$A$61:$I$81,6,0)),0%,VLOOKUP(A73,'Données projet'!$A$61:$I$81,6,0)*VLOOKUP('Données projet'!$B$10,Paramètres!$A$1:$I$89,7,0))</f>
        <v>9.0000000000000011E-2</v>
      </c>
      <c r="AT73" s="16">
        <f>IF(ISNA(VLOOKUP(A73,'Données projet'!$A$61:$I$81,7,0)),0%,VLOOKUP(A73,'Données projet'!$A$61:$I$81,7,0))</f>
        <v>0.2</v>
      </c>
      <c r="AU73" s="21">
        <f>EXP(-LN(2)/35)*AU72+(1-EXP(-LN(2)/35))/(LN(2)/35)*AQ73*AR73*VLOOKUP('Données projet'!$B$10,Paramètres!$A$1:$I$89,3,0)*0.475*44/12</f>
        <v>51.056868378126822</v>
      </c>
      <c r="AV73" s="21">
        <f>EXP(-LN(2)/25)*AV72+(1-EXP(-LN(2)/25))/(LN(2)/25)*Calculateur!AQ73*Calculateur!AS73*VLOOKUP('Données projet'!$B$10,Paramètres!$A$1:$I$89,3,0)*0.475*44/12</f>
        <v>19.479438924117112</v>
      </c>
      <c r="AW73" s="21">
        <f>EXP(-LN(2)/2)*AW72+(1-EXP(-LN(2)/2))/(LN(2)/2)*AQ73*AT73*VLOOKUP('Données projet'!$B$10,Paramètres!$A$1:$I$89,3,0)*0.475*44/12</f>
        <v>9.4972577266937765</v>
      </c>
      <c r="AX73" s="21">
        <f t="shared" si="60"/>
        <v>80.033565028937701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1.1368683772161603E-13</v>
      </c>
      <c r="BE73" s="13">
        <f>BD73*VLOOKUP('Données projet'!$B$11,Paramètres!$A$1:$I$89,3,0)*VLOOKUP('Données projet'!$B$11,Paramètres!$A$1:$I$89,5,0)</f>
        <v>6.7984728957526396E-14</v>
      </c>
      <c r="BF73" s="13">
        <f t="shared" si="91"/>
        <v>1.0682447123141398E-12</v>
      </c>
      <c r="BG73" s="20">
        <f t="shared" si="61"/>
        <v>1.978932943548152E-12</v>
      </c>
      <c r="BH73" s="59">
        <f t="shared" si="62"/>
        <v>293.3333333333353</v>
      </c>
      <c r="BI73" s="59">
        <f ca="1">AVERAGE(OFFSET($BH$3,0,0,'Données projet'!$E$11+1,1))-AVERAGE(OFFSET($H$3,0,0,'Données projet'!$E$11+1,1))</f>
        <v>302.00825291248458</v>
      </c>
      <c r="BJ73" s="59">
        <f t="shared" si="92"/>
        <v>307.35115839449355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113.91923990391254</v>
      </c>
      <c r="BQ73" s="21">
        <f>EXP(-LN(2)/25)*BQ72+(1-EXP(-LN(2)/25))/(LN(2)/25)*Calculateur!BL73*Calculateur!BN73*VLOOKUP('Données projet'!$B$11,Paramètres!$A$1:$I$89,3,0)*0.475*44/12</f>
        <v>36.711047632506002</v>
      </c>
      <c r="BR73" s="21">
        <f>EXP(-LN(2)/2)*BR72+(1-EXP(-LN(2)/2))/(LN(2)/2)*BL73*BO73*VLOOKUP('Données projet'!$B$11,Paramètres!$A$1:$I$89,3,0)*0.475*44/12</f>
        <v>1.873795088229794</v>
      </c>
      <c r="BS73" s="22">
        <f t="shared" si="63"/>
        <v>152.50408262464833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11.997500000000002</v>
      </c>
      <c r="BY73" s="12">
        <f>IF('Données projet'!$A$114&gt;35,BY72+BX73-CG72,IF(A73&lt;'Données projet'!$A$114,$BV$205^A73,IF(A73='Données projet'!$A$114,'Données projet'!$B$114,BY72+BX73-CG72)))</f>
        <v>358.9874999999999</v>
      </c>
      <c r="BZ73" s="13">
        <f>BY73*VLOOKUP('Données projet'!$B$12,Paramètres!$A$1:$I$89,3,0)*VLOOKUP('Données projet'!$B$12,Paramètres!$A$1:$I$89,5,0)</f>
        <v>168.00614999999993</v>
      </c>
      <c r="CA73" s="13">
        <f t="shared" si="93"/>
        <v>42.643161353938929</v>
      </c>
      <c r="CB73" s="20">
        <f t="shared" si="64"/>
        <v>366.88088394144347</v>
      </c>
      <c r="CC73" s="59">
        <f t="shared" si="65"/>
        <v>660.21421727477673</v>
      </c>
      <c r="CD73" s="59">
        <f ca="1">AVERAGE(OFFSET($CC$3,0,0,'Données projet'!$E$12+1,1))-AVERAGE(OFFSET($H$3,0,0,'Données projet'!$E$12+1,1))</f>
        <v>337.10499990421835</v>
      </c>
      <c r="CE73" s="59">
        <f t="shared" si="94"/>
        <v>277.4254079562175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27.569662873543603</v>
      </c>
      <c r="CL73" s="21">
        <f>EXP(-LN(2)/25)*CL72+(1-EXP(-LN(2)/25))/(LN(2)/25)*Calculateur!CG73*Calculateur!CI73*VLOOKUP('Données projet'!$B$12,Paramètres!$A$1:$I$89,3,0)*0.475*44/12</f>
        <v>18.299732985995277</v>
      </c>
      <c r="CM73" s="21">
        <f>EXP(-LN(2)/2)*CM72+(1-EXP(-LN(2)/2))/(LN(2)/2)*CG73*CJ73*VLOOKUP('Données projet'!$B$12,Paramètres!$A$1:$I$89,3,0)*0.475*44/12</f>
        <v>0.52310471274275727</v>
      </c>
      <c r="CN73" s="22">
        <f t="shared" si="66"/>
        <v>46.392500572281641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6.7437500000000021</v>
      </c>
      <c r="CT73" s="12">
        <f>IF('Données projet'!$A$140&gt;35,CT72+CS73-DB72,IF(A73&lt;'Données projet'!$A$140,$CQ$205^A73,IF(A73='Données projet'!$A$140,'Données projet'!$B$140,CT72+CS73-DB72)))</f>
        <v>155.31375</v>
      </c>
      <c r="CU73" s="17">
        <f>CT73*VLOOKUP('Données projet'!$B$13,Paramètres!$A$1:$I$89,3,0)*VLOOKUP('Données projet'!$B$13,Paramètres!$A$1:$I$89,5,0)</f>
        <v>155.06524800000003</v>
      </c>
      <c r="CV73" s="13">
        <f t="shared" si="95"/>
        <v>39.727447068479464</v>
      </c>
      <c r="CW73" s="20">
        <f t="shared" si="67"/>
        <v>339.2639439109351</v>
      </c>
      <c r="CX73" s="59">
        <f t="shared" si="68"/>
        <v>632.59727724426841</v>
      </c>
      <c r="CY73" s="59">
        <f ca="1">AVERAGE(OFFSET($CX$3,0,0,'Données projet'!$E$13+1,1))-AVERAGE(OFFSET($H$3,0,0,'Données projet'!$E$13+1,1))</f>
        <v>525.74725170626471</v>
      </c>
      <c r="CZ73" s="59">
        <f t="shared" si="96"/>
        <v>259.19103598192197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36.415038435996472</v>
      </c>
      <c r="DH73" s="21">
        <f>EXP(-LN(2)/2)*DH72+(1-EXP(-LN(2)/2))/(LN(2)/2)*DB73*DE73*VLOOKUP('Données projet'!$B$13,Paramètres!$A$1:$I$89,3,0)*0.475*44/12</f>
        <v>6.0536358162373922</v>
      </c>
      <c r="DI73" s="22">
        <f t="shared" si="69"/>
        <v>42.468674252233868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8.2474999999999987</v>
      </c>
      <c r="DO73" s="12">
        <f>IF('Données projet'!$A$166&gt;35,DO72+DN73-DW72,IF(A73&lt;'Données projet'!$A$166,$DL$205^A73,IF(A73='Données projet'!$A$166,'Données projet'!$B$166,DO72+DN73-DW72)))</f>
        <v>213.65250000000026</v>
      </c>
      <c r="DP73" s="17">
        <f>DO73*VLOOKUP('Données projet'!$B$14,Paramètres!$A$1:$I$89,3,0)*VLOOKUP('Données projet'!$B$14,Paramètres!$A$1:$I$89,5,0)</f>
        <v>193.31278200000023</v>
      </c>
      <c r="DQ73" s="13">
        <f t="shared" si="97"/>
        <v>48.271623476583684</v>
      </c>
      <c r="DR73" s="20">
        <f t="shared" si="70"/>
        <v>420.75950620505029</v>
      </c>
      <c r="DS73" s="59">
        <f t="shared" si="71"/>
        <v>714.0928395383836</v>
      </c>
      <c r="DT73" s="59">
        <f ca="1">AVERAGE(OFFSET($DS$3,0,0,'Données projet'!$E$14+1,1))-AVERAGE(OFFSET($H$3,0,0,'Données projet'!$E$14+1,1))</f>
        <v>490.06222615476065</v>
      </c>
      <c r="DU73" s="59">
        <f t="shared" si="98"/>
        <v>310.43914804089906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12.651875275803677</v>
      </c>
      <c r="EB73" s="21">
        <f>EXP(-LN(2)/25)*EB72+(1-EXP(-LN(2)/25))/(LN(2)/25)*Calculateur!DW73*Calculateur!DY73*VLOOKUP('Données projet'!$B$14,Paramètres!$A$1:$I$89,3,0)*0.475*44/12</f>
        <v>29.464765312062688</v>
      </c>
      <c r="EC73" s="21">
        <f>EXP(-LN(2)/2)*EC72+(1-EXP(-LN(2)/2))/(LN(2)/2)*DW73*DZ73*VLOOKUP('Données projet'!$B$14,Paramètres!$A$1:$I$89,3,0)*0.475*44/12</f>
        <v>1.445789372002916</v>
      </c>
      <c r="ED73" s="22">
        <f t="shared" si="72"/>
        <v>43.562429959869277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6.7437500000000021</v>
      </c>
      <c r="EJ73" s="12">
        <f>IF('Données projet'!$A$192&gt;35,EJ72+EI73-ER72,IF(A73&lt;'Données projet'!$A$192,$EG$205^A73,IF(A73='Données projet'!$A$192,'Données projet'!$B$192,EJ72+EI73-ER72)))</f>
        <v>155.31375</v>
      </c>
      <c r="EK73" s="17">
        <f>EJ73*VLOOKUP('Données projet'!$B$15,Paramètres!$A$1:$I$89,3,0)*VLOOKUP('Données projet'!$B$15,Paramètres!$A$1:$I$89,5,0)</f>
        <v>157.48814250000001</v>
      </c>
      <c r="EL73" s="13">
        <f t="shared" si="99"/>
        <v>40.275438230597821</v>
      </c>
      <c r="EM73" s="20">
        <f t="shared" si="73"/>
        <v>344.43823643912452</v>
      </c>
      <c r="EN73" s="59">
        <f t="shared" si="74"/>
        <v>637.77156977245784</v>
      </c>
      <c r="EO73" s="59">
        <f ca="1">AVERAGE(OFFSET($EN$3,0,0,'Données projet'!$E$15+1,1))-AVERAGE(OFFSET($H$3,0,0,'Données projet'!$E$15+1,1))</f>
        <v>533.26035274112917</v>
      </c>
      <c r="EP73" s="59">
        <f t="shared" si="100"/>
        <v>262.58149402282521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36.984023411558915</v>
      </c>
      <c r="EX73" s="21">
        <f>EXP(-LN(2)/2)*EX72+(1-EXP(-LN(2)/2))/(LN(2)/2)*ER73*EU73*VLOOKUP('Données projet'!$B$15,Paramètres!$A$1:$I$89,3,0)*0.475*44/12</f>
        <v>6.1482238758661021</v>
      </c>
      <c r="EY73" s="22">
        <f t="shared" si="75"/>
        <v>43.132247287425017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128.84615384615384</v>
      </c>
      <c r="FC73" s="12">
        <f>VLOOKUP(A73,'Données projet'!$A$217:$I$237,9,0)</f>
        <v>2.6923076923076907</v>
      </c>
      <c r="FD73" s="12">
        <f t="array" ref="FD73">INDEX(FC:FC,MIN(IF(ISNUMBER(FC73:FC269),ROW(FC73:FC269),"")))</f>
        <v>2.6923076923076907</v>
      </c>
      <c r="FE73" s="12">
        <f>IF('Données projet'!$A$218&gt;35,FE72+FD73-FM72,IF(A73&lt;'Données projet'!$A$218,$FB$205^A73,IF(A73='Données projet'!$A$218,'Données projet'!$B$218,FE72+FD73-FM72)))</f>
        <v>128.84615384615375</v>
      </c>
      <c r="FF73" s="17">
        <f>FE73*VLOOKUP('Données projet'!$B$16,Paramètres!$A$1:$I$89,3,0)*VLOOKUP('Données projet'!$B$16,Paramètres!$A$1:$I$89,5,0)</f>
        <v>134.66999999999993</v>
      </c>
      <c r="FG73" s="13">
        <f t="shared" si="101"/>
        <v>35.07323271794791</v>
      </c>
      <c r="FH73" s="20">
        <f t="shared" si="76"/>
        <v>295.63613031709252</v>
      </c>
      <c r="FI73" s="59">
        <f t="shared" si="77"/>
        <v>588.96946365042584</v>
      </c>
      <c r="FJ73" s="59">
        <f ca="1">AVERAGE(OFFSET($FI$3,0,0,'Données projet'!$E$16+1,1))-AVERAGE(OFFSET($H$3,0,0,'Données projet'!$E$16+1,1))</f>
        <v>239.26156489359892</v>
      </c>
      <c r="FK73" s="59">
        <f t="shared" si="102"/>
        <v>213.97034450798111</v>
      </c>
      <c r="FL73" s="15">
        <f>IF(ISNA(VLOOKUP(A73,'Données projet'!$A$217:$I$237,3,0)),0,VLOOKUP(A73,'Données projet'!$A$217:$I$237,3,0))</f>
        <v>11</v>
      </c>
      <c r="FM73" s="15">
        <f>IF(ISNA(VLOOKUP(A73,'Données projet'!$A$217:$I$237,4,0)),0,VLOOKUP(A73,'Données projet'!$A$217:$I$237,4,0))</f>
        <v>8.9743589743589745</v>
      </c>
      <c r="FN73" s="16">
        <f>IF(ISNA(VLOOKUP(A73,'Données projet'!$A$217:$I$237,5,0)),0%,VLOOKUP(A73,'Données projet'!$A$217:$I$237,5,0)*VLOOKUP('Données projet'!$B$16,Paramètres!$A$1:$I$89,7,0))</f>
        <v>4.3000000000000003E-2</v>
      </c>
      <c r="FO73" s="16">
        <f>IF(ISNA(VLOOKUP(A73,'Données projet'!$A$217:$I$237,6,0)),0%,VLOOKUP(A73,'Données projet'!$A$217:$I$237,6,0)*VLOOKUP('Données projet'!$B$16,Paramètres!$A$1:$I$89,7,0))</f>
        <v>0.215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0.87857090548991645</v>
      </c>
      <c r="FR73" s="21">
        <f>EXP(-LN(2)/25)*FR72+(1-EXP(-LN(2)/25))/(LN(2)/25)*Calculateur!FM73*Calculateur!FO73*VLOOKUP('Données projet'!$B$16,Paramètres!$A$1:$I$89,3,0)*0.475*44/12</f>
        <v>16.785703764835688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17.664274670325604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9.65625</v>
      </c>
      <c r="N74" s="13">
        <f>IF('Données projet'!$A$36&gt;35,N73+M74-V73,IF(A74&lt;'Données projet'!$A$36,$K$205^A74,IF(A74='Données projet'!$A$36,'Données projet'!$B$36,N73+M74-V73)))</f>
        <v>235.13499999999996</v>
      </c>
      <c r="O74" s="13">
        <f>N74*VLOOKUP('Données projet'!$B$9,Paramètres!$A$1:$I$89,3,0)*VLOOKUP('Données projet'!$B$9,Paramètres!$A$1:$I$89,5,0)</f>
        <v>223.75446599999998</v>
      </c>
      <c r="P74" s="13">
        <f t="shared" si="87"/>
        <v>54.930094969115991</v>
      </c>
      <c r="Q74" s="20">
        <f t="shared" si="54"/>
        <v>485.37561035454365</v>
      </c>
      <c r="R74" s="59">
        <f t="shared" si="55"/>
        <v>778.70894368787697</v>
      </c>
      <c r="S74" s="59">
        <f ca="1">AVERAGE(OFFSET($R$3,0,0,'Données projet'!$E$9+1,1))-AVERAGE(OFFSET($H$3,0,0,'Données projet'!$E$9+1,1))</f>
        <v>449.28947235329758</v>
      </c>
      <c r="T74" s="59">
        <f t="shared" si="88"/>
        <v>289.36994109443964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16.2678229150489</v>
      </c>
      <c r="AA74" s="21">
        <f>EXP(-LN(2)/25)*AA73+(1-EXP(-LN(2)/25))/(LN(2)/25)*Calculateur!V74*Calculateur!X74*VLOOKUP('Données projet'!$B$9,Paramètres!$A$1:$I$89,3,0)*0.475*44/12</f>
        <v>26.136623070495748</v>
      </c>
      <c r="AB74" s="21">
        <f>EXP(-LN(2)/2)*AB73+(1-EXP(-LN(2)/2))/(LN(2)/2)*V74*Y74*VLOOKUP('Données projet'!$B$9,Paramètres!$A$1:$I$89,3,0)*0.475*44/12</f>
        <v>1.0203124806635082</v>
      </c>
      <c r="AC74" s="22">
        <f t="shared" si="57"/>
        <v>43.424758466208154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9.7839999999999971</v>
      </c>
      <c r="AI74" s="13">
        <f>IF('Données projet'!$A$62&gt;35,AI73+AH74-AQ73,IF(A74&lt;'Données projet'!$A$62,$AF$205^A74,IF(A74='Données projet'!$A$62,'Données projet'!$B$62,AI73+AH74-AQ73)))</f>
        <v>431.97399999999976</v>
      </c>
      <c r="AJ74" s="13">
        <f>AI74*VLOOKUP('Données projet'!$B$10,Paramètres!$A$1:$I$89,3,0)*VLOOKUP('Données projet'!$B$10,Paramètres!$A$1:$I$89,5,0)</f>
        <v>258.32045199999988</v>
      </c>
      <c r="AK74" s="13">
        <f t="shared" si="89"/>
        <v>62.364231271731597</v>
      </c>
      <c r="AL74" s="20">
        <f t="shared" si="58"/>
        <v>558.52582336493231</v>
      </c>
      <c r="AM74" s="59">
        <f t="shared" si="59"/>
        <v>851.85915669826568</v>
      </c>
      <c r="AN74" s="59">
        <f ca="1">AVERAGE(OFFSET($AM$3,0,0,'Données projet'!$E$10+1,1))-AVERAGE(OFFSET($H$3,0,0,'Données projet'!$E$10+1,1))</f>
        <v>349.71285006949597</v>
      </c>
      <c r="AO74" s="59">
        <f t="shared" si="90"/>
        <v>258.51550516456842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50.055674330846486</v>
      </c>
      <c r="AV74" s="21">
        <f>EXP(-LN(2)/25)*AV73+(1-EXP(-LN(2)/25))/(LN(2)/25)*Calculateur!AQ74*Calculateur!AS74*VLOOKUP('Données projet'!$B$10,Paramètres!$A$1:$I$89,3,0)*0.475*44/12</f>
        <v>18.946772642357956</v>
      </c>
      <c r="AW74" s="21">
        <f>EXP(-LN(2)/2)*AW73+(1-EXP(-LN(2)/2))/(LN(2)/2)*AQ74*AT74*VLOOKUP('Données projet'!$B$10,Paramètres!$A$1:$I$89,3,0)*0.475*44/12</f>
        <v>6.7155753412215047</v>
      </c>
      <c r="AX74" s="21">
        <f t="shared" si="60"/>
        <v>75.718022314425951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1.1368683772161603E-13</v>
      </c>
      <c r="BE74" s="13">
        <f>BD74*VLOOKUP('Données projet'!$B$11,Paramètres!$A$1:$I$89,3,0)*VLOOKUP('Données projet'!$B$11,Paramètres!$A$1:$I$89,5,0)</f>
        <v>6.7984728957526396E-14</v>
      </c>
      <c r="BF74" s="13">
        <f t="shared" si="91"/>
        <v>1.0682447123141398E-12</v>
      </c>
      <c r="BG74" s="20">
        <f t="shared" si="61"/>
        <v>1.978932943548152E-12</v>
      </c>
      <c r="BH74" s="59">
        <f t="shared" si="62"/>
        <v>293.3333333333353</v>
      </c>
      <c r="BI74" s="59">
        <f ca="1">AVERAGE(OFFSET($BH$3,0,0,'Données projet'!$E$11+1,1))-AVERAGE(OFFSET($H$3,0,0,'Données projet'!$E$11+1,1))</f>
        <v>302.00825291248458</v>
      </c>
      <c r="BJ74" s="59">
        <f t="shared" si="92"/>
        <v>307.35115839449355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111.6853530932722</v>
      </c>
      <c r="BQ74" s="21">
        <f>EXP(-LN(2)/25)*BQ73+(1-EXP(-LN(2)/25))/(LN(2)/25)*Calculateur!BL74*Calculateur!BN74*VLOOKUP('Données projet'!$B$11,Paramètres!$A$1:$I$89,3,0)*0.475*44/12</f>
        <v>35.707182104445032</v>
      </c>
      <c r="BR74" s="21">
        <f>EXP(-LN(2)/2)*BR73+(1-EXP(-LN(2)/2))/(LN(2)/2)*BL74*BO74*VLOOKUP('Données projet'!$B$11,Paramètres!$A$1:$I$89,3,0)*0.475*44/12</f>
        <v>1.3249732134413326</v>
      </c>
      <c r="BS74" s="22">
        <f t="shared" si="63"/>
        <v>148.71750841115855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11.997500000000002</v>
      </c>
      <c r="BY74" s="12">
        <f>IF('Données projet'!$A$114&gt;35,BY73+BX74-CG73,IF(A74&lt;'Données projet'!$A$114,$BV$205^A74,IF(A74='Données projet'!$A$114,'Données projet'!$B$114,BY73+BX74-CG73)))</f>
        <v>370.9849999999999</v>
      </c>
      <c r="BZ74" s="13">
        <f>BY74*VLOOKUP('Données projet'!$B$12,Paramètres!$A$1:$I$89,3,0)*VLOOKUP('Données projet'!$B$12,Paramètres!$A$1:$I$89,5,0)</f>
        <v>173.62097999999997</v>
      </c>
      <c r="CA74" s="13">
        <f t="shared" si="93"/>
        <v>43.900005198349035</v>
      </c>
      <c r="CB74" s="20">
        <f t="shared" si="64"/>
        <v>378.84904922045786</v>
      </c>
      <c r="CC74" s="59">
        <f t="shared" si="65"/>
        <v>672.18238255379117</v>
      </c>
      <c r="CD74" s="59">
        <f ca="1">AVERAGE(OFFSET($CC$3,0,0,'Données projet'!$E$12+1,1))-AVERAGE(OFFSET($H$3,0,0,'Données projet'!$E$12+1,1))</f>
        <v>337.10499990421835</v>
      </c>
      <c r="CE74" s="59">
        <f t="shared" si="94"/>
        <v>277.4254079562175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27.029038600427342</v>
      </c>
      <c r="CL74" s="21">
        <f>EXP(-LN(2)/25)*CL73+(1-EXP(-LN(2)/25))/(LN(2)/25)*Calculateur!CG74*Calculateur!CI74*VLOOKUP('Données projet'!$B$12,Paramètres!$A$1:$I$89,3,0)*0.475*44/12</f>
        <v>17.799325825152103</v>
      </c>
      <c r="CM74" s="21">
        <f>EXP(-LN(2)/2)*CM73+(1-EXP(-LN(2)/2))/(LN(2)/2)*CG74*CJ74*VLOOKUP('Données projet'!$B$12,Paramètres!$A$1:$I$89,3,0)*0.475*44/12</f>
        <v>0.36989088965104466</v>
      </c>
      <c r="CN74" s="22">
        <f t="shared" si="66"/>
        <v>45.19825531523049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6.7437500000000021</v>
      </c>
      <c r="CT74" s="12">
        <f>IF('Données projet'!$A$140&gt;35,CT73+CS74-DB73,IF(A74&lt;'Données projet'!$A$140,$CQ$205^A74,IF(A74='Données projet'!$A$140,'Données projet'!$B$140,CT73+CS74-DB73)))</f>
        <v>162.0575</v>
      </c>
      <c r="CU74" s="17">
        <f>CT74*VLOOKUP('Données projet'!$B$13,Paramètres!$A$1:$I$89,3,0)*VLOOKUP('Données projet'!$B$13,Paramètres!$A$1:$I$89,5,0)</f>
        <v>161.79820800000002</v>
      </c>
      <c r="CV74" s="13">
        <f t="shared" si="95"/>
        <v>41.247842047280763</v>
      </c>
      <c r="CW74" s="20">
        <f t="shared" si="67"/>
        <v>353.63853716568065</v>
      </c>
      <c r="CX74" s="59">
        <f t="shared" si="68"/>
        <v>646.9718704990139</v>
      </c>
      <c r="CY74" s="59">
        <f ca="1">AVERAGE(OFFSET($CX$3,0,0,'Données projet'!$E$13+1,1))-AVERAGE(OFFSET($H$3,0,0,'Données projet'!$E$13+1,1))</f>
        <v>525.74725170626471</v>
      </c>
      <c r="CZ74" s="59">
        <f t="shared" si="96"/>
        <v>259.19103598192197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35.419267294980507</v>
      </c>
      <c r="DH74" s="21">
        <f>EXP(-LN(2)/2)*DH73+(1-EXP(-LN(2)/2))/(LN(2)/2)*DB74*DE74*VLOOKUP('Données projet'!$B$13,Paramètres!$A$1:$I$89,3,0)*0.475*44/12</f>
        <v>4.2805669364952212</v>
      </c>
      <c r="DI74" s="22">
        <f t="shared" si="69"/>
        <v>39.699834231475727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8.2474999999999987</v>
      </c>
      <c r="DO74" s="12">
        <f>IF('Données projet'!$A$166&gt;35,DO73+DN74-DW73,IF(A74&lt;'Données projet'!$A$166,$DL$205^A74,IF(A74='Données projet'!$A$166,'Données projet'!$B$166,DO73+DN74-DW73)))</f>
        <v>221.90000000000026</v>
      </c>
      <c r="DP74" s="17">
        <f>DO74*VLOOKUP('Données projet'!$B$14,Paramètres!$A$1:$I$89,3,0)*VLOOKUP('Données projet'!$B$14,Paramètres!$A$1:$I$89,5,0)</f>
        <v>200.77512000000021</v>
      </c>
      <c r="DQ74" s="13">
        <f t="shared" si="97"/>
        <v>49.914477272475111</v>
      </c>
      <c r="DR74" s="20">
        <f t="shared" si="70"/>
        <v>436.61771524956117</v>
      </c>
      <c r="DS74" s="59">
        <f t="shared" si="71"/>
        <v>729.95104858289449</v>
      </c>
      <c r="DT74" s="59">
        <f ca="1">AVERAGE(OFFSET($DS$3,0,0,'Données projet'!$E$14+1,1))-AVERAGE(OFFSET($H$3,0,0,'Données projet'!$E$14+1,1))</f>
        <v>490.06222615476065</v>
      </c>
      <c r="DU74" s="59">
        <f t="shared" si="98"/>
        <v>310.43914804089906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12.403779718527106</v>
      </c>
      <c r="EB74" s="21">
        <f>EXP(-LN(2)/25)*EB73+(1-EXP(-LN(2)/25))/(LN(2)/25)*Calculateur!DW74*Calculateur!DY74*VLOOKUP('Données projet'!$B$14,Paramètres!$A$1:$I$89,3,0)*0.475*44/12</f>
        <v>28.659049755119668</v>
      </c>
      <c r="EC74" s="21">
        <f>EXP(-LN(2)/2)*EC73+(1-EXP(-LN(2)/2))/(LN(2)/2)*DW74*DZ74*VLOOKUP('Données projet'!$B$14,Paramètres!$A$1:$I$89,3,0)*0.475*44/12</f>
        <v>1.022327469110702</v>
      </c>
      <c r="ED74" s="22">
        <f t="shared" si="72"/>
        <v>42.085156942757472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6.7437500000000021</v>
      </c>
      <c r="EJ74" s="12">
        <f>IF('Données projet'!$A$192&gt;35,EJ73+EI74-ER73,IF(A74&lt;'Données projet'!$A$192,$EG$205^A74,IF(A74='Données projet'!$A$192,'Données projet'!$B$192,EJ73+EI74-ER73)))</f>
        <v>162.0575</v>
      </c>
      <c r="EK74" s="17">
        <f>EJ74*VLOOKUP('Données projet'!$B$15,Paramètres!$A$1:$I$89,3,0)*VLOOKUP('Données projet'!$B$15,Paramètres!$A$1:$I$89,5,0)</f>
        <v>164.32630500000002</v>
      </c>
      <c r="EL74" s="13">
        <f t="shared" si="99"/>
        <v>41.816805184010924</v>
      </c>
      <c r="EM74" s="20">
        <f t="shared" si="73"/>
        <v>359.03258357048571</v>
      </c>
      <c r="EN74" s="59">
        <f t="shared" si="74"/>
        <v>652.36591690381897</v>
      </c>
      <c r="EO74" s="59">
        <f ca="1">AVERAGE(OFFSET($EN$3,0,0,'Données projet'!$E$15+1,1))-AVERAGE(OFFSET($H$3,0,0,'Données projet'!$E$15+1,1))</f>
        <v>533.26035274112917</v>
      </c>
      <c r="EP74" s="59">
        <f t="shared" si="100"/>
        <v>262.58149402282521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35.972693346464574</v>
      </c>
      <c r="EX74" s="21">
        <f>EXP(-LN(2)/2)*EX73+(1-EXP(-LN(2)/2))/(LN(2)/2)*ER74*EU74*VLOOKUP('Données projet'!$B$15,Paramètres!$A$1:$I$89,3,0)*0.475*44/12</f>
        <v>4.3474507948779593</v>
      </c>
      <c r="EY74" s="22">
        <f t="shared" si="75"/>
        <v>40.320144141342531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2.1794871794871766</v>
      </c>
      <c r="FE74" s="12">
        <f>IF('Données projet'!$A$218&gt;35,FE73+FD74-FM73,IF(A74&lt;'Données projet'!$A$218,$FB$205^A74,IF(A74='Données projet'!$A$218,'Données projet'!$B$218,FE73+FD74-FM73)))</f>
        <v>122.05128205128196</v>
      </c>
      <c r="FF74" s="17">
        <f>FE74*VLOOKUP('Données projet'!$B$16,Paramètres!$A$1:$I$89,3,0)*VLOOKUP('Données projet'!$B$16,Paramètres!$A$1:$I$89,5,0)</f>
        <v>127.56799999999991</v>
      </c>
      <c r="FG74" s="13">
        <f t="shared" si="101"/>
        <v>33.43377937608831</v>
      </c>
      <c r="FH74" s="20">
        <f t="shared" si="76"/>
        <v>280.41143241335362</v>
      </c>
      <c r="FI74" s="59">
        <f t="shared" si="77"/>
        <v>573.74476574668688</v>
      </c>
      <c r="FJ74" s="59">
        <f ca="1">AVERAGE(OFFSET($FI$3,0,0,'Données projet'!$E$16+1,1))-AVERAGE(OFFSET($H$3,0,0,'Données projet'!$E$16+1,1))</f>
        <v>239.26156489359892</v>
      </c>
      <c r="FK74" s="59">
        <f t="shared" si="102"/>
        <v>213.97034450798111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0.8613426659085982</v>
      </c>
      <c r="FR74" s="21">
        <f>EXP(-LN(2)/25)*FR73+(1-EXP(-LN(2)/25))/(LN(2)/25)*Calculateur!FM74*Calculateur!FO74*VLOOKUP('Données projet'!$B$16,Paramètres!$A$1:$I$89,3,0)*0.475*44/12</f>
        <v>16.32669781266446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17.188040478573058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9.65625</v>
      </c>
      <c r="N75" s="13">
        <f>IF('Données projet'!$A$36&gt;35,N74+M75-V74,IF(A75&lt;'Données projet'!$A$36,$K$205^A75,IF(A75='Données projet'!$A$36,'Données projet'!$B$36,N74+M75-V74)))</f>
        <v>244.79124999999996</v>
      </c>
      <c r="O75" s="13">
        <f>N75*VLOOKUP('Données projet'!$B$9,Paramètres!$A$1:$I$89,3,0)*VLOOKUP('Données projet'!$B$9,Paramètres!$A$1:$I$89,5,0)</f>
        <v>232.94335349999997</v>
      </c>
      <c r="P75" s="13">
        <f t="shared" si="87"/>
        <v>56.918631610926248</v>
      </c>
      <c r="Q75" s="20">
        <f t="shared" si="54"/>
        <v>504.84295740152987</v>
      </c>
      <c r="R75" s="59">
        <f t="shared" si="55"/>
        <v>798.17629073486319</v>
      </c>
      <c r="S75" s="59">
        <f ca="1">AVERAGE(OFFSET($R$3,0,0,'Données projet'!$E$9+1,1))-AVERAGE(OFFSET($H$3,0,0,'Données projet'!$E$9+1,1))</f>
        <v>449.28947235329758</v>
      </c>
      <c r="T75" s="59">
        <f t="shared" si="88"/>
        <v>289.36994109443964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15.948820830077015</v>
      </c>
      <c r="AA75" s="21">
        <f>EXP(-LN(2)/25)*AA74+(1-EXP(-LN(2)/25))/(LN(2)/25)*Calculateur!V75*Calculateur!X75*VLOOKUP('Données projet'!$B$9,Paramètres!$A$1:$I$89,3,0)*0.475*44/12</f>
        <v>25.421915738167769</v>
      </c>
      <c r="AB75" s="21">
        <f>EXP(-LN(2)/2)*AB74+(1-EXP(-LN(2)/2))/(LN(2)/2)*V75*Y75*VLOOKUP('Données projet'!$B$9,Paramètres!$A$1:$I$89,3,0)*0.475*44/12</f>
        <v>0.72146987400643481</v>
      </c>
      <c r="AC75" s="22">
        <f t="shared" si="57"/>
        <v>42.092206442251218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9.7839999999999971</v>
      </c>
      <c r="AI75" s="13">
        <f>IF('Données projet'!$A$62&gt;35,AI74+AH75-AQ74,IF(A75&lt;'Données projet'!$A$62,$AF$205^A75,IF(A75='Données projet'!$A$62,'Données projet'!$B$62,AI74+AH75-AQ74)))</f>
        <v>441.75799999999975</v>
      </c>
      <c r="AJ75" s="13">
        <f>AI75*VLOOKUP('Données projet'!$B$10,Paramètres!$A$1:$I$89,3,0)*VLOOKUP('Données projet'!$B$10,Paramètres!$A$1:$I$89,5,0)</f>
        <v>264.1712839999999</v>
      </c>
      <c r="AK75" s="13">
        <f t="shared" si="89"/>
        <v>63.610701832955151</v>
      </c>
      <c r="AL75" s="20">
        <f t="shared" si="58"/>
        <v>570.88695865906334</v>
      </c>
      <c r="AM75" s="59">
        <f t="shared" si="59"/>
        <v>864.2202919923966</v>
      </c>
      <c r="AN75" s="59">
        <f ca="1">AVERAGE(OFFSET($AM$3,0,0,'Données projet'!$E$10+1,1))-AVERAGE(OFFSET($H$3,0,0,'Données projet'!$E$10+1,1))</f>
        <v>349.71285006949597</v>
      </c>
      <c r="AO75" s="59">
        <f t="shared" si="90"/>
        <v>258.51550516456842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49.074113088165248</v>
      </c>
      <c r="AV75" s="21">
        <f>EXP(-LN(2)/25)*AV74+(1-EXP(-LN(2)/25))/(LN(2)/25)*Calculateur!AQ75*Calculateur!AS75*VLOOKUP('Données projet'!$B$10,Paramètres!$A$1:$I$89,3,0)*0.475*44/12</f>
        <v>18.428672148085209</v>
      </c>
      <c r="AW75" s="21">
        <f>EXP(-LN(2)/2)*AW74+(1-EXP(-LN(2)/2))/(LN(2)/2)*AQ75*AT75*VLOOKUP('Données projet'!$B$10,Paramètres!$A$1:$I$89,3,0)*0.475*44/12</f>
        <v>4.7486288633468892</v>
      </c>
      <c r="AX75" s="21">
        <f t="shared" si="60"/>
        <v>72.251414099597355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1.1368683772161603E-13</v>
      </c>
      <c r="BE75" s="13">
        <f>BD75*VLOOKUP('Données projet'!$B$11,Paramètres!$A$1:$I$89,3,0)*VLOOKUP('Données projet'!$B$11,Paramètres!$A$1:$I$89,5,0)</f>
        <v>6.7984728957526396E-14</v>
      </c>
      <c r="BF75" s="13">
        <f t="shared" si="91"/>
        <v>1.0682447123141398E-12</v>
      </c>
      <c r="BG75" s="20">
        <f t="shared" si="61"/>
        <v>1.978932943548152E-12</v>
      </c>
      <c r="BH75" s="59">
        <f t="shared" si="62"/>
        <v>293.3333333333353</v>
      </c>
      <c r="BI75" s="59">
        <f ca="1">AVERAGE(OFFSET($BH$3,0,0,'Données projet'!$E$11+1,1))-AVERAGE(OFFSET($H$3,0,0,'Données projet'!$E$11+1,1))</f>
        <v>302.00825291248458</v>
      </c>
      <c r="BJ75" s="59">
        <f t="shared" si="92"/>
        <v>307.35115839449355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109.4952714404521</v>
      </c>
      <c r="BQ75" s="21">
        <f>EXP(-LN(2)/25)*BQ74+(1-EXP(-LN(2)/25))/(LN(2)/25)*Calculateur!BL75*Calculateur!BN75*VLOOKUP('Données projet'!$B$11,Paramètres!$A$1:$I$89,3,0)*0.475*44/12</f>
        <v>34.730767332039882</v>
      </c>
      <c r="BR75" s="21">
        <f>EXP(-LN(2)/2)*BR74+(1-EXP(-LN(2)/2))/(LN(2)/2)*BL75*BO75*VLOOKUP('Données projet'!$B$11,Paramètres!$A$1:$I$89,3,0)*0.475*44/12</f>
        <v>0.93689754411489712</v>
      </c>
      <c r="BS75" s="22">
        <f t="shared" si="63"/>
        <v>145.16293631660687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11.997500000000002</v>
      </c>
      <c r="BY75" s="12">
        <f>IF('Données projet'!$A$114&gt;35,BY74+BX75-CG74,IF(A75&lt;'Données projet'!$A$114,$BV$205^A75,IF(A75='Données projet'!$A$114,'Données projet'!$B$114,BY74+BX75-CG74)))</f>
        <v>382.9824999999999</v>
      </c>
      <c r="BZ75" s="13">
        <f>BY75*VLOOKUP('Données projet'!$B$12,Paramètres!$A$1:$I$89,3,0)*VLOOKUP('Données projet'!$B$12,Paramètres!$A$1:$I$89,5,0)</f>
        <v>179.23580999999996</v>
      </c>
      <c r="CA75" s="13">
        <f t="shared" si="93"/>
        <v>45.152125894936496</v>
      </c>
      <c r="CB75" s="20">
        <f t="shared" si="64"/>
        <v>390.80898835034759</v>
      </c>
      <c r="CC75" s="59">
        <f t="shared" si="65"/>
        <v>684.14232168368085</v>
      </c>
      <c r="CD75" s="59">
        <f ca="1">AVERAGE(OFFSET($CC$3,0,0,'Données projet'!$E$12+1,1))-AVERAGE(OFFSET($H$3,0,0,'Données projet'!$E$12+1,1))</f>
        <v>337.10499990421835</v>
      </c>
      <c r="CE75" s="59">
        <f t="shared" si="94"/>
        <v>277.4254079562175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26.499015639558642</v>
      </c>
      <c r="CL75" s="21">
        <f>EXP(-LN(2)/25)*CL74+(1-EXP(-LN(2)/25))/(LN(2)/25)*Calculateur!CG75*Calculateur!CI75*VLOOKUP('Données projet'!$B$12,Paramètres!$A$1:$I$89,3,0)*0.475*44/12</f>
        <v>17.312602324437453</v>
      </c>
      <c r="CM75" s="21">
        <f>EXP(-LN(2)/2)*CM74+(1-EXP(-LN(2)/2))/(LN(2)/2)*CG75*CJ75*VLOOKUP('Données projet'!$B$12,Paramètres!$A$1:$I$89,3,0)*0.475*44/12</f>
        <v>0.26155235637137864</v>
      </c>
      <c r="CN75" s="22">
        <f t="shared" si="66"/>
        <v>44.073170320367481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6.7437500000000021</v>
      </c>
      <c r="CT75" s="12">
        <f>IF('Données projet'!$A$140&gt;35,CT74+CS75-DB74,IF(A75&lt;'Données projet'!$A$140,$CQ$205^A75,IF(A75='Données projet'!$A$140,'Données projet'!$B$140,CT74+CS75-DB74)))</f>
        <v>168.80125000000001</v>
      </c>
      <c r="CU75" s="17">
        <f>CT75*VLOOKUP('Données projet'!$B$13,Paramètres!$A$1:$I$89,3,0)*VLOOKUP('Données projet'!$B$13,Paramètres!$A$1:$I$89,5,0)</f>
        <v>168.53116800000001</v>
      </c>
      <c r="CV75" s="13">
        <f t="shared" si="95"/>
        <v>42.76088811935999</v>
      </c>
      <c r="CW75" s="20">
        <f t="shared" si="67"/>
        <v>368.00033107455192</v>
      </c>
      <c r="CX75" s="59">
        <f t="shared" si="68"/>
        <v>661.33366440788518</v>
      </c>
      <c r="CY75" s="59">
        <f ca="1">AVERAGE(OFFSET($CX$3,0,0,'Données projet'!$E$13+1,1))-AVERAGE(OFFSET($H$3,0,0,'Données projet'!$E$13+1,1))</f>
        <v>525.74725170626471</v>
      </c>
      <c r="CZ75" s="59">
        <f t="shared" si="96"/>
        <v>259.19103598192197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34.45072556818095</v>
      </c>
      <c r="DH75" s="21">
        <f>EXP(-LN(2)/2)*DH74+(1-EXP(-LN(2)/2))/(LN(2)/2)*DB75*DE75*VLOOKUP('Données projet'!$B$13,Paramètres!$A$1:$I$89,3,0)*0.475*44/12</f>
        <v>3.0268179081186966</v>
      </c>
      <c r="DI75" s="22">
        <f t="shared" si="69"/>
        <v>37.477543476299644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8.2474999999999987</v>
      </c>
      <c r="DO75" s="12">
        <f>IF('Données projet'!$A$166&gt;35,DO74+DN75-DW74,IF(A75&lt;'Données projet'!$A$166,$DL$205^A75,IF(A75='Données projet'!$A$166,'Données projet'!$B$166,DO74+DN75-DW74)))</f>
        <v>230.14750000000026</v>
      </c>
      <c r="DP75" s="17">
        <f>DO75*VLOOKUP('Données projet'!$B$14,Paramètres!$A$1:$I$89,3,0)*VLOOKUP('Données projet'!$B$14,Paramètres!$A$1:$I$89,5,0)</f>
        <v>208.2374580000002</v>
      </c>
      <c r="DQ75" s="13">
        <f t="shared" si="97"/>
        <v>51.550237194862532</v>
      </c>
      <c r="DR75" s="20">
        <f t="shared" si="70"/>
        <v>452.46356913105257</v>
      </c>
      <c r="DS75" s="59">
        <f t="shared" si="71"/>
        <v>745.79690246438588</v>
      </c>
      <c r="DT75" s="59">
        <f ca="1">AVERAGE(OFFSET($DS$3,0,0,'Données projet'!$E$14+1,1))-AVERAGE(OFFSET($H$3,0,0,'Données projet'!$E$14+1,1))</f>
        <v>490.06222615476065</v>
      </c>
      <c r="DU75" s="59">
        <f t="shared" si="98"/>
        <v>310.43914804089906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12.160549163805381</v>
      </c>
      <c r="EB75" s="21">
        <f>EXP(-LN(2)/25)*EB74+(1-EXP(-LN(2)/25))/(LN(2)/25)*Calculateur!DW75*Calculateur!DY75*VLOOKUP('Données projet'!$B$14,Paramètres!$A$1:$I$89,3,0)*0.475*44/12</f>
        <v>27.875366532451995</v>
      </c>
      <c r="EC75" s="21">
        <f>EXP(-LN(2)/2)*EC74+(1-EXP(-LN(2)/2))/(LN(2)/2)*DW75*DZ75*VLOOKUP('Données projet'!$B$14,Paramètres!$A$1:$I$89,3,0)*0.475*44/12</f>
        <v>0.72289468600145812</v>
      </c>
      <c r="ED75" s="22">
        <f t="shared" si="72"/>
        <v>40.758810382258837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6.7437500000000021</v>
      </c>
      <c r="EJ75" s="12">
        <f>IF('Données projet'!$A$192&gt;35,EJ74+EI75-ER74,IF(A75&lt;'Données projet'!$A$192,$EG$205^A75,IF(A75='Données projet'!$A$192,'Données projet'!$B$192,EJ74+EI75-ER74)))</f>
        <v>168.80125000000001</v>
      </c>
      <c r="EK75" s="17">
        <f>EJ75*VLOOKUP('Données projet'!$B$15,Paramètres!$A$1:$I$89,3,0)*VLOOKUP('Données projet'!$B$15,Paramètres!$A$1:$I$89,5,0)</f>
        <v>171.16446750000003</v>
      </c>
      <c r="EL75" s="13">
        <f t="shared" si="99"/>
        <v>43.350721861592397</v>
      </c>
      <c r="EM75" s="20">
        <f t="shared" si="73"/>
        <v>373.61395480477341</v>
      </c>
      <c r="EN75" s="59">
        <f t="shared" si="74"/>
        <v>666.94728813810673</v>
      </c>
      <c r="EO75" s="59">
        <f ca="1">AVERAGE(OFFSET($EN$3,0,0,'Données projet'!$E$15+1,1))-AVERAGE(OFFSET($H$3,0,0,'Données projet'!$E$15+1,1))</f>
        <v>533.26035274112917</v>
      </c>
      <c r="EP75" s="59">
        <f t="shared" si="100"/>
        <v>262.58149402282521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34.989018155183771</v>
      </c>
      <c r="EX75" s="21">
        <f>EXP(-LN(2)/2)*EX74+(1-EXP(-LN(2)/2))/(LN(2)/2)*ER75*EU75*VLOOKUP('Données projet'!$B$15,Paramètres!$A$1:$I$89,3,0)*0.475*44/12</f>
        <v>3.0741119379330515</v>
      </c>
      <c r="EY75" s="22">
        <f t="shared" si="75"/>
        <v>38.063130093116825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2.1794871794871766</v>
      </c>
      <c r="FE75" s="12">
        <f>IF('Données projet'!$A$218&gt;35,FE74+FD75-FM74,IF(A75&lt;'Données projet'!$A$218,$FB$205^A75,IF(A75='Données projet'!$A$218,'Données projet'!$B$218,FE74+FD75-FM74)))</f>
        <v>124.23076923076914</v>
      </c>
      <c r="FF75" s="17">
        <f>FE75*VLOOKUP('Données projet'!$B$16,Paramètres!$A$1:$I$89,3,0)*VLOOKUP('Données projet'!$B$16,Paramètres!$A$1:$I$89,5,0)</f>
        <v>129.84599999999992</v>
      </c>
      <c r="FG75" s="13">
        <f t="shared" si="101"/>
        <v>33.960771999433035</v>
      </c>
      <c r="FH75" s="20">
        <f t="shared" si="76"/>
        <v>285.29679456567902</v>
      </c>
      <c r="FI75" s="59">
        <f t="shared" si="77"/>
        <v>578.63012789901234</v>
      </c>
      <c r="FJ75" s="59">
        <f ca="1">AVERAGE(OFFSET($FI$3,0,0,'Données projet'!$E$16+1,1))-AVERAGE(OFFSET($H$3,0,0,'Données projet'!$E$16+1,1))</f>
        <v>239.26156489359892</v>
      </c>
      <c r="FK75" s="59">
        <f t="shared" si="102"/>
        <v>213.97034450798111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0.84445226159728115</v>
      </c>
      <c r="FR75" s="21">
        <f>EXP(-LN(2)/25)*FR74+(1-EXP(-LN(2)/25))/(LN(2)/25)*Calculateur!FM75*Calculateur!FO75*VLOOKUP('Données projet'!$B$16,Paramètres!$A$1:$I$89,3,0)*0.475*44/12</f>
        <v>15.880243402393427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16.724695663990708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9.65625</v>
      </c>
      <c r="N76" s="13">
        <f>IF('Données projet'!$A$36&gt;35,N75+M76-V75,IF(A76&lt;'Données projet'!$A$36,$K$205^A76,IF(A76='Données projet'!$A$36,'Données projet'!$B$36,N75+M76-V75)))</f>
        <v>254.44749999999996</v>
      </c>
      <c r="O76" s="13">
        <f>N76*VLOOKUP('Données projet'!$B$9,Paramètres!$A$1:$I$89,3,0)*VLOOKUP('Données projet'!$B$9,Paramètres!$A$1:$I$89,5,0)</f>
        <v>242.13224099999996</v>
      </c>
      <c r="P76" s="13">
        <f t="shared" si="87"/>
        <v>58.898056089565813</v>
      </c>
      <c r="Q76" s="20">
        <f t="shared" si="54"/>
        <v>524.29443409766043</v>
      </c>
      <c r="R76" s="59">
        <f t="shared" si="55"/>
        <v>817.6277674309938</v>
      </c>
      <c r="S76" s="59">
        <f ca="1">AVERAGE(OFFSET($R$3,0,0,'Données projet'!$E$9+1,1))-AVERAGE(OFFSET($H$3,0,0,'Données projet'!$E$9+1,1))</f>
        <v>449.28947235329758</v>
      </c>
      <c r="T76" s="59">
        <f t="shared" si="88"/>
        <v>289.36994109443964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15.636074181419369</v>
      </c>
      <c r="AA76" s="21">
        <f>EXP(-LN(2)/25)*AA75+(1-EXP(-LN(2)/25))/(LN(2)/25)*Calculateur!V76*Calculateur!X76*VLOOKUP('Données projet'!$B$9,Paramètres!$A$1:$I$89,3,0)*0.475*44/12</f>
        <v>24.726752115427125</v>
      </c>
      <c r="AB76" s="21">
        <f>EXP(-LN(2)/2)*AB75+(1-EXP(-LN(2)/2))/(LN(2)/2)*V76*Y76*VLOOKUP('Données projet'!$B$9,Paramètres!$A$1:$I$89,3,0)*0.475*44/12</f>
        <v>0.51015624033175411</v>
      </c>
      <c r="AC76" s="22">
        <f t="shared" si="57"/>
        <v>40.872982537178245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9.7839999999999971</v>
      </c>
      <c r="AI76" s="13">
        <f>IF('Données projet'!$A$62&gt;35,AI75+AH76-AQ75,IF(A76&lt;'Données projet'!$A$62,$AF$205^A76,IF(A76='Données projet'!$A$62,'Données projet'!$B$62,AI75+AH76-AQ75)))</f>
        <v>451.54199999999975</v>
      </c>
      <c r="AJ76" s="13">
        <f>AI76*VLOOKUP('Données projet'!$B$10,Paramètres!$A$1:$I$89,3,0)*VLOOKUP('Données projet'!$B$10,Paramètres!$A$1:$I$89,5,0)</f>
        <v>270.02211599999987</v>
      </c>
      <c r="AK76" s="13">
        <f t="shared" si="89"/>
        <v>64.853962838834434</v>
      </c>
      <c r="AL76" s="20">
        <f t="shared" si="58"/>
        <v>583.24250397763637</v>
      </c>
      <c r="AM76" s="59">
        <f t="shared" si="59"/>
        <v>876.57583731096975</v>
      </c>
      <c r="AN76" s="59">
        <f ca="1">AVERAGE(OFFSET($AM$3,0,0,'Données projet'!$E$10+1,1))-AVERAGE(OFFSET($H$3,0,0,'Données projet'!$E$10+1,1))</f>
        <v>349.71285006949597</v>
      </c>
      <c r="AO76" s="59">
        <f t="shared" si="90"/>
        <v>258.51550516456842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48.111799662759744</v>
      </c>
      <c r="AV76" s="21">
        <f>EXP(-LN(2)/25)*AV75+(1-EXP(-LN(2)/25))/(LN(2)/25)*Calculateur!AQ76*Calculateur!AS76*VLOOKUP('Données projet'!$B$10,Paramètres!$A$1:$I$89,3,0)*0.475*44/12</f>
        <v>17.92473913907407</v>
      </c>
      <c r="AW76" s="21">
        <f>EXP(-LN(2)/2)*AW75+(1-EXP(-LN(2)/2))/(LN(2)/2)*AQ76*AT76*VLOOKUP('Données projet'!$B$10,Paramètres!$A$1:$I$89,3,0)*0.475*44/12</f>
        <v>3.3577876706107528</v>
      </c>
      <c r="AX76" s="21">
        <f t="shared" si="60"/>
        <v>69.394326472444561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1.1368683772161603E-13</v>
      </c>
      <c r="BE76" s="13">
        <f>BD76*VLOOKUP('Données projet'!$B$11,Paramètres!$A$1:$I$89,3,0)*VLOOKUP('Données projet'!$B$11,Paramètres!$A$1:$I$89,5,0)</f>
        <v>6.7984728957526396E-14</v>
      </c>
      <c r="BF76" s="13">
        <f t="shared" si="91"/>
        <v>1.0682447123141398E-12</v>
      </c>
      <c r="BG76" s="20">
        <f t="shared" si="61"/>
        <v>1.978932943548152E-12</v>
      </c>
      <c r="BH76" s="59">
        <f t="shared" si="62"/>
        <v>293.3333333333353</v>
      </c>
      <c r="BI76" s="59">
        <f ca="1">AVERAGE(OFFSET($BH$3,0,0,'Données projet'!$E$11+1,1))-AVERAGE(OFFSET($H$3,0,0,'Données projet'!$E$11+1,1))</f>
        <v>302.00825291248458</v>
      </c>
      <c r="BJ76" s="59">
        <f t="shared" si="92"/>
        <v>307.35115839449355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107.34813595302589</v>
      </c>
      <c r="BQ76" s="21">
        <f>EXP(-LN(2)/25)*BQ75+(1-EXP(-LN(2)/25))/(LN(2)/25)*Calculateur!BL76*Calculateur!BN76*VLOOKUP('Données projet'!$B$11,Paramètres!$A$1:$I$89,3,0)*0.475*44/12</f>
        <v>33.781052672933576</v>
      </c>
      <c r="BR76" s="21">
        <f>EXP(-LN(2)/2)*BR75+(1-EXP(-LN(2)/2))/(LN(2)/2)*BL76*BO76*VLOOKUP('Données projet'!$B$11,Paramètres!$A$1:$I$89,3,0)*0.475*44/12</f>
        <v>0.66248660672066639</v>
      </c>
      <c r="BS76" s="22">
        <f t="shared" si="63"/>
        <v>141.79167523268015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>
        <f>VLOOKUP(A76,'Données projet'!$A$113:$I$133,2,0)</f>
        <v>394.98</v>
      </c>
      <c r="BW76" s="12">
        <f>VLOOKUP(A76,'Données projet'!$A$113:$I$133,9,0)</f>
        <v>11.997500000000002</v>
      </c>
      <c r="BX76" s="12">
        <f t="array" ref="BX76">INDEX(BW:BW,MIN(IF(ISNUMBER(BW76:BW272),ROW(BW76:BW272),"")))</f>
        <v>11.997500000000002</v>
      </c>
      <c r="BY76" s="12">
        <f>IF('Données projet'!$A$114&gt;35,BY75+BX76-CG75,IF(A76&lt;'Données projet'!$A$114,$BV$205^A76,IF(A76='Données projet'!$A$114,'Données projet'!$B$114,BY75+BX76-CG75)))</f>
        <v>394.9799999999999</v>
      </c>
      <c r="BZ76" s="13">
        <f>BY76*VLOOKUP('Données projet'!$B$12,Paramètres!$A$1:$I$89,3,0)*VLOOKUP('Données projet'!$B$12,Paramètres!$A$1:$I$89,5,0)</f>
        <v>184.85063999999994</v>
      </c>
      <c r="CA76" s="13">
        <f t="shared" si="93"/>
        <v>46.399688379827502</v>
      </c>
      <c r="CB76" s="20">
        <f t="shared" si="64"/>
        <v>402.76098859486609</v>
      </c>
      <c r="CC76" s="59">
        <f t="shared" si="65"/>
        <v>696.09432192819941</v>
      </c>
      <c r="CD76" s="59">
        <f ca="1">AVERAGE(OFFSET($CC$3,0,0,'Données projet'!$E$12+1,1))-AVERAGE(OFFSET($H$3,0,0,'Données projet'!$E$12+1,1))</f>
        <v>337.10499990421835</v>
      </c>
      <c r="CE76" s="59">
        <f t="shared" si="94"/>
        <v>277.4254079562175</v>
      </c>
      <c r="CF76" s="15">
        <f>IF(ISNA(VLOOKUP(A76,'Données projet'!$A$113:$I$133,3,0)),0,VLOOKUP(A76,'Données projet'!$A$113:$I$133,3,0))</f>
        <v>3</v>
      </c>
      <c r="CG76" s="15">
        <f>IF(ISNA(VLOOKUP(A76,'Données projet'!$A$113:$I$133,4,0)),0,VLOOKUP(A76,'Données projet'!$A$113:$I$133,4,0))</f>
        <v>103.23000000000002</v>
      </c>
      <c r="CH76" s="16">
        <f>IF(ISNA(VLOOKUP(A76,'Données projet'!$A$113:$I$133,5,0)),0%,VLOOKUP(A76,'Données projet'!$A$113:$I$133,5,0)*VLOOKUP('Données projet'!$B$12,Paramètres!$A$1:$I$89,7,0))</f>
        <v>0.33</v>
      </c>
      <c r="CI76" s="16">
        <f>IF(ISNA(VLOOKUP(A76,'Données projet'!$A$113:$I$133,6,0)),0%,VLOOKUP(A76,'Données projet'!$A$113:$I$133,6,0)*VLOOKUP('Données projet'!$B$12,Paramètres!$A$1:$I$89,7,0))</f>
        <v>0.11000000000000001</v>
      </c>
      <c r="CJ76" s="16">
        <f>IF(ISNA(VLOOKUP(A76,'Données projet'!$A$113:$I$133,7,0)),0%,VLOOKUP(A76,'Données projet'!$A$113:$I$133,7,0))</f>
        <v>0.2</v>
      </c>
      <c r="CK76" s="21">
        <f>EXP(-LN(2)/35)*CK75+(1-EXP(-LN(2)/35))/(LN(2)/35)*CG76*CH76*VLOOKUP('Données projet'!$B$12,Paramètres!$A$1:$I$89,3,0)*0.475*44/12</f>
        <v>47.128592560307567</v>
      </c>
      <c r="CL76" s="21">
        <f>EXP(-LN(2)/25)*CL75+(1-EXP(-LN(2)/25))/(LN(2)/25)*Calculateur!CG76*Calculateur!CI76*VLOOKUP('Données projet'!$B$12,Paramètres!$A$1:$I$89,3,0)*0.475*44/12</f>
        <v>23.861166293560768</v>
      </c>
      <c r="CM76" s="21">
        <f>EXP(-LN(2)/2)*CM75+(1-EXP(-LN(2)/2))/(LN(2)/2)*CG76*CJ76*VLOOKUP('Données projet'!$B$12,Paramètres!$A$1:$I$89,3,0)*0.475*44/12</f>
        <v>11.124945275719824</v>
      </c>
      <c r="CN76" s="22">
        <f t="shared" si="66"/>
        <v>82.114704129588162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6.7437500000000021</v>
      </c>
      <c r="CT76" s="12">
        <f>IF('Données projet'!$A$140&gt;35,CT75+CS76-DB75,IF(A76&lt;'Données projet'!$A$140,$CQ$205^A76,IF(A76='Données projet'!$A$140,'Données projet'!$B$140,CT75+CS76-DB75)))</f>
        <v>175.54500000000002</v>
      </c>
      <c r="CU76" s="17">
        <f>CT76*VLOOKUP('Données projet'!$B$13,Paramètres!$A$1:$I$89,3,0)*VLOOKUP('Données projet'!$B$13,Paramètres!$A$1:$I$89,5,0)</f>
        <v>175.26412800000003</v>
      </c>
      <c r="CV76" s="13">
        <f t="shared" si="95"/>
        <v>44.266912470518392</v>
      </c>
      <c r="CW76" s="20">
        <f t="shared" si="67"/>
        <v>382.34989548615289</v>
      </c>
      <c r="CX76" s="59">
        <f t="shared" si="68"/>
        <v>675.6832288194862</v>
      </c>
      <c r="CY76" s="59">
        <f ca="1">AVERAGE(OFFSET($CX$3,0,0,'Données projet'!$E$13+1,1))-AVERAGE(OFFSET($H$3,0,0,'Données projet'!$E$13+1,1))</f>
        <v>525.74725170626471</v>
      </c>
      <c r="CZ76" s="59">
        <f t="shared" si="96"/>
        <v>259.19103598192197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33.508668665834122</v>
      </c>
      <c r="DH76" s="21">
        <f>EXP(-LN(2)/2)*DH75+(1-EXP(-LN(2)/2))/(LN(2)/2)*DB76*DE76*VLOOKUP('Données projet'!$B$13,Paramètres!$A$1:$I$89,3,0)*0.475*44/12</f>
        <v>2.1402834682476106</v>
      </c>
      <c r="DI76" s="22">
        <f t="shared" si="69"/>
        <v>35.648952134081732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8.2474999999999987</v>
      </c>
      <c r="DO76" s="12">
        <f>IF('Données projet'!$A$166&gt;35,DO75+DN76-DW75,IF(A76&lt;'Données projet'!$A$166,$DL$205^A76,IF(A76='Données projet'!$A$166,'Données projet'!$B$166,DO75+DN76-DW75)))</f>
        <v>238.39500000000027</v>
      </c>
      <c r="DP76" s="17">
        <f>DO76*VLOOKUP('Données projet'!$B$14,Paramètres!$A$1:$I$89,3,0)*VLOOKUP('Données projet'!$B$14,Paramètres!$A$1:$I$89,5,0)</f>
        <v>215.69979600000025</v>
      </c>
      <c r="DQ76" s="13">
        <f t="shared" si="97"/>
        <v>53.179186580516586</v>
      </c>
      <c r="DR76" s="20">
        <f t="shared" si="70"/>
        <v>468.29756132773349</v>
      </c>
      <c r="DS76" s="59">
        <f t="shared" si="71"/>
        <v>761.6308946610668</v>
      </c>
      <c r="DT76" s="59">
        <f ca="1">AVERAGE(OFFSET($DS$3,0,0,'Données projet'!$E$14+1,1))-AVERAGE(OFFSET($H$3,0,0,'Données projet'!$E$14+1,1))</f>
        <v>490.06222615476065</v>
      </c>
      <c r="DU76" s="59">
        <f t="shared" si="98"/>
        <v>310.43914804089906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11.922088211905759</v>
      </c>
      <c r="EB76" s="21">
        <f>EXP(-LN(2)/25)*EB75+(1-EXP(-LN(2)/25))/(LN(2)/25)*Calculateur!DW76*Calculateur!DY76*VLOOKUP('Données projet'!$B$14,Paramètres!$A$1:$I$89,3,0)*0.475*44/12</f>
        <v>27.113113168720279</v>
      </c>
      <c r="EC76" s="21">
        <f>EXP(-LN(2)/2)*EC75+(1-EXP(-LN(2)/2))/(LN(2)/2)*DW76*DZ76*VLOOKUP('Données projet'!$B$14,Paramètres!$A$1:$I$89,3,0)*0.475*44/12</f>
        <v>0.51116373455535102</v>
      </c>
      <c r="ED76" s="22">
        <f t="shared" si="72"/>
        <v>39.546365115181388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6.7437500000000021</v>
      </c>
      <c r="EJ76" s="12">
        <f>IF('Données projet'!$A$192&gt;35,EJ75+EI76-ER75,IF(A76&lt;'Données projet'!$A$192,$EG$205^A76,IF(A76='Données projet'!$A$192,'Données projet'!$B$192,EJ75+EI76-ER75)))</f>
        <v>175.54500000000002</v>
      </c>
      <c r="EK76" s="17">
        <f>EJ76*VLOOKUP('Données projet'!$B$15,Paramètres!$A$1:$I$89,3,0)*VLOOKUP('Données projet'!$B$15,Paramètres!$A$1:$I$89,5,0)</f>
        <v>178.00263000000001</v>
      </c>
      <c r="EL76" s="13">
        <f t="shared" si="99"/>
        <v>44.877519962268245</v>
      </c>
      <c r="EM76" s="20">
        <f t="shared" si="73"/>
        <v>388.18292785095059</v>
      </c>
      <c r="EN76" s="59">
        <f t="shared" si="74"/>
        <v>681.51626118428385</v>
      </c>
      <c r="EO76" s="59">
        <f ca="1">AVERAGE(OFFSET($EN$3,0,0,'Données projet'!$E$15+1,1))-AVERAGE(OFFSET($H$3,0,0,'Données projet'!$E$15+1,1))</f>
        <v>533.26035274112917</v>
      </c>
      <c r="EP76" s="59">
        <f t="shared" si="100"/>
        <v>262.58149402282521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34.032241613737774</v>
      </c>
      <c r="EX76" s="21">
        <f>EXP(-LN(2)/2)*EX75+(1-EXP(-LN(2)/2))/(LN(2)/2)*ER76*EU76*VLOOKUP('Données projet'!$B$15,Paramètres!$A$1:$I$89,3,0)*0.475*44/12</f>
        <v>2.1737253974389801</v>
      </c>
      <c r="EY76" s="22">
        <f t="shared" si="75"/>
        <v>36.205967011176753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2.1794871794871766</v>
      </c>
      <c r="FE76" s="12">
        <f>IF('Données projet'!$A$218&gt;35,FE75+FD76-FM75,IF(A76&lt;'Données projet'!$A$218,$FB$205^A76,IF(A76='Données projet'!$A$218,'Données projet'!$B$218,FE75+FD76-FM75)))</f>
        <v>126.41025641025632</v>
      </c>
      <c r="FF76" s="17">
        <f>FE76*VLOOKUP('Données projet'!$B$16,Paramètres!$A$1:$I$89,3,0)*VLOOKUP('Données projet'!$B$16,Paramètres!$A$1:$I$89,5,0)</f>
        <v>132.12399999999994</v>
      </c>
      <c r="FG76" s="13">
        <f t="shared" si="101"/>
        <v>34.486689488144428</v>
      </c>
      <c r="FH76" s="20">
        <f t="shared" si="76"/>
        <v>290.18028419185146</v>
      </c>
      <c r="FI76" s="59">
        <f t="shared" si="77"/>
        <v>583.51361752518483</v>
      </c>
      <c r="FJ76" s="59">
        <f ca="1">AVERAGE(OFFSET($FI$3,0,0,'Données projet'!$E$16+1,1))-AVERAGE(OFFSET($H$3,0,0,'Données projet'!$E$16+1,1))</f>
        <v>239.26156489359892</v>
      </c>
      <c r="FK76" s="59">
        <f t="shared" si="102"/>
        <v>213.97034450798111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0.82789306781237959</v>
      </c>
      <c r="FR76" s="21">
        <f>EXP(-LN(2)/25)*FR75+(1-EXP(-LN(2)/25))/(LN(2)/25)*Calculateur!FM76*Calculateur!FO76*VLOOKUP('Données projet'!$B$16,Paramètres!$A$1:$I$89,3,0)*0.475*44/12</f>
        <v>15.445997311449274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16.273890379261655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9.65625</v>
      </c>
      <c r="N77" s="13">
        <f>IF('Données projet'!$A$36&gt;35,N76+M77-V76,IF(A77&lt;'Données projet'!$A$36,$K$205^A77,IF(A77='Données projet'!$A$36,'Données projet'!$B$36,N76+M77-V76)))</f>
        <v>264.10374999999999</v>
      </c>
      <c r="O77" s="13">
        <f>N77*VLOOKUP('Données projet'!$B$9,Paramètres!$A$1:$I$89,3,0)*VLOOKUP('Données projet'!$B$9,Paramètres!$A$1:$I$89,5,0)</f>
        <v>251.32112849999999</v>
      </c>
      <c r="P77" s="13">
        <f t="shared" si="87"/>
        <v>60.868753799109797</v>
      </c>
      <c r="Q77" s="20">
        <f t="shared" si="54"/>
        <v>543.73071167094952</v>
      </c>
      <c r="R77" s="59">
        <f t="shared" si="55"/>
        <v>837.06404500428289</v>
      </c>
      <c r="S77" s="59">
        <f ca="1">AVERAGE(OFFSET($R$3,0,0,'Données projet'!$E$9+1,1))-AVERAGE(OFFSET($H$3,0,0,'Données projet'!$E$9+1,1))</f>
        <v>449.28947235329758</v>
      </c>
      <c r="T77" s="59">
        <f t="shared" si="88"/>
        <v>289.36994109443964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15.329460303785279</v>
      </c>
      <c r="AA77" s="21">
        <f>EXP(-LN(2)/25)*AA76+(1-EXP(-LN(2)/25))/(LN(2)/25)*Calculateur!V77*Calculateur!X77*VLOOKUP('Données projet'!$B$9,Paramètres!$A$1:$I$89,3,0)*0.475*44/12</f>
        <v>24.050597778507392</v>
      </c>
      <c r="AB77" s="21">
        <f>EXP(-LN(2)/2)*AB76+(1-EXP(-LN(2)/2))/(LN(2)/2)*V77*Y77*VLOOKUP('Données projet'!$B$9,Paramètres!$A$1:$I$89,3,0)*0.475*44/12</f>
        <v>0.3607349370032174</v>
      </c>
      <c r="AC77" s="22">
        <f t="shared" si="57"/>
        <v>39.740793019295886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9.7839999999999971</v>
      </c>
      <c r="AI77" s="13">
        <f>IF('Données projet'!$A$62&gt;35,AI76+AH77-AQ76,IF(A77&lt;'Données projet'!$A$62,$AF$205^A77,IF(A77='Données projet'!$A$62,'Données projet'!$B$62,AI76+AH77-AQ76)))</f>
        <v>461.32599999999974</v>
      </c>
      <c r="AJ77" s="13">
        <f>AI77*VLOOKUP('Données projet'!$B$10,Paramètres!$A$1:$I$89,3,0)*VLOOKUP('Données projet'!$B$10,Paramètres!$A$1:$I$89,5,0)</f>
        <v>275.87294799999984</v>
      </c>
      <c r="AK77" s="13">
        <f t="shared" si="89"/>
        <v>66.094091843346078</v>
      </c>
      <c r="AL77" s="20">
        <f t="shared" si="58"/>
        <v>595.59259439382743</v>
      </c>
      <c r="AM77" s="59">
        <f t="shared" si="59"/>
        <v>888.9259277271608</v>
      </c>
      <c r="AN77" s="59">
        <f ca="1">AVERAGE(OFFSET($AM$3,0,0,'Données projet'!$E$10+1,1))-AVERAGE(OFFSET($H$3,0,0,'Données projet'!$E$10+1,1))</f>
        <v>349.71285006949597</v>
      </c>
      <c r="AO77" s="59">
        <f t="shared" si="90"/>
        <v>258.51550516456842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47.168356616673215</v>
      </c>
      <c r="AV77" s="21">
        <f>EXP(-LN(2)/25)*AV76+(1-EXP(-LN(2)/25))/(LN(2)/25)*Calculateur!AQ77*Calculateur!AS77*VLOOKUP('Données projet'!$B$10,Paramètres!$A$1:$I$89,3,0)*0.475*44/12</f>
        <v>17.434586204695027</v>
      </c>
      <c r="AW77" s="21">
        <f>EXP(-LN(2)/2)*AW76+(1-EXP(-LN(2)/2))/(LN(2)/2)*AQ77*AT77*VLOOKUP('Données projet'!$B$10,Paramètres!$A$1:$I$89,3,0)*0.475*44/12</f>
        <v>2.374314431673445</v>
      </c>
      <c r="AX77" s="21">
        <f t="shared" si="60"/>
        <v>66.977257253041685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1.1368683772161603E-13</v>
      </c>
      <c r="BE77" s="13">
        <f>BD77*VLOOKUP('Données projet'!$B$11,Paramètres!$A$1:$I$89,3,0)*VLOOKUP('Données projet'!$B$11,Paramètres!$A$1:$I$89,5,0)</f>
        <v>6.7984728957526396E-14</v>
      </c>
      <c r="BF77" s="13">
        <f t="shared" si="91"/>
        <v>1.0682447123141398E-12</v>
      </c>
      <c r="BG77" s="20">
        <f t="shared" si="61"/>
        <v>1.978932943548152E-12</v>
      </c>
      <c r="BH77" s="59">
        <f t="shared" si="62"/>
        <v>293.3333333333353</v>
      </c>
      <c r="BI77" s="59">
        <f ca="1">AVERAGE(OFFSET($BH$3,0,0,'Données projet'!$E$11+1,1))-AVERAGE(OFFSET($H$3,0,0,'Données projet'!$E$11+1,1))</f>
        <v>302.00825291248458</v>
      </c>
      <c r="BJ77" s="59">
        <f t="shared" si="92"/>
        <v>307.35115839449355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105.24310448288477</v>
      </c>
      <c r="BQ77" s="21">
        <f>EXP(-LN(2)/25)*BQ76+(1-EXP(-LN(2)/25))/(LN(2)/25)*Calculateur!BL77*Calculateur!BN77*VLOOKUP('Données projet'!$B$11,Paramètres!$A$1:$I$89,3,0)*0.475*44/12</f>
        <v>32.857308011123855</v>
      </c>
      <c r="BR77" s="21">
        <f>EXP(-LN(2)/2)*BR76+(1-EXP(-LN(2)/2))/(LN(2)/2)*BL77*BO77*VLOOKUP('Données projet'!$B$11,Paramètres!$A$1:$I$89,3,0)*0.475*44/12</f>
        <v>0.46844877205744867</v>
      </c>
      <c r="BS77" s="22">
        <f t="shared" si="63"/>
        <v>138.56886126606608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11.117500000000001</v>
      </c>
      <c r="BY77" s="12">
        <f>IF('Données projet'!$A$114&gt;35,BY76+BX77-CG76,IF(A77&lt;'Données projet'!$A$114,$BV$205^A77,IF(A77='Données projet'!$A$114,'Données projet'!$B$114,BY76+BX77-CG76)))</f>
        <v>302.86749999999989</v>
      </c>
      <c r="BZ77" s="13">
        <f>BY77*VLOOKUP('Données projet'!$B$12,Paramètres!$A$1:$I$89,3,0)*VLOOKUP('Données projet'!$B$12,Paramètres!$A$1:$I$89,5,0)</f>
        <v>141.74198999999996</v>
      </c>
      <c r="CA77" s="13">
        <f t="shared" si="93"/>
        <v>36.695783280300503</v>
      </c>
      <c r="CB77" s="20">
        <f t="shared" si="64"/>
        <v>310.77912179652327</v>
      </c>
      <c r="CC77" s="59">
        <f t="shared" si="65"/>
        <v>604.11245512985658</v>
      </c>
      <c r="CD77" s="59">
        <f ca="1">AVERAGE(OFFSET($CC$3,0,0,'Données projet'!$E$12+1,1))-AVERAGE(OFFSET($H$3,0,0,'Données projet'!$E$12+1,1))</f>
        <v>337.10499990421835</v>
      </c>
      <c r="CE77" s="59">
        <f t="shared" si="94"/>
        <v>277.4254079562175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46.204429605803007</v>
      </c>
      <c r="CL77" s="21">
        <f>EXP(-LN(2)/25)*CL76+(1-EXP(-LN(2)/25))/(LN(2)/25)*Calculateur!CG77*Calculateur!CI77*VLOOKUP('Données projet'!$B$12,Paramètres!$A$1:$I$89,3,0)*0.475*44/12</f>
        <v>23.208681446459149</v>
      </c>
      <c r="CM77" s="21">
        <f>EXP(-LN(2)/2)*CM76+(1-EXP(-LN(2)/2))/(LN(2)/2)*CG77*CJ77*VLOOKUP('Données projet'!$B$12,Paramètres!$A$1:$I$89,3,0)*0.475*44/12</f>
        <v>7.8665242447907335</v>
      </c>
      <c r="CN77" s="22">
        <f t="shared" si="66"/>
        <v>77.279635297052891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6.7437500000000021</v>
      </c>
      <c r="CT77" s="12">
        <f>IF('Données projet'!$A$140&gt;35,CT76+CS77-DB76,IF(A77&lt;'Données projet'!$A$140,$CQ$205^A77,IF(A77='Données projet'!$A$140,'Données projet'!$B$140,CT76+CS77-DB76)))</f>
        <v>182.28875000000002</v>
      </c>
      <c r="CU77" s="17">
        <f>CT77*VLOOKUP('Données projet'!$B$13,Paramètres!$A$1:$I$89,3,0)*VLOOKUP('Données projet'!$B$13,Paramètres!$A$1:$I$89,5,0)</f>
        <v>181.99708800000002</v>
      </c>
      <c r="CV77" s="13">
        <f t="shared" si="95"/>
        <v>45.766215724527498</v>
      </c>
      <c r="CW77" s="20">
        <f t="shared" si="67"/>
        <v>396.68775398688541</v>
      </c>
      <c r="CX77" s="59">
        <f t="shared" si="68"/>
        <v>690.02108732021873</v>
      </c>
      <c r="CY77" s="59">
        <f ca="1">AVERAGE(OFFSET($CX$3,0,0,'Données projet'!$E$13+1,1))-AVERAGE(OFFSET($H$3,0,0,'Données projet'!$E$13+1,1))</f>
        <v>525.74725170626471</v>
      </c>
      <c r="CZ77" s="59">
        <f t="shared" si="96"/>
        <v>259.19103598192197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32.59237235902259</v>
      </c>
      <c r="DH77" s="21">
        <f>EXP(-LN(2)/2)*DH76+(1-EXP(-LN(2)/2))/(LN(2)/2)*DB77*DE77*VLOOKUP('Données projet'!$B$13,Paramètres!$A$1:$I$89,3,0)*0.475*44/12</f>
        <v>1.5134089540593483</v>
      </c>
      <c r="DI77" s="22">
        <f t="shared" si="69"/>
        <v>34.105781313081941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8.2474999999999987</v>
      </c>
      <c r="DO77" s="12">
        <f>IF('Données projet'!$A$166&gt;35,DO76+DN77-DW76,IF(A77&lt;'Données projet'!$A$166,$DL$205^A77,IF(A77='Données projet'!$A$166,'Données projet'!$B$166,DO76+DN77-DW76)))</f>
        <v>246.64250000000027</v>
      </c>
      <c r="DP77" s="17">
        <f>DO77*VLOOKUP('Données projet'!$B$14,Paramètres!$A$1:$I$89,3,0)*VLOOKUP('Données projet'!$B$14,Paramètres!$A$1:$I$89,5,0)</f>
        <v>223.16213400000024</v>
      </c>
      <c r="DQ77" s="13">
        <f t="shared" si="97"/>
        <v>54.801588049746073</v>
      </c>
      <c r="DR77" s="20">
        <f t="shared" si="70"/>
        <v>484.12014923664145</v>
      </c>
      <c r="DS77" s="59">
        <f t="shared" si="71"/>
        <v>777.45348256997477</v>
      </c>
      <c r="DT77" s="59">
        <f ca="1">AVERAGE(OFFSET($DS$3,0,0,'Données projet'!$E$14+1,1))-AVERAGE(OFFSET($H$3,0,0,'Données projet'!$E$14+1,1))</f>
        <v>490.06222615476065</v>
      </c>
      <c r="DU77" s="59">
        <f t="shared" si="98"/>
        <v>310.43914804089906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11.68830333382607</v>
      </c>
      <c r="EB77" s="21">
        <f>EXP(-LN(2)/25)*EB76+(1-EXP(-LN(2)/25))/(LN(2)/25)*Calculateur!DW77*Calculateur!DY77*VLOOKUP('Données projet'!$B$14,Paramètres!$A$1:$I$89,3,0)*0.475*44/12</f>
        <v>26.37170366330497</v>
      </c>
      <c r="EC77" s="21">
        <f>EXP(-LN(2)/2)*EC76+(1-EXP(-LN(2)/2))/(LN(2)/2)*DW77*DZ77*VLOOKUP('Données projet'!$B$14,Paramètres!$A$1:$I$89,3,0)*0.475*44/12</f>
        <v>0.36144734300072906</v>
      </c>
      <c r="ED77" s="22">
        <f t="shared" si="72"/>
        <v>38.421454340131767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6.7437500000000021</v>
      </c>
      <c r="EJ77" s="12">
        <f>IF('Données projet'!$A$192&gt;35,EJ76+EI77-ER76,IF(A77&lt;'Données projet'!$A$192,$EG$205^A77,IF(A77='Données projet'!$A$192,'Données projet'!$B$192,EJ76+EI77-ER76)))</f>
        <v>182.28875000000002</v>
      </c>
      <c r="EK77" s="17">
        <f>EJ77*VLOOKUP('Données projet'!$B$15,Paramètres!$A$1:$I$89,3,0)*VLOOKUP('Données projet'!$B$15,Paramètres!$A$1:$I$89,5,0)</f>
        <v>184.84079250000005</v>
      </c>
      <c r="EL77" s="13">
        <f t="shared" si="99"/>
        <v>46.397504256544451</v>
      </c>
      <c r="EM77" s="20">
        <f t="shared" si="73"/>
        <v>402.74003351764833</v>
      </c>
      <c r="EN77" s="59">
        <f t="shared" si="74"/>
        <v>696.07336685098164</v>
      </c>
      <c r="EO77" s="59">
        <f ca="1">AVERAGE(OFFSET($EN$3,0,0,'Données projet'!$E$15+1,1))-AVERAGE(OFFSET($H$3,0,0,'Données projet'!$E$15+1,1))</f>
        <v>533.26035274112917</v>
      </c>
      <c r="EP77" s="59">
        <f t="shared" si="100"/>
        <v>262.58149402282521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33.101628177132312</v>
      </c>
      <c r="EX77" s="21">
        <f>EXP(-LN(2)/2)*EX76+(1-EXP(-LN(2)/2))/(LN(2)/2)*ER77*EU77*VLOOKUP('Données projet'!$B$15,Paramètres!$A$1:$I$89,3,0)*0.475*44/12</f>
        <v>1.537055968966526</v>
      </c>
      <c r="EY77" s="22">
        <f t="shared" si="75"/>
        <v>34.638684146098839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2.1794871794871766</v>
      </c>
      <c r="FE77" s="12">
        <f>IF('Données projet'!$A$218&gt;35,FE76+FD77-FM76,IF(A77&lt;'Données projet'!$A$218,$FB$205^A77,IF(A77='Données projet'!$A$218,'Données projet'!$B$218,FE76+FD77-FM76)))</f>
        <v>128.58974358974351</v>
      </c>
      <c r="FF77" s="17">
        <f>FE77*VLOOKUP('Données projet'!$B$16,Paramètres!$A$1:$I$89,3,0)*VLOOKUP('Données projet'!$B$16,Paramètres!$A$1:$I$89,5,0)</f>
        <v>134.40199999999993</v>
      </c>
      <c r="FG77" s="13">
        <f t="shared" si="101"/>
        <v>35.011552518023244</v>
      </c>
      <c r="FH77" s="20">
        <f t="shared" si="76"/>
        <v>295.06193730222367</v>
      </c>
      <c r="FI77" s="59">
        <f t="shared" si="77"/>
        <v>588.39527063555693</v>
      </c>
      <c r="FJ77" s="59">
        <f ca="1">AVERAGE(OFFSET($FI$3,0,0,'Données projet'!$E$16+1,1))-AVERAGE(OFFSET($H$3,0,0,'Données projet'!$E$16+1,1))</f>
        <v>239.26156489359892</v>
      </c>
      <c r="FK77" s="59">
        <f t="shared" si="102"/>
        <v>213.97034450798111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0.81165858971748905</v>
      </c>
      <c r="FR77" s="21">
        <f>EXP(-LN(2)/25)*FR76+(1-EXP(-LN(2)/25))/(LN(2)/25)*Calculateur!FM77*Calculateur!FO77*VLOOKUP('Données projet'!$B$16,Paramètres!$A$1:$I$89,3,0)*0.475*44/12</f>
        <v>15.023625702697997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15.835284292415485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273.76</v>
      </c>
      <c r="L78" s="12">
        <f>VLOOKUP(A78,'Données projet'!$A$35:$I$55,9,0)</f>
        <v>9.65625</v>
      </c>
      <c r="M78" s="12">
        <f t="array" ref="M78">INDEX(L:L,MIN(IF(ISNUMBER(L78:L274),ROW(L78:L274),"")))</f>
        <v>9.65625</v>
      </c>
      <c r="N78" s="13">
        <f>IF('Données projet'!$A$36&gt;35,N77+M78-V77,IF(A78&lt;'Données projet'!$A$36,$K$205^A78,IF(A78='Données projet'!$A$36,'Données projet'!$B$36,N77+M78-V77)))</f>
        <v>273.76</v>
      </c>
      <c r="O78" s="13">
        <f>N78*VLOOKUP('Données projet'!$B$9,Paramètres!$A$1:$I$89,3,0)*VLOOKUP('Données projet'!$B$9,Paramètres!$A$1:$I$89,5,0)</f>
        <v>260.51001600000001</v>
      </c>
      <c r="P78" s="13">
        <f t="shared" si="87"/>
        <v>62.831080354761788</v>
      </c>
      <c r="Q78" s="20">
        <f t="shared" si="54"/>
        <v>563.15240948454345</v>
      </c>
      <c r="R78" s="59">
        <f t="shared" si="55"/>
        <v>856.48574281787683</v>
      </c>
      <c r="S78" s="59">
        <f ca="1">AVERAGE(OFFSET($R$3,0,0,'Données projet'!$E$9+1,1))-AVERAGE(OFFSET($H$3,0,0,'Données projet'!$E$9+1,1))</f>
        <v>449.28947235329758</v>
      </c>
      <c r="T78" s="59">
        <f t="shared" si="88"/>
        <v>289.36994109443964</v>
      </c>
      <c r="U78" s="15">
        <f>IF(ISNA(VLOOKUP(A78,'Données projet'!$A$35:$I$55,3,0)),0,VLOOKUP(A78,'Données projet'!$A$35:$I$55,3,0))</f>
        <v>6</v>
      </c>
      <c r="V78" s="15">
        <f>IF(ISNA(VLOOKUP(A78,'Données projet'!$A$35:$I$55,4,0)),0,VLOOKUP(A78,'Données projet'!$A$35:$I$55,4,0))</f>
        <v>43.519999999999982</v>
      </c>
      <c r="W78" s="16">
        <f>IF(ISNA(VLOOKUP(A78,'Données projet'!$A$35:$I$55,5,0)),0%,VLOOKUP(A78,'Données projet'!$A$35:$I$55,5,0)*VLOOKUP('Données projet'!$B$9,Paramètres!$A$1:$I$89,7,0))</f>
        <v>0.15049999999999999</v>
      </c>
      <c r="X78" s="16">
        <f>IF(ISNA(VLOOKUP(A78,'Données projet'!$A$35:$I$55,6,0)),0%,VLOOKUP(A78,'Données projet'!$A$35:$I$55,6,0)*VLOOKUP('Données projet'!$B$9,Paramètres!$A$1:$I$89,7,0))</f>
        <v>8.6000000000000007E-2</v>
      </c>
      <c r="Y78" s="16">
        <f>IF(ISNA(VLOOKUP(A78,'Données projet'!$A$35:$I$55,7,0)),0%,VLOOKUP(A78,'Données projet'!$A$35:$I$55,7,0))</f>
        <v>0.1</v>
      </c>
      <c r="Z78" s="21">
        <f>EXP(-LN(2)/35)*Z77+(1-EXP(-LN(2)/35))/(LN(2)/35)*V78*W78*VLOOKUP('Données projet'!$B$9,Paramètres!$A$1:$I$89,3,0)*0.475*44/12</f>
        <v>21.918981231749719</v>
      </c>
      <c r="AA78" s="21">
        <f>EXP(-LN(2)/25)*AA77+(1-EXP(-LN(2)/25))/(LN(2)/25)*Calculateur!V78*Calculateur!X78*VLOOKUP('Données projet'!$B$9,Paramètres!$A$1:$I$89,3,0)*0.475*44/12</f>
        <v>27.314643350435777</v>
      </c>
      <c r="AB78" s="21">
        <f>EXP(-LN(2)/2)*AB77+(1-EXP(-LN(2)/2))/(LN(2)/2)*V78*Y78*VLOOKUP('Données projet'!$B$9,Paramètres!$A$1:$I$89,3,0)*0.475*44/12</f>
        <v>4.1625657625221733</v>
      </c>
      <c r="AC78" s="22">
        <f t="shared" si="57"/>
        <v>53.396190344707669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9.7839999999999971</v>
      </c>
      <c r="AI78" s="13">
        <f>IF('Données projet'!$A$62&gt;35,AI77+AH78-AQ77,IF(A78&lt;'Données projet'!$A$62,$AF$205^A78,IF(A78='Données projet'!$A$62,'Données projet'!$B$62,AI77+AH78-AQ77)))</f>
        <v>471.10999999999973</v>
      </c>
      <c r="AJ78" s="13">
        <f>AI78*VLOOKUP('Données projet'!$B$10,Paramètres!$A$1:$I$89,3,0)*VLOOKUP('Données projet'!$B$10,Paramètres!$A$1:$I$89,5,0)</f>
        <v>281.72377999999986</v>
      </c>
      <c r="AK78" s="13">
        <f t="shared" si="89"/>
        <v>67.331162922926637</v>
      </c>
      <c r="AL78" s="20">
        <f t="shared" si="58"/>
        <v>607.93735892409688</v>
      </c>
      <c r="AM78" s="59">
        <f t="shared" si="59"/>
        <v>901.27069225743026</v>
      </c>
      <c r="AN78" s="59">
        <f ca="1">AVERAGE(OFFSET($AM$3,0,0,'Données projet'!$E$10+1,1))-AVERAGE(OFFSET($H$3,0,0,'Données projet'!$E$10+1,1))</f>
        <v>349.71285006949597</v>
      </c>
      <c r="AO78" s="59">
        <f t="shared" si="90"/>
        <v>258.51550516456842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46.243413913277003</v>
      </c>
      <c r="AV78" s="21">
        <f>EXP(-LN(2)/25)*AV77+(1-EXP(-LN(2)/25))/(LN(2)/25)*Calculateur!AQ78*Calculateur!AS78*VLOOKUP('Données projet'!$B$10,Paramètres!$A$1:$I$89,3,0)*0.475*44/12</f>
        <v>16.957836528082598</v>
      </c>
      <c r="AW78" s="21">
        <f>EXP(-LN(2)/2)*AW77+(1-EXP(-LN(2)/2))/(LN(2)/2)*AQ78*AT78*VLOOKUP('Données projet'!$B$10,Paramètres!$A$1:$I$89,3,0)*0.475*44/12</f>
        <v>1.6788938353053768</v>
      </c>
      <c r="AX78" s="21">
        <f t="shared" si="60"/>
        <v>64.880144276664979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1.1368683772161603E-13</v>
      </c>
      <c r="BE78" s="13">
        <f>BD78*VLOOKUP('Données projet'!$B$11,Paramètres!$A$1:$I$89,3,0)*VLOOKUP('Données projet'!$B$11,Paramètres!$A$1:$I$89,5,0)</f>
        <v>6.7984728957526396E-14</v>
      </c>
      <c r="BF78" s="13">
        <f t="shared" si="91"/>
        <v>1.0682447123141398E-12</v>
      </c>
      <c r="BG78" s="20">
        <f t="shared" si="61"/>
        <v>1.978932943548152E-12</v>
      </c>
      <c r="BH78" s="59">
        <f t="shared" si="62"/>
        <v>293.3333333333353</v>
      </c>
      <c r="BI78" s="59">
        <f ca="1">AVERAGE(OFFSET($BH$3,0,0,'Données projet'!$E$11+1,1))-AVERAGE(OFFSET($H$3,0,0,'Données projet'!$E$11+1,1))</f>
        <v>302.00825291248458</v>
      </c>
      <c r="BJ78" s="59">
        <f t="shared" si="92"/>
        <v>307.35115839449355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103.17935139593071</v>
      </c>
      <c r="BQ78" s="21">
        <f>EXP(-LN(2)/25)*BQ77+(1-EXP(-LN(2)/25))/(LN(2)/25)*Calculateur!BL78*Calculateur!BN78*VLOOKUP('Données projet'!$B$11,Paramètres!$A$1:$I$89,3,0)*0.475*44/12</f>
        <v>31.958823195668941</v>
      </c>
      <c r="BR78" s="21">
        <f>EXP(-LN(2)/2)*BR77+(1-EXP(-LN(2)/2))/(LN(2)/2)*BL78*BO78*VLOOKUP('Données projet'!$B$11,Paramètres!$A$1:$I$89,3,0)*0.475*44/12</f>
        <v>0.33124330336033325</v>
      </c>
      <c r="BS78" s="22">
        <f t="shared" si="63"/>
        <v>135.46941789495997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11.117500000000001</v>
      </c>
      <c r="BY78" s="12">
        <f>IF('Données projet'!$A$114&gt;35,BY77+BX78-CG77,IF(A78&lt;'Données projet'!$A$114,$BV$205^A78,IF(A78='Données projet'!$A$114,'Données projet'!$B$114,BY77+BX78-CG77)))</f>
        <v>313.9849999999999</v>
      </c>
      <c r="BZ78" s="13">
        <f>BY78*VLOOKUP('Données projet'!$B$12,Paramètres!$A$1:$I$89,3,0)*VLOOKUP('Données projet'!$B$12,Paramètres!$A$1:$I$89,5,0)</f>
        <v>146.94497999999996</v>
      </c>
      <c r="CA78" s="13">
        <f t="shared" si="93"/>
        <v>37.883492113436546</v>
      </c>
      <c r="CB78" s="20">
        <f t="shared" si="64"/>
        <v>321.90958893090192</v>
      </c>
      <c r="CC78" s="59">
        <f t="shared" si="65"/>
        <v>615.24292226423518</v>
      </c>
      <c r="CD78" s="59">
        <f ca="1">AVERAGE(OFFSET($CC$3,0,0,'Données projet'!$E$12+1,1))-AVERAGE(OFFSET($H$3,0,0,'Données projet'!$E$12+1,1))</f>
        <v>337.10499990421835</v>
      </c>
      <c r="CE78" s="59">
        <f t="shared" si="94"/>
        <v>277.4254079562175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45.298388923152537</v>
      </c>
      <c r="CL78" s="21">
        <f>EXP(-LN(2)/25)*CL77+(1-EXP(-LN(2)/25))/(LN(2)/25)*Calculateur!CG78*Calculateur!CI78*VLOOKUP('Données projet'!$B$12,Paramètres!$A$1:$I$89,3,0)*0.475*44/12</f>
        <v>22.57403883181421</v>
      </c>
      <c r="CM78" s="21">
        <f>EXP(-LN(2)/2)*CM77+(1-EXP(-LN(2)/2))/(LN(2)/2)*CG78*CJ78*VLOOKUP('Données projet'!$B$12,Paramètres!$A$1:$I$89,3,0)*0.475*44/12</f>
        <v>5.562472637859913</v>
      </c>
      <c r="CN78" s="22">
        <f t="shared" si="66"/>
        <v>73.434900392826663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6.7437500000000021</v>
      </c>
      <c r="CT78" s="12">
        <f>IF('Données projet'!$A$140&gt;35,CT77+CS78-DB77,IF(A78&lt;'Données projet'!$A$140,$CQ$205^A78,IF(A78='Données projet'!$A$140,'Données projet'!$B$140,CT77+CS78-DB77)))</f>
        <v>189.03250000000003</v>
      </c>
      <c r="CU78" s="17">
        <f>CT78*VLOOKUP('Données projet'!$B$13,Paramètres!$A$1:$I$89,3,0)*VLOOKUP('Données projet'!$B$13,Paramètres!$A$1:$I$89,5,0)</f>
        <v>188.73004800000004</v>
      </c>
      <c r="CV78" s="13">
        <f t="shared" si="95"/>
        <v>47.259075001773084</v>
      </c>
      <c r="CW78" s="20">
        <f t="shared" si="67"/>
        <v>411.01438922808819</v>
      </c>
      <c r="CX78" s="59">
        <f t="shared" si="68"/>
        <v>704.34772256142151</v>
      </c>
      <c r="CY78" s="59">
        <f ca="1">AVERAGE(OFFSET($CX$3,0,0,'Données projet'!$E$13+1,1))-AVERAGE(OFFSET($H$3,0,0,'Données projet'!$E$13+1,1))</f>
        <v>525.74725170626471</v>
      </c>
      <c r="CZ78" s="59">
        <f t="shared" si="96"/>
        <v>259.19103598192197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31.701132222906747</v>
      </c>
      <c r="DH78" s="21">
        <f>EXP(-LN(2)/2)*DH77+(1-EXP(-LN(2)/2))/(LN(2)/2)*DB78*DE78*VLOOKUP('Données projet'!$B$13,Paramètres!$A$1:$I$89,3,0)*0.475*44/12</f>
        <v>1.0701417341238053</v>
      </c>
      <c r="DI78" s="22">
        <f t="shared" si="69"/>
        <v>32.771273957030552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254.89</v>
      </c>
      <c r="DM78" s="12">
        <f>VLOOKUP(A78,'Données projet'!$A$165:$I$185,9,0)</f>
        <v>8.2474999999999987</v>
      </c>
      <c r="DN78" s="12">
        <f t="array" ref="DN78">INDEX(DM:DM,MIN(IF(ISNUMBER(DM78:DM274),ROW(DM78:DM274),"")))</f>
        <v>8.2474999999999987</v>
      </c>
      <c r="DO78" s="12">
        <f>IF('Données projet'!$A$166&gt;35,DO77+DN78-DW77,IF(A78&lt;'Données projet'!$A$166,$DL$205^A78,IF(A78='Données projet'!$A$166,'Données projet'!$B$166,DO77+DN78-DW77)))</f>
        <v>254.89000000000027</v>
      </c>
      <c r="DP78" s="17">
        <f>DO78*VLOOKUP('Données projet'!$B$14,Paramètres!$A$1:$I$89,3,0)*VLOOKUP('Données projet'!$B$14,Paramètres!$A$1:$I$89,5,0)</f>
        <v>230.62447200000022</v>
      </c>
      <c r="DQ78" s="13">
        <f t="shared" si="97"/>
        <v>56.417685662698347</v>
      </c>
      <c r="DR78" s="20">
        <f t="shared" si="70"/>
        <v>499.93175792920005</v>
      </c>
      <c r="DS78" s="59">
        <f t="shared" si="71"/>
        <v>793.26509126253336</v>
      </c>
      <c r="DT78" s="59">
        <f ca="1">AVERAGE(OFFSET($DS$3,0,0,'Données projet'!$E$14+1,1))-AVERAGE(OFFSET($H$3,0,0,'Données projet'!$E$14+1,1))</f>
        <v>490.06222615476065</v>
      </c>
      <c r="DU78" s="59">
        <f t="shared" si="98"/>
        <v>310.43914804089906</v>
      </c>
      <c r="DV78" s="15">
        <f>IF(ISNA(VLOOKUP(A78,'Données projet'!$A$165:$I$185,3,0)),0,VLOOKUP(A78,'Données projet'!$A$165:$I$185,3,0))</f>
        <v>5</v>
      </c>
      <c r="DW78" s="15">
        <f>IF(ISNA(VLOOKUP(A78,'Données projet'!$A$165:$I$185,4,0)),0,VLOOKUP(A78,'Données projet'!$A$165:$I$185,4,0))</f>
        <v>43.289999999999992</v>
      </c>
      <c r="DX78" s="16">
        <f>IF(ISNA(VLOOKUP(A78,'Données projet'!$A$165:$I$185,5,0)),0%,VLOOKUP(A78,'Données projet'!$A$165:$I$185,5,0)*VLOOKUP('Données projet'!$B$14,Paramètres!$A$1:$I$89,7,0))</f>
        <v>0.15049999999999999</v>
      </c>
      <c r="DY78" s="16">
        <f>IF(ISNA(VLOOKUP(A78,'Données projet'!$A$165:$I$185,6,0)),0%,VLOOKUP(A78,'Données projet'!$A$165:$I$185,6,0)*VLOOKUP('Données projet'!$B$14,Paramètres!$A$1:$I$89,7,0))</f>
        <v>8.6000000000000007E-2</v>
      </c>
      <c r="DZ78" s="16">
        <f>IF(ISNA(VLOOKUP(A78,'Données projet'!$A$165:$I$185,7,0)),0%,VLOOKUP(A78,'Données projet'!$A$165:$I$185,7,0))</f>
        <v>0.1</v>
      </c>
      <c r="EA78" s="21">
        <f>EXP(-LN(2)/35)*EA77+(1-EXP(-LN(2)/35))/(LN(2)/35)*DW78*DX78*VLOOKUP('Données projet'!$B$14,Paramètres!$A$1:$I$89,3,0)*0.475*44/12</f>
        <v>17.975743708002948</v>
      </c>
      <c r="EB78" s="21">
        <f>EXP(-LN(2)/25)*EB77+(1-EXP(-LN(2)/25))/(LN(2)/25)*Calculateur!DW78*Calculateur!DY78*VLOOKUP('Données projet'!$B$14,Paramètres!$A$1:$I$89,3,0)*0.475*44/12</f>
        <v>29.359700825654979</v>
      </c>
      <c r="EC78" s="21">
        <f>EXP(-LN(2)/2)*EC77+(1-EXP(-LN(2)/2))/(LN(2)/2)*DW78*DZ78*VLOOKUP('Données projet'!$B$14,Paramètres!$A$1:$I$89,3,0)*0.475*44/12</f>
        <v>3.9512628137356964</v>
      </c>
      <c r="ED78" s="22">
        <f t="shared" si="72"/>
        <v>51.286707347393623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6.7437500000000021</v>
      </c>
      <c r="EJ78" s="12">
        <f>IF('Données projet'!$A$192&gt;35,EJ77+EI78-ER77,IF(A78&lt;'Données projet'!$A$192,$EG$205^A78,IF(A78='Données projet'!$A$192,'Données projet'!$B$192,EJ77+EI78-ER77)))</f>
        <v>189.03250000000003</v>
      </c>
      <c r="EK78" s="17">
        <f>EJ78*VLOOKUP('Données projet'!$B$15,Paramètres!$A$1:$I$89,3,0)*VLOOKUP('Données projet'!$B$15,Paramètres!$A$1:$I$89,5,0)</f>
        <v>191.67895500000003</v>
      </c>
      <c r="EL78" s="13">
        <f t="shared" si="99"/>
        <v>47.910955687340916</v>
      </c>
      <c r="EM78" s="20">
        <f t="shared" si="73"/>
        <v>417.28576111378544</v>
      </c>
      <c r="EN78" s="59">
        <f t="shared" si="74"/>
        <v>710.61909444711875</v>
      </c>
      <c r="EO78" s="59">
        <f ca="1">AVERAGE(OFFSET($EN$3,0,0,'Données projet'!$E$15+1,1))-AVERAGE(OFFSET($H$3,0,0,'Données projet'!$E$15+1,1))</f>
        <v>533.26035274112917</v>
      </c>
      <c r="EP78" s="59">
        <f t="shared" si="100"/>
        <v>262.58149402282521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32.196462413889655</v>
      </c>
      <c r="EX78" s="21">
        <f>EXP(-LN(2)/2)*EX77+(1-EXP(-LN(2)/2))/(LN(2)/2)*ER78*EU78*VLOOKUP('Données projet'!$B$15,Paramètres!$A$1:$I$89,3,0)*0.475*44/12</f>
        <v>1.08686269871949</v>
      </c>
      <c r="EY78" s="22">
        <f t="shared" si="75"/>
        <v>33.283325112609148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130.76923076923075</v>
      </c>
      <c r="FC78" s="12">
        <f>VLOOKUP(A78,'Données projet'!$A$217:$I$237,9,0)</f>
        <v>2.1794871794871766</v>
      </c>
      <c r="FD78" s="12">
        <f t="array" ref="FD78">INDEX(FC:FC,MIN(IF(ISNUMBER(FC78:FC274),ROW(FC78:FC274),"")))</f>
        <v>2.1794871794871766</v>
      </c>
      <c r="FE78" s="12">
        <f>IF('Données projet'!$A$218&gt;35,FE77+FD78-FM77,IF(A78&lt;'Données projet'!$A$218,$FB$205^A78,IF(A78='Données projet'!$A$218,'Données projet'!$B$218,FE77+FD78-FM77)))</f>
        <v>130.76923076923069</v>
      </c>
      <c r="FF78" s="17">
        <f>FE78*VLOOKUP('Données projet'!$B$16,Paramètres!$A$1:$I$89,3,0)*VLOOKUP('Données projet'!$B$16,Paramètres!$A$1:$I$89,5,0)</f>
        <v>136.67999999999992</v>
      </c>
      <c r="FG78" s="13">
        <f t="shared" si="101"/>
        <v>35.535381023829849</v>
      </c>
      <c r="FH78" s="20">
        <f t="shared" si="76"/>
        <v>299.94178861650352</v>
      </c>
      <c r="FI78" s="59">
        <f t="shared" si="77"/>
        <v>593.27512194983683</v>
      </c>
      <c r="FJ78" s="59">
        <f ca="1">AVERAGE(OFFSET($FI$3,0,0,'Données projet'!$E$16+1,1))-AVERAGE(OFFSET($H$3,0,0,'Données projet'!$E$16+1,1))</f>
        <v>239.26156489359892</v>
      </c>
      <c r="FK78" s="59">
        <f t="shared" si="102"/>
        <v>213.97034450798111</v>
      </c>
      <c r="FL78" s="15">
        <f>IF(ISNA(VLOOKUP(A78,'Données projet'!$A$217:$I$237,3,0)),0,VLOOKUP(A78,'Données projet'!$A$217:$I$237,3,0))</f>
        <v>12</v>
      </c>
      <c r="FM78" s="15">
        <f>IF(ISNA(VLOOKUP(A78,'Données projet'!$A$217:$I$237,4,0)),0,VLOOKUP(A78,'Données projet'!$A$217:$I$237,4,0))</f>
        <v>7.6923076923076916</v>
      </c>
      <c r="FN78" s="16">
        <f>IF(ISNA(VLOOKUP(A78,'Données projet'!$A$217:$I$237,5,0)),0%,VLOOKUP(A78,'Données projet'!$A$217:$I$237,5,0)*VLOOKUP('Données projet'!$B$16,Paramètres!$A$1:$I$89,7,0))</f>
        <v>4.3000000000000003E-2</v>
      </c>
      <c r="FO78" s="16">
        <f>IF(ISNA(VLOOKUP(A78,'Données projet'!$A$217:$I$237,6,0)),0%,VLOOKUP(A78,'Données projet'!$A$217:$I$237,6,0)*VLOOKUP('Données projet'!$B$16,Paramètres!$A$1:$I$89,7,0))</f>
        <v>0.215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1.177925679448117</v>
      </c>
      <c r="FR78" s="21">
        <f>EXP(-LN(2)/25)*FR77+(1-EXP(-LN(2)/25))/(LN(2)/25)*Calculateur!FM78*Calculateur!FO78*VLOOKUP('Données projet'!$B$16,Paramètres!$A$1:$I$89,3,0)*0.475*44/12</f>
        <v>16.516195961066057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17.694121640514172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9.4837500000000006</v>
      </c>
      <c r="N79" s="13">
        <f>IF('Données projet'!$A$36&gt;35,N78+M79-V78,IF(A79&lt;'Données projet'!$A$36,$K$205^A79,IF(A79='Données projet'!$A$36,'Données projet'!$B$36,N78+M79-V78)))</f>
        <v>239.72375</v>
      </c>
      <c r="O79" s="13">
        <f>N79*VLOOKUP('Données projet'!$B$9,Paramètres!$A$1:$I$89,3,0)*VLOOKUP('Données projet'!$B$9,Paramètres!$A$1:$I$89,5,0)</f>
        <v>228.12112049999999</v>
      </c>
      <c r="P79" s="13">
        <f t="shared" si="87"/>
        <v>55.876230114888095</v>
      </c>
      <c r="Q79" s="20">
        <f t="shared" si="54"/>
        <v>494.62871898759676</v>
      </c>
      <c r="R79" s="59">
        <f t="shared" si="55"/>
        <v>787.96205232093007</v>
      </c>
      <c r="S79" s="59">
        <f ca="1">AVERAGE(OFFSET($R$3,0,0,'Données projet'!$E$9+1,1))-AVERAGE(OFFSET($H$3,0,0,'Données projet'!$E$9+1,1))</f>
        <v>449.28947235329758</v>
      </c>
      <c r="T79" s="59">
        <f t="shared" si="88"/>
        <v>289.36994109443964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21.489163379053554</v>
      </c>
      <c r="AA79" s="21">
        <f>EXP(-LN(2)/25)*AA78+(1-EXP(-LN(2)/25))/(LN(2)/25)*Calculateur!V79*Calculateur!X79*VLOOKUP('Données projet'!$B$9,Paramètres!$A$1:$I$89,3,0)*0.475*44/12</f>
        <v>26.567722991603446</v>
      </c>
      <c r="AB79" s="21">
        <f>EXP(-LN(2)/2)*AB78+(1-EXP(-LN(2)/2))/(LN(2)/2)*V79*Y79*VLOOKUP('Données projet'!$B$9,Paramètres!$A$1:$I$89,3,0)*0.475*44/12</f>
        <v>2.943378477814381</v>
      </c>
      <c r="AC79" s="22">
        <f t="shared" si="57"/>
        <v>51.000264848471375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9.7839999999999971</v>
      </c>
      <c r="AI79" s="13">
        <f>IF('Données projet'!$A$62&gt;35,AI78+AH79-AQ78,IF(A79&lt;'Données projet'!$A$62,$AF$205^A79,IF(A79='Données projet'!$A$62,'Données projet'!$B$62,AI78+AH79-AQ78)))</f>
        <v>480.89399999999972</v>
      </c>
      <c r="AJ79" s="13">
        <f>AI79*VLOOKUP('Données projet'!$B$10,Paramètres!$A$1:$I$89,3,0)*VLOOKUP('Données projet'!$B$10,Paramètres!$A$1:$I$89,5,0)</f>
        <v>287.57461199999989</v>
      </c>
      <c r="AK79" s="13">
        <f t="shared" si="89"/>
        <v>68.565246901335968</v>
      </c>
      <c r="AL79" s="20">
        <f t="shared" si="58"/>
        <v>620.27692091982669</v>
      </c>
      <c r="AM79" s="59">
        <f t="shared" si="59"/>
        <v>913.61025425316006</v>
      </c>
      <c r="AN79" s="59">
        <f ca="1">AVERAGE(OFFSET($AM$3,0,0,'Données projet'!$E$10+1,1))-AVERAGE(OFFSET($H$3,0,0,'Données projet'!$E$10+1,1))</f>
        <v>349.71285006949597</v>
      </c>
      <c r="AO79" s="59">
        <f t="shared" si="90"/>
        <v>258.51550516456842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45.336608772135044</v>
      </c>
      <c r="AV79" s="21">
        <f>EXP(-LN(2)/25)*AV78+(1-EXP(-LN(2)/25))/(LN(2)/25)*Calculateur!AQ79*Calculateur!AS79*VLOOKUP('Données projet'!$B$10,Paramètres!$A$1:$I$89,3,0)*0.475*44/12</f>
        <v>16.494123596448315</v>
      </c>
      <c r="AW79" s="21">
        <f>EXP(-LN(2)/2)*AW78+(1-EXP(-LN(2)/2))/(LN(2)/2)*AQ79*AT79*VLOOKUP('Données projet'!$B$10,Paramètres!$A$1:$I$89,3,0)*0.475*44/12</f>
        <v>1.1871572158367227</v>
      </c>
      <c r="AX79" s="21">
        <f t="shared" si="60"/>
        <v>63.017889584420075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1.1368683772161603E-13</v>
      </c>
      <c r="BE79" s="13">
        <f>BD79*VLOOKUP('Données projet'!$B$11,Paramètres!$A$1:$I$89,3,0)*VLOOKUP('Données projet'!$B$11,Paramètres!$A$1:$I$89,5,0)</f>
        <v>6.7984728957526396E-14</v>
      </c>
      <c r="BF79" s="13">
        <f t="shared" si="91"/>
        <v>1.0682447123141398E-12</v>
      </c>
      <c r="BG79" s="20">
        <f t="shared" si="61"/>
        <v>1.978932943548152E-12</v>
      </c>
      <c r="BH79" s="59">
        <f t="shared" si="62"/>
        <v>293.3333333333353</v>
      </c>
      <c r="BI79" s="59">
        <f ca="1">AVERAGE(OFFSET($BH$3,0,0,'Données projet'!$E$11+1,1))-AVERAGE(OFFSET($H$3,0,0,'Données projet'!$E$11+1,1))</f>
        <v>302.00825291248458</v>
      </c>
      <c r="BJ79" s="59">
        <f t="shared" si="92"/>
        <v>307.35115839449355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101.15606724824673</v>
      </c>
      <c r="BQ79" s="21">
        <f>EXP(-LN(2)/25)*BQ78+(1-EXP(-LN(2)/25))/(LN(2)/25)*Calculateur!BL79*Calculateur!BN79*VLOOKUP('Données projet'!$B$11,Paramètres!$A$1:$I$89,3,0)*0.475*44/12</f>
        <v>31.084907494741906</v>
      </c>
      <c r="BR79" s="21">
        <f>EXP(-LN(2)/2)*BR78+(1-EXP(-LN(2)/2))/(LN(2)/2)*BL79*BO79*VLOOKUP('Données projet'!$B$11,Paramètres!$A$1:$I$89,3,0)*0.475*44/12</f>
        <v>0.23422438602872436</v>
      </c>
      <c r="BS79" s="22">
        <f t="shared" si="63"/>
        <v>132.47519912901737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11.117500000000001</v>
      </c>
      <c r="BY79" s="12">
        <f>IF('Données projet'!$A$114&gt;35,BY78+BX79-CG78,IF(A79&lt;'Données projet'!$A$114,$BV$205^A79,IF(A79='Données projet'!$A$114,'Données projet'!$B$114,BY78+BX79-CG78)))</f>
        <v>325.10249999999991</v>
      </c>
      <c r="BZ79" s="13">
        <f>BY79*VLOOKUP('Données projet'!$B$12,Paramètres!$A$1:$I$89,3,0)*VLOOKUP('Données projet'!$B$12,Paramètres!$A$1:$I$89,5,0)</f>
        <v>152.14796999999996</v>
      </c>
      <c r="CA79" s="13">
        <f t="shared" si="93"/>
        <v>39.066314845830235</v>
      </c>
      <c r="CB79" s="20">
        <f t="shared" si="64"/>
        <v>333.03154610648761</v>
      </c>
      <c r="CC79" s="59">
        <f t="shared" si="65"/>
        <v>626.36487943982092</v>
      </c>
      <c r="CD79" s="59">
        <f ca="1">AVERAGE(OFFSET($CC$3,0,0,'Données projet'!$E$12+1,1))-AVERAGE(OFFSET($H$3,0,0,'Données projet'!$E$12+1,1))</f>
        <v>337.10499990421835</v>
      </c>
      <c r="CE79" s="59">
        <f t="shared" si="94"/>
        <v>277.4254079562175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44.410115145658594</v>
      </c>
      <c r="CL79" s="21">
        <f>EXP(-LN(2)/25)*CL78+(1-EXP(-LN(2)/25))/(LN(2)/25)*Calculateur!CG79*Calculateur!CI79*VLOOKUP('Données projet'!$B$12,Paramètres!$A$1:$I$89,3,0)*0.475*44/12</f>
        <v>21.956750552841143</v>
      </c>
      <c r="CM79" s="21">
        <f>EXP(-LN(2)/2)*CM78+(1-EXP(-LN(2)/2))/(LN(2)/2)*CG79*CJ79*VLOOKUP('Données projet'!$B$12,Paramètres!$A$1:$I$89,3,0)*0.475*44/12</f>
        <v>3.9332621223953677</v>
      </c>
      <c r="CN79" s="22">
        <f t="shared" si="66"/>
        <v>70.300127820895099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6.7437500000000021</v>
      </c>
      <c r="CT79" s="12">
        <f>IF('Données projet'!$A$140&gt;35,CT78+CS79-DB78,IF(A79&lt;'Données projet'!$A$140,$CQ$205^A79,IF(A79='Données projet'!$A$140,'Données projet'!$B$140,CT78+CS79-DB78)))</f>
        <v>195.77625000000003</v>
      </c>
      <c r="CU79" s="17">
        <f>CT79*VLOOKUP('Données projet'!$B$13,Paramètres!$A$1:$I$89,3,0)*VLOOKUP('Données projet'!$B$13,Paramètres!$A$1:$I$89,5,0)</f>
        <v>195.46300800000003</v>
      </c>
      <c r="CV79" s="13">
        <f t="shared" si="95"/>
        <v>48.745746529164379</v>
      </c>
      <c r="CW79" s="20">
        <f t="shared" si="67"/>
        <v>425.33024747162807</v>
      </c>
      <c r="CX79" s="59">
        <f t="shared" si="68"/>
        <v>718.66358080496138</v>
      </c>
      <c r="CY79" s="59">
        <f ca="1">AVERAGE(OFFSET($CX$3,0,0,'Données projet'!$E$13+1,1))-AVERAGE(OFFSET($H$3,0,0,'Données projet'!$E$13+1,1))</f>
        <v>525.74725170626471</v>
      </c>
      <c r="CZ79" s="59">
        <f t="shared" si="96"/>
        <v>259.19103598192197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30.834263095181271</v>
      </c>
      <c r="DH79" s="21">
        <f>EXP(-LN(2)/2)*DH78+(1-EXP(-LN(2)/2))/(LN(2)/2)*DB79*DE79*VLOOKUP('Données projet'!$B$13,Paramètres!$A$1:$I$89,3,0)*0.475*44/12</f>
        <v>0.75670447702967414</v>
      </c>
      <c r="DI79" s="22">
        <f t="shared" si="69"/>
        <v>31.590967572210946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8.0188888888888883</v>
      </c>
      <c r="DO79" s="12">
        <f>IF('Données projet'!$A$166&gt;35,DO78+DN79-DW78,IF(A79&lt;'Données projet'!$A$166,$DL$205^A79,IF(A79='Données projet'!$A$166,'Données projet'!$B$166,DO78+DN79-DW78)))</f>
        <v>219.61888888888919</v>
      </c>
      <c r="DP79" s="17">
        <f>DO79*VLOOKUP('Données projet'!$B$14,Paramètres!$A$1:$I$89,3,0)*VLOOKUP('Données projet'!$B$14,Paramètres!$A$1:$I$89,5,0)</f>
        <v>198.71117066666693</v>
      </c>
      <c r="DQ79" s="13">
        <f t="shared" si="97"/>
        <v>49.460815560173565</v>
      </c>
      <c r="DR79" s="20">
        <f t="shared" si="70"/>
        <v>432.23287601174712</v>
      </c>
      <c r="DS79" s="59">
        <f t="shared" si="71"/>
        <v>725.56620934508044</v>
      </c>
      <c r="DT79" s="59">
        <f ca="1">AVERAGE(OFFSET($DS$3,0,0,'Données projet'!$E$14+1,1))-AVERAGE(OFFSET($H$3,0,0,'Données projet'!$E$14+1,1))</f>
        <v>490.06222615476065</v>
      </c>
      <c r="DU79" s="59">
        <f t="shared" si="98"/>
        <v>310.43914804089906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17.623250338010056</v>
      </c>
      <c r="EB79" s="21">
        <f>EXP(-LN(2)/25)*EB78+(1-EXP(-LN(2)/25))/(LN(2)/25)*Calculateur!DW79*Calculateur!DY79*VLOOKUP('Données projet'!$B$14,Paramètres!$A$1:$I$89,3,0)*0.475*44/12</f>
        <v>28.55685826261788</v>
      </c>
      <c r="EC79" s="21">
        <f>EXP(-LN(2)/2)*EC78+(1-EXP(-LN(2)/2))/(LN(2)/2)*DW79*DZ79*VLOOKUP('Données projet'!$B$14,Paramètres!$A$1:$I$89,3,0)*0.475*44/12</f>
        <v>2.7939647298427492</v>
      </c>
      <c r="ED79" s="22">
        <f t="shared" si="72"/>
        <v>48.974073330470681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6.7437500000000021</v>
      </c>
      <c r="EJ79" s="12">
        <f>IF('Données projet'!$A$192&gt;35,EJ78+EI79-ER78,IF(A79&lt;'Données projet'!$A$192,$EG$205^A79,IF(A79='Données projet'!$A$192,'Données projet'!$B$192,EJ78+EI79-ER78)))</f>
        <v>195.77625000000003</v>
      </c>
      <c r="EK79" s="17">
        <f>EJ79*VLOOKUP('Données projet'!$B$15,Paramètres!$A$1:$I$89,3,0)*VLOOKUP('Données projet'!$B$15,Paramètres!$A$1:$I$89,5,0)</f>
        <v>198.51711750000004</v>
      </c>
      <c r="EL79" s="13">
        <f t="shared" si="99"/>
        <v>49.41813401590116</v>
      </c>
      <c r="EM79" s="20">
        <f t="shared" si="73"/>
        <v>431.8205630568612</v>
      </c>
      <c r="EN79" s="59">
        <f t="shared" si="74"/>
        <v>725.15389639019452</v>
      </c>
      <c r="EO79" s="59">
        <f ca="1">AVERAGE(OFFSET($EN$3,0,0,'Données projet'!$E$15+1,1))-AVERAGE(OFFSET($H$3,0,0,'Données projet'!$E$15+1,1))</f>
        <v>533.26035274112917</v>
      </c>
      <c r="EP79" s="59">
        <f t="shared" si="100"/>
        <v>262.58149402282521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31.316048456043472</v>
      </c>
      <c r="EX79" s="21">
        <f>EXP(-LN(2)/2)*EX78+(1-EXP(-LN(2)/2))/(LN(2)/2)*ER79*EU79*VLOOKUP('Données projet'!$B$15,Paramètres!$A$1:$I$89,3,0)*0.475*44/12</f>
        <v>0.76852798448326298</v>
      </c>
      <c r="EY79" s="22">
        <f t="shared" si="75"/>
        <v>32.084576440526732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2.0512820512820582</v>
      </c>
      <c r="FE79" s="12">
        <f>IF('Données projet'!$A$218&gt;35,FE78+FD79-FM78,IF(A79&lt;'Données projet'!$A$218,$FB$205^A79,IF(A79='Données projet'!$A$218,'Données projet'!$B$218,FE78+FD79-FM78)))</f>
        <v>125.12820512820507</v>
      </c>
      <c r="FF79" s="17">
        <f>FE79*VLOOKUP('Données projet'!$B$16,Paramètres!$A$1:$I$89,3,0)*VLOOKUP('Données projet'!$B$16,Paramètres!$A$1:$I$89,5,0)</f>
        <v>130.78399999999993</v>
      </c>
      <c r="FG79" s="13">
        <f t="shared" si="101"/>
        <v>34.177455270520305</v>
      </c>
      <c r="FH79" s="20">
        <f t="shared" si="76"/>
        <v>287.30786792948942</v>
      </c>
      <c r="FI79" s="59">
        <f t="shared" si="77"/>
        <v>580.64120126282273</v>
      </c>
      <c r="FJ79" s="59">
        <f ca="1">AVERAGE(OFFSET($FI$3,0,0,'Données projet'!$E$16+1,1))-AVERAGE(OFFSET($H$3,0,0,'Données projet'!$E$16+1,1))</f>
        <v>239.26156489359892</v>
      </c>
      <c r="FK79" s="59">
        <f t="shared" si="102"/>
        <v>213.97034450798111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1.1548272753378614</v>
      </c>
      <c r="FR79" s="21">
        <f>EXP(-LN(2)/25)*FR78+(1-EXP(-LN(2)/25))/(LN(2)/25)*Calculateur!FM79*Calculateur!FO79*VLOOKUP('Données projet'!$B$16,Paramètres!$A$1:$I$89,3,0)*0.475*44/12</f>
        <v>16.064559713961707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17.219386989299569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9.4837500000000006</v>
      </c>
      <c r="N80" s="13">
        <f>IF('Données projet'!$A$36&gt;35,N79+M80-V79,IF(A80&lt;'Données projet'!$A$36,$K$205^A80,IF(A80='Données projet'!$A$36,'Données projet'!$B$36,N79+M80-V79)))</f>
        <v>249.20749999999998</v>
      </c>
      <c r="O80" s="13">
        <f>N80*VLOOKUP('Données projet'!$B$9,Paramètres!$A$1:$I$89,3,0)*VLOOKUP('Données projet'!$B$9,Paramètres!$A$1:$I$89,5,0)</f>
        <v>237.14585699999998</v>
      </c>
      <c r="P80" s="13">
        <f t="shared" si="87"/>
        <v>57.825020794330889</v>
      </c>
      <c r="Q80" s="20">
        <f t="shared" si="54"/>
        <v>513.74094549179301</v>
      </c>
      <c r="R80" s="59">
        <f t="shared" si="55"/>
        <v>807.07427882512638</v>
      </c>
      <c r="S80" s="59">
        <f ca="1">AVERAGE(OFFSET($R$3,0,0,'Données projet'!$E$9+1,1))-AVERAGE(OFFSET($H$3,0,0,'Données projet'!$E$9+1,1))</f>
        <v>449.28947235329758</v>
      </c>
      <c r="T80" s="59">
        <f t="shared" si="88"/>
        <v>289.36994109443964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21.067773992285758</v>
      </c>
      <c r="AA80" s="21">
        <f>EXP(-LN(2)/25)*AA79+(1-EXP(-LN(2)/25))/(LN(2)/25)*Calculateur!V80*Calculateur!X80*VLOOKUP('Données projet'!$B$9,Paramètres!$A$1:$I$89,3,0)*0.475*44/12</f>
        <v>25.841227209262218</v>
      </c>
      <c r="AB80" s="21">
        <f>EXP(-LN(2)/2)*AB79+(1-EXP(-LN(2)/2))/(LN(2)/2)*V80*Y80*VLOOKUP('Données projet'!$B$9,Paramètres!$A$1:$I$89,3,0)*0.475*44/12</f>
        <v>2.0812828812610871</v>
      </c>
      <c r="AC80" s="22">
        <f t="shared" si="57"/>
        <v>48.990284082809069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9.7839999999999971</v>
      </c>
      <c r="AI80" s="13">
        <f>IF('Données projet'!$A$62&gt;35,AI79+AH80-AQ79,IF(A80&lt;'Données projet'!$A$62,$AF$205^A80,IF(A80='Données projet'!$A$62,'Données projet'!$B$62,AI79+AH80-AQ79)))</f>
        <v>490.67799999999971</v>
      </c>
      <c r="AJ80" s="13">
        <f>AI80*VLOOKUP('Données projet'!$B$10,Paramètres!$A$1:$I$89,3,0)*VLOOKUP('Données projet'!$B$10,Paramètres!$A$1:$I$89,5,0)</f>
        <v>293.42544399999986</v>
      </c>
      <c r="AK80" s="13">
        <f t="shared" si="89"/>
        <v>69.796411555705205</v>
      </c>
      <c r="AL80" s="20">
        <f t="shared" si="58"/>
        <v>632.61139842618638</v>
      </c>
      <c r="AM80" s="59">
        <f t="shared" si="59"/>
        <v>925.94473175951975</v>
      </c>
      <c r="AN80" s="59">
        <f ca="1">AVERAGE(OFFSET($AM$3,0,0,'Données projet'!$E$10+1,1))-AVERAGE(OFFSET($H$3,0,0,'Données projet'!$E$10+1,1))</f>
        <v>349.71285006949597</v>
      </c>
      <c r="AO80" s="59">
        <f t="shared" si="90"/>
        <v>258.51550516456842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44.447585526714356</v>
      </c>
      <c r="AV80" s="21">
        <f>EXP(-LN(2)/25)*AV79+(1-EXP(-LN(2)/25))/(LN(2)/25)*Calculateur!AQ80*Calculateur!AS80*VLOOKUP('Données projet'!$B$10,Paramètres!$A$1:$I$89,3,0)*0.475*44/12</f>
        <v>16.043090919315173</v>
      </c>
      <c r="AW80" s="21">
        <f>EXP(-LN(2)/2)*AW79+(1-EXP(-LN(2)/2))/(LN(2)/2)*AQ80*AT80*VLOOKUP('Données projet'!$B$10,Paramètres!$A$1:$I$89,3,0)*0.475*44/12</f>
        <v>0.83944691765268853</v>
      </c>
      <c r="AX80" s="21">
        <f t="shared" si="60"/>
        <v>61.330123363682212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1.1368683772161603E-13</v>
      </c>
      <c r="BE80" s="13">
        <f>BD80*VLOOKUP('Données projet'!$B$11,Paramètres!$A$1:$I$89,3,0)*VLOOKUP('Données projet'!$B$11,Paramètres!$A$1:$I$89,5,0)</f>
        <v>6.7984728957526396E-14</v>
      </c>
      <c r="BF80" s="13">
        <f t="shared" si="91"/>
        <v>1.0682447123141398E-12</v>
      </c>
      <c r="BG80" s="20">
        <f t="shared" si="61"/>
        <v>1.978932943548152E-12</v>
      </c>
      <c r="BH80" s="59">
        <f t="shared" si="62"/>
        <v>293.3333333333353</v>
      </c>
      <c r="BI80" s="59">
        <f ca="1">AVERAGE(OFFSET($BH$3,0,0,'Données projet'!$E$11+1,1))-AVERAGE(OFFSET($H$3,0,0,'Données projet'!$E$11+1,1))</f>
        <v>302.00825291248458</v>
      </c>
      <c r="BJ80" s="59">
        <f t="shared" si="92"/>
        <v>307.35115839449355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99.17245846861735</v>
      </c>
      <c r="BQ80" s="21">
        <f>EXP(-LN(2)/25)*BQ79+(1-EXP(-LN(2)/25))/(LN(2)/25)*Calculateur!BL80*Calculateur!BN80*VLOOKUP('Données projet'!$B$11,Paramètres!$A$1:$I$89,3,0)*0.475*44/12</f>
        <v>30.234889064613949</v>
      </c>
      <c r="BR80" s="21">
        <f>EXP(-LN(2)/2)*BR79+(1-EXP(-LN(2)/2))/(LN(2)/2)*BL80*BO80*VLOOKUP('Données projet'!$B$11,Paramètres!$A$1:$I$89,3,0)*0.475*44/12</f>
        <v>0.16562165168016665</v>
      </c>
      <c r="BS80" s="22">
        <f t="shared" si="63"/>
        <v>129.57296918491147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11.117500000000001</v>
      </c>
      <c r="BY80" s="12">
        <f>IF('Données projet'!$A$114&gt;35,BY79+BX80-CG79,IF(A80&lt;'Données projet'!$A$114,$BV$205^A80,IF(A80='Données projet'!$A$114,'Données projet'!$B$114,BY79+BX80-CG79)))</f>
        <v>336.21999999999991</v>
      </c>
      <c r="BZ80" s="13">
        <f>BY80*VLOOKUP('Données projet'!$B$12,Paramètres!$A$1:$I$89,3,0)*VLOOKUP('Données projet'!$B$12,Paramètres!$A$1:$I$89,5,0)</f>
        <v>157.35095999999996</v>
      </c>
      <c r="CA80" s="13">
        <f t="shared" si="93"/>
        <v>40.24443771922904</v>
      </c>
      <c r="CB80" s="20">
        <f t="shared" si="64"/>
        <v>344.14531769432386</v>
      </c>
      <c r="CC80" s="59">
        <f t="shared" si="65"/>
        <v>637.47865102765718</v>
      </c>
      <c r="CD80" s="59">
        <f ca="1">AVERAGE(OFFSET($CC$3,0,0,'Données projet'!$E$12+1,1))-AVERAGE(OFFSET($H$3,0,0,'Données projet'!$E$12+1,1))</f>
        <v>337.10499990421835</v>
      </c>
      <c r="CE80" s="59">
        <f t="shared" si="94"/>
        <v>277.4254079562175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43.539259875147799</v>
      </c>
      <c r="CL80" s="21">
        <f>EXP(-LN(2)/25)*CL79+(1-EXP(-LN(2)/25))/(LN(2)/25)*Calculateur!CG80*Calculateur!CI80*VLOOKUP('Données projet'!$B$12,Paramètres!$A$1:$I$89,3,0)*0.475*44/12</f>
        <v>21.356342054318372</v>
      </c>
      <c r="CM80" s="21">
        <f>EXP(-LN(2)/2)*CM79+(1-EXP(-LN(2)/2))/(LN(2)/2)*CG80*CJ80*VLOOKUP('Données projet'!$B$12,Paramètres!$A$1:$I$89,3,0)*0.475*44/12</f>
        <v>2.7812363189299569</v>
      </c>
      <c r="CN80" s="22">
        <f t="shared" si="66"/>
        <v>67.676838248396123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>
        <f>VLOOKUP(A80,'Données projet'!$A$139:$I$159,2,0)</f>
        <v>202.52</v>
      </c>
      <c r="CR80" s="12">
        <f>VLOOKUP(A80,'Données projet'!$A$139:$I$159,9,0)</f>
        <v>6.7437500000000021</v>
      </c>
      <c r="CS80" s="12">
        <f t="array" ref="CS80">INDEX(CR:CR,MIN(IF(ISNUMBER(CR80:CR276),ROW(CR80:CR276),"")))</f>
        <v>6.7437500000000021</v>
      </c>
      <c r="CT80" s="12">
        <f>IF('Données projet'!$A$140&gt;35,CT79+CS80-DB79,IF(A80&lt;'Données projet'!$A$140,$CQ$205^A80,IF(A80='Données projet'!$A$140,'Données projet'!$B$140,CT79+CS80-DB79)))</f>
        <v>202.52000000000004</v>
      </c>
      <c r="CU80" s="17">
        <f>CT80*VLOOKUP('Données projet'!$B$13,Paramètres!$A$1:$I$89,3,0)*VLOOKUP('Données projet'!$B$13,Paramètres!$A$1:$I$89,5,0)</f>
        <v>202.19596800000005</v>
      </c>
      <c r="CV80" s="13">
        <f t="shared" si="95"/>
        <v>50.226467880334432</v>
      </c>
      <c r="CW80" s="20">
        <f t="shared" si="67"/>
        <v>439.6357424915825</v>
      </c>
      <c r="CX80" s="59">
        <f t="shared" si="68"/>
        <v>732.96907582491576</v>
      </c>
      <c r="CY80" s="59">
        <f ca="1">AVERAGE(OFFSET($CX$3,0,0,'Données projet'!$E$13+1,1))-AVERAGE(OFFSET($H$3,0,0,'Données projet'!$E$13+1,1))</f>
        <v>525.74725170626471</v>
      </c>
      <c r="CZ80" s="59">
        <f t="shared" si="96"/>
        <v>259.19103598192197</v>
      </c>
      <c r="DA80" s="15">
        <f>IF(ISNA(VLOOKUP(A80,'Données projet'!$A$139:$I$159,3,0)),0,VLOOKUP(A80,'Données projet'!$A$139:$I$159,3,0))</f>
        <v>3</v>
      </c>
      <c r="DB80" s="15">
        <f>IF(ISNA(VLOOKUP(A80,'Données projet'!$A$139:$I$159,4,0)),0,VLOOKUP(A80,'Données projet'!$A$139:$I$159,4,0))</f>
        <v>33.950000000000017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0.34400000000000003</v>
      </c>
      <c r="DE80" s="16">
        <f>IF(ISNA(VLOOKUP(A80,'Données projet'!$A$139:$I$159,7,0)),0%,VLOOKUP(A80,'Données projet'!$A$139:$I$159,7,0))</f>
        <v>0.2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42.830256620562139</v>
      </c>
      <c r="DH80" s="21">
        <f>EXP(-LN(2)/2)*DH79+(1-EXP(-LN(2)/2))/(LN(2)/2)*DB80*DE80*VLOOKUP('Données projet'!$B$13,Paramètres!$A$1:$I$89,3,0)*0.475*44/12</f>
        <v>6.9313681408322205</v>
      </c>
      <c r="DI80" s="22">
        <f t="shared" si="69"/>
        <v>49.761624761394359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8.0188888888888883</v>
      </c>
      <c r="DO80" s="12">
        <f>IF('Données projet'!$A$166&gt;35,DO79+DN80-DW79,IF(A80&lt;'Données projet'!$A$166,$DL$205^A80,IF(A80='Données projet'!$A$166,'Données projet'!$B$166,DO79+DN80-DW79)))</f>
        <v>227.63777777777807</v>
      </c>
      <c r="DP80" s="17">
        <f>DO80*VLOOKUP('Données projet'!$B$14,Paramètres!$A$1:$I$89,3,0)*VLOOKUP('Données projet'!$B$14,Paramètres!$A$1:$I$89,5,0)</f>
        <v>205.96666133333358</v>
      </c>
      <c r="DQ80" s="13">
        <f t="shared" si="97"/>
        <v>51.053207385228809</v>
      </c>
      <c r="DR80" s="20">
        <f t="shared" si="70"/>
        <v>447.64293801816285</v>
      </c>
      <c r="DS80" s="59">
        <f t="shared" si="71"/>
        <v>740.97627135149617</v>
      </c>
      <c r="DT80" s="59">
        <f ca="1">AVERAGE(OFFSET($DS$3,0,0,'Données projet'!$E$14+1,1))-AVERAGE(OFFSET($H$3,0,0,'Données projet'!$E$14+1,1))</f>
        <v>490.06222615476065</v>
      </c>
      <c r="DU80" s="59">
        <f t="shared" si="98"/>
        <v>310.43914804089906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17.277669148002996</v>
      </c>
      <c r="EB80" s="21">
        <f>EXP(-LN(2)/25)*EB79+(1-EXP(-LN(2)/25))/(LN(2)/25)*Calculateur!DW80*Calculateur!DY80*VLOOKUP('Données projet'!$B$14,Paramètres!$A$1:$I$89,3,0)*0.475*44/12</f>
        <v>27.775969471686686</v>
      </c>
      <c r="EC80" s="21">
        <f>EXP(-LN(2)/2)*EC79+(1-EXP(-LN(2)/2))/(LN(2)/2)*DW80*DZ80*VLOOKUP('Données projet'!$B$14,Paramètres!$A$1:$I$89,3,0)*0.475*44/12</f>
        <v>1.9756314068678484</v>
      </c>
      <c r="ED80" s="22">
        <f t="shared" si="72"/>
        <v>47.029270026557526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>
        <f>VLOOKUP(A80,'Données projet'!$A$191:$I$211,2,0)</f>
        <v>202.52</v>
      </c>
      <c r="EH80" s="12">
        <f>VLOOKUP(A80,'Données projet'!$A$191:$I$211,9,0)</f>
        <v>6.7437500000000021</v>
      </c>
      <c r="EI80" s="12">
        <f t="array" ref="EI80">INDEX(EH:EH,MIN(IF(ISNUMBER(EH80:EH276),ROW(EH80:EH276),"")))</f>
        <v>6.7437500000000021</v>
      </c>
      <c r="EJ80" s="12">
        <f>IF('Données projet'!$A$192&gt;35,EJ79+EI80-ER79,IF(A80&lt;'Données projet'!$A$192,$EG$205^A80,IF(A80='Données projet'!$A$192,'Données projet'!$B$192,EJ79+EI80-ER79)))</f>
        <v>202.52000000000004</v>
      </c>
      <c r="EK80" s="17">
        <f>EJ80*VLOOKUP('Données projet'!$B$15,Paramètres!$A$1:$I$89,3,0)*VLOOKUP('Données projet'!$B$15,Paramètres!$A$1:$I$89,5,0)</f>
        <v>205.35528000000005</v>
      </c>
      <c r="EL80" s="13">
        <f t="shared" si="99"/>
        <v>50.919280092893707</v>
      </c>
      <c r="EM80" s="20">
        <f t="shared" si="73"/>
        <v>446.34485882845661</v>
      </c>
      <c r="EN80" s="59">
        <f t="shared" si="74"/>
        <v>739.67819216178987</v>
      </c>
      <c r="EO80" s="59">
        <f ca="1">AVERAGE(OFFSET($EN$3,0,0,'Données projet'!$E$15+1,1))-AVERAGE(OFFSET($H$3,0,0,'Données projet'!$E$15+1,1))</f>
        <v>533.26035274112917</v>
      </c>
      <c r="EP80" s="59">
        <f t="shared" si="100"/>
        <v>262.58149402282521</v>
      </c>
      <c r="EQ80" s="15">
        <f>IF(ISNA(VLOOKUP(A80,'Données projet'!$A$191:$I$211,3,0)),0,VLOOKUP(A80,'Données projet'!$A$191:$I$211,3,0))</f>
        <v>3</v>
      </c>
      <c r="ER80" s="15">
        <f>IF(ISNA(VLOOKUP(A80,'Données projet'!$A$191:$I$211,4,0)),0,VLOOKUP(A80,'Données projet'!$A$191:$I$211,4,0))</f>
        <v>33.950000000000017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0.34400000000000003</v>
      </c>
      <c r="EU80" s="16">
        <f>IF(ISNA(VLOOKUP(A80,'Données projet'!$A$191:$I$211,7,0)),0%,VLOOKUP(A80,'Données projet'!$A$191:$I$211,7,0))</f>
        <v>0.2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43.499479380258421</v>
      </c>
      <c r="EX80" s="21">
        <f>EXP(-LN(2)/2)*EX79+(1-EXP(-LN(2)/2))/(LN(2)/2)*ER80*EU80*VLOOKUP('Données projet'!$B$15,Paramètres!$A$1:$I$89,3,0)*0.475*44/12</f>
        <v>7.0396707680327228</v>
      </c>
      <c r="EY80" s="22">
        <f t="shared" si="75"/>
        <v>50.539150148291142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2.0512820512820582</v>
      </c>
      <c r="FE80" s="12">
        <f>IF('Données projet'!$A$218&gt;35,FE79+FD80-FM79,IF(A80&lt;'Données projet'!$A$218,$FB$205^A80,IF(A80='Données projet'!$A$218,'Données projet'!$B$218,FE79+FD80-FM79)))</f>
        <v>127.17948717948713</v>
      </c>
      <c r="FF80" s="17">
        <f>FE80*VLOOKUP('Données projet'!$B$16,Paramètres!$A$1:$I$89,3,0)*VLOOKUP('Données projet'!$B$16,Paramètres!$A$1:$I$89,5,0)</f>
        <v>132.92799999999994</v>
      </c>
      <c r="FG80" s="13">
        <f t="shared" si="101"/>
        <v>34.67205462685105</v>
      </c>
      <c r="FH80" s="20">
        <f t="shared" si="76"/>
        <v>291.90342847509879</v>
      </c>
      <c r="FI80" s="59">
        <f t="shared" si="77"/>
        <v>585.23676180843211</v>
      </c>
      <c r="FJ80" s="59">
        <f ca="1">AVERAGE(OFFSET($FI$3,0,0,'Données projet'!$E$16+1,1))-AVERAGE(OFFSET($H$3,0,0,'Données projet'!$E$16+1,1))</f>
        <v>239.26156489359892</v>
      </c>
      <c r="FK80" s="59">
        <f t="shared" si="102"/>
        <v>213.97034450798111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1.1321818168435727</v>
      </c>
      <c r="FR80" s="21">
        <f>EXP(-LN(2)/25)*FR79+(1-EXP(-LN(2)/25))/(LN(2)/25)*Calculateur!FM80*Calculateur!FO80*VLOOKUP('Données projet'!$B$16,Paramètres!$A$1:$I$89,3,0)*0.475*44/12</f>
        <v>15.625273483784945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16.757455300628518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9.4837500000000006</v>
      </c>
      <c r="N81" s="13">
        <f>IF('Données projet'!$A$36&gt;35,N80+M81-V80,IF(A81&lt;'Données projet'!$A$36,$K$205^A81,IF(A81='Données projet'!$A$36,'Données projet'!$B$36,N80+M81-V80)))</f>
        <v>258.69124999999997</v>
      </c>
      <c r="O81" s="13">
        <f>N81*VLOOKUP('Données projet'!$B$9,Paramètres!$A$1:$I$89,3,0)*VLOOKUP('Données projet'!$B$9,Paramètres!$A$1:$I$89,5,0)</f>
        <v>246.17059349999994</v>
      </c>
      <c r="P81" s="13">
        <f t="shared" si="87"/>
        <v>59.765195857244478</v>
      </c>
      <c r="Q81" s="20">
        <f t="shared" si="54"/>
        <v>532.83816646386731</v>
      </c>
      <c r="R81" s="59">
        <f t="shared" si="55"/>
        <v>826.17149979720057</v>
      </c>
      <c r="S81" s="59">
        <f ca="1">AVERAGE(OFFSET($R$3,0,0,'Données projet'!$E$9+1,1))-AVERAGE(OFFSET($H$3,0,0,'Données projet'!$E$9+1,1))</f>
        <v>449.28947235329758</v>
      </c>
      <c r="T81" s="59">
        <f t="shared" si="88"/>
        <v>289.36994109443964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20.65464779437033</v>
      </c>
      <c r="AA81" s="21">
        <f>EXP(-LN(2)/25)*AA80+(1-EXP(-LN(2)/25))/(LN(2)/25)*Calculateur!V81*Calculateur!X81*VLOOKUP('Données projet'!$B$9,Paramètres!$A$1:$I$89,3,0)*0.475*44/12</f>
        <v>25.134597492293864</v>
      </c>
      <c r="AB81" s="21">
        <f>EXP(-LN(2)/2)*AB80+(1-EXP(-LN(2)/2))/(LN(2)/2)*V81*Y81*VLOOKUP('Données projet'!$B$9,Paramètres!$A$1:$I$89,3,0)*0.475*44/12</f>
        <v>1.4716892389071907</v>
      </c>
      <c r="AC81" s="22">
        <f t="shared" si="57"/>
        <v>47.260934525571386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9.7839999999999971</v>
      </c>
      <c r="AI81" s="13">
        <f>IF('Données projet'!$A$62&gt;35,AI80+AH81-AQ80,IF(A81&lt;'Données projet'!$A$62,$AF$205^A81,IF(A81='Données projet'!$A$62,'Données projet'!$B$62,AI80+AH81-AQ80)))</f>
        <v>500.4619999999997</v>
      </c>
      <c r="AJ81" s="13">
        <f>AI81*VLOOKUP('Données projet'!$B$10,Paramètres!$A$1:$I$89,3,0)*VLOOKUP('Données projet'!$B$10,Paramètres!$A$1:$I$89,5,0)</f>
        <v>299.27627599999983</v>
      </c>
      <c r="AK81" s="13">
        <f t="shared" si="89"/>
        <v>71.024721805685132</v>
      </c>
      <c r="AL81" s="20">
        <f t="shared" si="58"/>
        <v>644.94090451156796</v>
      </c>
      <c r="AM81" s="59">
        <f t="shared" si="59"/>
        <v>938.27423784490134</v>
      </c>
      <c r="AN81" s="59">
        <f ca="1">AVERAGE(OFFSET($AM$3,0,0,'Données projet'!$E$10+1,1))-AVERAGE(OFFSET($H$3,0,0,'Données projet'!$E$10+1,1))</f>
        <v>349.71285006949597</v>
      </c>
      <c r="AO81" s="59">
        <f t="shared" si="90"/>
        <v>258.51550516456842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43.57599548488573</v>
      </c>
      <c r="AV81" s="21">
        <f>EXP(-LN(2)/25)*AV80+(1-EXP(-LN(2)/25))/(LN(2)/25)*Calculateur!AQ81*Calculateur!AS81*VLOOKUP('Données projet'!$B$10,Paramètres!$A$1:$I$89,3,0)*0.475*44/12</f>
        <v>15.604391754457016</v>
      </c>
      <c r="AW81" s="21">
        <f>EXP(-LN(2)/2)*AW80+(1-EXP(-LN(2)/2))/(LN(2)/2)*AQ81*AT81*VLOOKUP('Données projet'!$B$10,Paramètres!$A$1:$I$89,3,0)*0.475*44/12</f>
        <v>0.59357860791836148</v>
      </c>
      <c r="AX81" s="21">
        <f t="shared" si="60"/>
        <v>59.77396584726111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1.1368683772161603E-13</v>
      </c>
      <c r="BE81" s="13">
        <f>BD81*VLOOKUP('Données projet'!$B$11,Paramètres!$A$1:$I$89,3,0)*VLOOKUP('Données projet'!$B$11,Paramètres!$A$1:$I$89,5,0)</f>
        <v>6.7984728957526396E-14</v>
      </c>
      <c r="BF81" s="13">
        <f t="shared" si="91"/>
        <v>1.0682447123141398E-12</v>
      </c>
      <c r="BG81" s="20">
        <f t="shared" si="61"/>
        <v>1.978932943548152E-12</v>
      </c>
      <c r="BH81" s="59">
        <f t="shared" si="62"/>
        <v>293.3333333333353</v>
      </c>
      <c r="BI81" s="59">
        <f ca="1">AVERAGE(OFFSET($BH$3,0,0,'Données projet'!$E$11+1,1))-AVERAGE(OFFSET($H$3,0,0,'Données projet'!$E$11+1,1))</f>
        <v>302.00825291248458</v>
      </c>
      <c r="BJ81" s="59">
        <f t="shared" si="92"/>
        <v>307.35115839449355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97.227747047274619</v>
      </c>
      <c r="BQ81" s="21">
        <f>EXP(-LN(2)/25)*BQ80+(1-EXP(-LN(2)/25))/(LN(2)/25)*Calculateur!BL81*Calculateur!BN81*VLOOKUP('Données projet'!$B$11,Paramètres!$A$1:$I$89,3,0)*0.475*44/12</f>
        <v>29.408114433158367</v>
      </c>
      <c r="BR81" s="21">
        <f>EXP(-LN(2)/2)*BR80+(1-EXP(-LN(2)/2))/(LN(2)/2)*BL81*BO81*VLOOKUP('Données projet'!$B$11,Paramètres!$A$1:$I$89,3,0)*0.475*44/12</f>
        <v>0.1171121930143622</v>
      </c>
      <c r="BS81" s="22">
        <f t="shared" si="63"/>
        <v>126.75297367344736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11.117500000000001</v>
      </c>
      <c r="BY81" s="12">
        <f>IF('Données projet'!$A$114&gt;35,BY80+BX81-CG80,IF(A81&lt;'Données projet'!$A$114,$BV$205^A81,IF(A81='Données projet'!$A$114,'Données projet'!$B$114,BY80+BX81-CG80)))</f>
        <v>347.33749999999992</v>
      </c>
      <c r="BZ81" s="13">
        <f>BY81*VLOOKUP('Données projet'!$B$12,Paramètres!$A$1:$I$89,3,0)*VLOOKUP('Données projet'!$B$12,Paramètres!$A$1:$I$89,5,0)</f>
        <v>162.55394999999996</v>
      </c>
      <c r="CA81" s="13">
        <f t="shared" si="93"/>
        <v>41.418033959800411</v>
      </c>
      <c r="CB81" s="20">
        <f t="shared" si="64"/>
        <v>355.25120539665227</v>
      </c>
      <c r="CC81" s="59">
        <f t="shared" si="65"/>
        <v>648.58453872998552</v>
      </c>
      <c r="CD81" s="59">
        <f ca="1">AVERAGE(OFFSET($CC$3,0,0,'Données projet'!$E$12+1,1))-AVERAGE(OFFSET($H$3,0,0,'Données projet'!$E$12+1,1))</f>
        <v>337.10499990421835</v>
      </c>
      <c r="CE81" s="59">
        <f t="shared" si="94"/>
        <v>277.4254079562175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42.685481545322453</v>
      </c>
      <c r="CL81" s="21">
        <f>EXP(-LN(2)/25)*CL80+(1-EXP(-LN(2)/25))/(LN(2)/25)*Calculateur!CG81*Calculateur!CI81*VLOOKUP('Données projet'!$B$12,Paramètres!$A$1:$I$89,3,0)*0.475*44/12</f>
        <v>20.772351757761818</v>
      </c>
      <c r="CM81" s="21">
        <f>EXP(-LN(2)/2)*CM80+(1-EXP(-LN(2)/2))/(LN(2)/2)*CG81*CJ81*VLOOKUP('Données projet'!$B$12,Paramètres!$A$1:$I$89,3,0)*0.475*44/12</f>
        <v>1.966631061197684</v>
      </c>
      <c r="CN81" s="22">
        <f t="shared" si="66"/>
        <v>65.42446436428196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6.7444444444444462</v>
      </c>
      <c r="CT81" s="12">
        <f>IF('Données projet'!$A$140&gt;35,CT80+CS81-DB80,IF(A81&lt;'Données projet'!$A$140,$CQ$205^A81,IF(A81='Données projet'!$A$140,'Données projet'!$B$140,CT80+CS81-DB80)))</f>
        <v>175.31444444444446</v>
      </c>
      <c r="CU81" s="17">
        <f>CT81*VLOOKUP('Données projet'!$B$13,Paramètres!$A$1:$I$89,3,0)*VLOOKUP('Données projet'!$B$13,Paramètres!$A$1:$I$89,5,0)</f>
        <v>175.03394133333336</v>
      </c>
      <c r="CV81" s="13">
        <f t="shared" si="95"/>
        <v>44.21553706318808</v>
      </c>
      <c r="CW81" s="20">
        <f t="shared" si="67"/>
        <v>381.85950820727481</v>
      </c>
      <c r="CX81" s="59">
        <f t="shared" si="68"/>
        <v>675.19284154060813</v>
      </c>
      <c r="CY81" s="59">
        <f ca="1">AVERAGE(OFFSET($CX$3,0,0,'Données projet'!$E$13+1,1))-AVERAGE(OFFSET($H$3,0,0,'Données projet'!$E$13+1,1))</f>
        <v>525.74725170626471</v>
      </c>
      <c r="CZ81" s="59">
        <f t="shared" si="96"/>
        <v>259.19103598192197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41.659061000927558</v>
      </c>
      <c r="DH81" s="21">
        <f>EXP(-LN(2)/2)*DH80+(1-EXP(-LN(2)/2))/(LN(2)/2)*DB81*DE81*VLOOKUP('Données projet'!$B$13,Paramètres!$A$1:$I$89,3,0)*0.475*44/12</f>
        <v>4.901217415282856</v>
      </c>
      <c r="DI81" s="22">
        <f t="shared" si="69"/>
        <v>46.560278416210416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8.0188888888888883</v>
      </c>
      <c r="DO81" s="12">
        <f>IF('Données projet'!$A$166&gt;35,DO80+DN81-DW80,IF(A81&lt;'Données projet'!$A$166,$DL$205^A81,IF(A81='Données projet'!$A$166,'Données projet'!$B$166,DO80+DN81-DW80)))</f>
        <v>235.65666666666695</v>
      </c>
      <c r="DP81" s="17">
        <f>DO81*VLOOKUP('Données projet'!$B$14,Paramètres!$A$1:$I$89,3,0)*VLOOKUP('Données projet'!$B$14,Paramètres!$A$1:$I$89,5,0)</f>
        <v>213.22215200000025</v>
      </c>
      <c r="DQ81" s="13">
        <f t="shared" si="97"/>
        <v>52.639081762048846</v>
      </c>
      <c r="DR81" s="20">
        <f t="shared" si="70"/>
        <v>463.04164880223556</v>
      </c>
      <c r="DS81" s="59">
        <f t="shared" si="71"/>
        <v>756.37498213556887</v>
      </c>
      <c r="DT81" s="59">
        <f ca="1">AVERAGE(OFFSET($DS$3,0,0,'Données projet'!$E$14+1,1))-AVERAGE(OFFSET($H$3,0,0,'Données projet'!$E$14+1,1))</f>
        <v>490.06222615476065</v>
      </c>
      <c r="DU81" s="59">
        <f t="shared" si="98"/>
        <v>310.43914804089906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16.938864594348264</v>
      </c>
      <c r="EB81" s="21">
        <f>EXP(-LN(2)/25)*EB80+(1-EXP(-LN(2)/25))/(LN(2)/25)*Calculateur!DW81*Calculateur!DY81*VLOOKUP('Données projet'!$B$14,Paramètres!$A$1:$I$89,3,0)*0.475*44/12</f>
        <v>27.016434125808662</v>
      </c>
      <c r="EC81" s="21">
        <f>EXP(-LN(2)/2)*EC80+(1-EXP(-LN(2)/2))/(LN(2)/2)*DW81*DZ81*VLOOKUP('Données projet'!$B$14,Paramètres!$A$1:$I$89,3,0)*0.475*44/12</f>
        <v>1.3969823649213748</v>
      </c>
      <c r="ED81" s="22">
        <f t="shared" si="72"/>
        <v>45.352281085078303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6.7444444444444462</v>
      </c>
      <c r="EJ81" s="12">
        <f>IF('Données projet'!$A$192&gt;35,EJ80+EI81-ER80,IF(A81&lt;'Données projet'!$A$192,$EG$205^A81,IF(A81='Données projet'!$A$192,'Données projet'!$B$192,EJ80+EI81-ER80)))</f>
        <v>175.31444444444446</v>
      </c>
      <c r="EK81" s="17">
        <f>EJ81*VLOOKUP('Données projet'!$B$15,Paramètres!$A$1:$I$89,3,0)*VLOOKUP('Données projet'!$B$15,Paramètres!$A$1:$I$89,5,0)</f>
        <v>177.76884666666669</v>
      </c>
      <c r="EL81" s="13">
        <f t="shared" si="99"/>
        <v>44.825435894521945</v>
      </c>
      <c r="EM81" s="20">
        <f t="shared" si="73"/>
        <v>387.68504212740351</v>
      </c>
      <c r="EN81" s="59">
        <f t="shared" si="74"/>
        <v>681.01837546073682</v>
      </c>
      <c r="EO81" s="59">
        <f ca="1">AVERAGE(OFFSET($EN$3,0,0,'Données projet'!$E$15+1,1))-AVERAGE(OFFSET($H$3,0,0,'Données projet'!$E$15+1,1))</f>
        <v>533.26035274112917</v>
      </c>
      <c r="EP81" s="59">
        <f t="shared" si="100"/>
        <v>262.58149402282521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42.30998382906705</v>
      </c>
      <c r="EX81" s="21">
        <f>EXP(-LN(2)/2)*EX80+(1-EXP(-LN(2)/2))/(LN(2)/2)*ER81*EU81*VLOOKUP('Données projet'!$B$15,Paramètres!$A$1:$I$89,3,0)*0.475*44/12</f>
        <v>4.97779893739665</v>
      </c>
      <c r="EY81" s="22">
        <f t="shared" si="75"/>
        <v>47.2877827664637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2.0512820512820582</v>
      </c>
      <c r="FE81" s="12">
        <f>IF('Données projet'!$A$218&gt;35,FE80+FD81-FM80,IF(A81&lt;'Données projet'!$A$218,$FB$205^A81,IF(A81='Données projet'!$A$218,'Données projet'!$B$218,FE80+FD81-FM80)))</f>
        <v>129.23076923076917</v>
      </c>
      <c r="FF81" s="17">
        <f>FE81*VLOOKUP('Données projet'!$B$16,Paramètres!$A$1:$I$89,3,0)*VLOOKUP('Données projet'!$B$16,Paramètres!$A$1:$I$89,5,0)</f>
        <v>135.07199999999995</v>
      </c>
      <c r="FG81" s="13">
        <f t="shared" si="101"/>
        <v>35.165726241361632</v>
      </c>
      <c r="FH81" s="20">
        <f t="shared" si="76"/>
        <v>296.49737320370468</v>
      </c>
      <c r="FI81" s="59">
        <f t="shared" si="77"/>
        <v>589.83070653703794</v>
      </c>
      <c r="FJ81" s="59">
        <f ca="1">AVERAGE(OFFSET($FI$3,0,0,'Données projet'!$E$16+1,1))-AVERAGE(OFFSET($H$3,0,0,'Données projet'!$E$16+1,1))</f>
        <v>239.26156489359892</v>
      </c>
      <c r="FK81" s="59">
        <f t="shared" si="102"/>
        <v>213.97034450798111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1.1099804219779912</v>
      </c>
      <c r="FR81" s="21">
        <f>EXP(-LN(2)/25)*FR80+(1-EXP(-LN(2)/25))/(LN(2)/25)*Calculateur!FM81*Calculateur!FO81*VLOOKUP('Données projet'!$B$16,Paramètres!$A$1:$I$89,3,0)*0.475*44/12</f>
        <v>15.197999558673425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16.307979980651417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9.4837500000000006</v>
      </c>
      <c r="N82" s="13">
        <f>IF('Données projet'!$A$36&gt;35,N81+M82-V81,IF(A82&lt;'Données projet'!$A$36,$K$205^A82,IF(A82='Données projet'!$A$36,'Données projet'!$B$36,N81+M82-V81)))</f>
        <v>268.17499999999995</v>
      </c>
      <c r="O82" s="13">
        <f>N82*VLOOKUP('Données projet'!$B$9,Paramètres!$A$1:$I$89,3,0)*VLOOKUP('Données projet'!$B$9,Paramètres!$A$1:$I$89,5,0)</f>
        <v>255.19532999999996</v>
      </c>
      <c r="P82" s="13">
        <f t="shared" si="87"/>
        <v>61.697107330819122</v>
      </c>
      <c r="Q82" s="20">
        <f t="shared" si="54"/>
        <v>551.92099501784321</v>
      </c>
      <c r="R82" s="59">
        <f t="shared" si="55"/>
        <v>845.25432835117658</v>
      </c>
      <c r="S82" s="59">
        <f ca="1">AVERAGE(OFFSET($R$3,0,0,'Données projet'!$E$9+1,1))-AVERAGE(OFFSET($H$3,0,0,'Données projet'!$E$9+1,1))</f>
        <v>449.28947235329758</v>
      </c>
      <c r="T82" s="59">
        <f t="shared" si="88"/>
        <v>289.36994109443964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20.249622749213923</v>
      </c>
      <c r="AA82" s="21">
        <f>EXP(-LN(2)/25)*AA81+(1-EXP(-LN(2)/25))/(LN(2)/25)*Calculateur!V82*Calculateur!X82*VLOOKUP('Données projet'!$B$9,Paramètres!$A$1:$I$89,3,0)*0.475*44/12</f>
        <v>24.44729060209605</v>
      </c>
      <c r="AB82" s="21">
        <f>EXP(-LN(2)/2)*AB81+(1-EXP(-LN(2)/2))/(LN(2)/2)*V82*Y82*VLOOKUP('Données projet'!$B$9,Paramètres!$A$1:$I$89,3,0)*0.475*44/12</f>
        <v>1.0406414406305435</v>
      </c>
      <c r="AC82" s="22">
        <f t="shared" si="57"/>
        <v>45.737554791940518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9.7839999999999971</v>
      </c>
      <c r="AI82" s="13">
        <f>IF('Données projet'!$A$62&gt;35,AI81+AH82-AQ81,IF(A82&lt;'Données projet'!$A$62,$AF$205^A82,IF(A82='Données projet'!$A$62,'Données projet'!$B$62,AI81+AH82-AQ81)))</f>
        <v>510.2459999999997</v>
      </c>
      <c r="AJ82" s="13">
        <f>AI82*VLOOKUP('Données projet'!$B$10,Paramètres!$A$1:$I$89,3,0)*VLOOKUP('Données projet'!$B$10,Paramètres!$A$1:$I$89,5,0)</f>
        <v>305.12710799999985</v>
      </c>
      <c r="AK82" s="13">
        <f t="shared" si="89"/>
        <v>72.25023988738603</v>
      </c>
      <c r="AL82" s="20">
        <f t="shared" si="58"/>
        <v>657.26554757053043</v>
      </c>
      <c r="AM82" s="59">
        <f t="shared" si="59"/>
        <v>950.5988809038638</v>
      </c>
      <c r="AN82" s="59">
        <f ca="1">AVERAGE(OFFSET($AM$3,0,0,'Données projet'!$E$10+1,1))-AVERAGE(OFFSET($H$3,0,0,'Données projet'!$E$10+1,1))</f>
        <v>349.71285006949597</v>
      </c>
      <c r="AO82" s="59">
        <f t="shared" si="90"/>
        <v>258.51550516456842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42.721496792159932</v>
      </c>
      <c r="AV82" s="21">
        <f>EXP(-LN(2)/25)*AV81+(1-EXP(-LN(2)/25))/(LN(2)/25)*Calculateur!AQ82*Calculateur!AS82*VLOOKUP('Données projet'!$B$10,Paramètres!$A$1:$I$89,3,0)*0.475*44/12</f>
        <v>15.17768884133209</v>
      </c>
      <c r="AW82" s="21">
        <f>EXP(-LN(2)/2)*AW81+(1-EXP(-LN(2)/2))/(LN(2)/2)*AQ82*AT82*VLOOKUP('Données projet'!$B$10,Paramètres!$A$1:$I$89,3,0)*0.475*44/12</f>
        <v>0.41972345882634432</v>
      </c>
      <c r="AX82" s="21">
        <f t="shared" si="60"/>
        <v>58.318909092318371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1.1368683772161603E-13</v>
      </c>
      <c r="BE82" s="13">
        <f>BD82*VLOOKUP('Données projet'!$B$11,Paramètres!$A$1:$I$89,3,0)*VLOOKUP('Données projet'!$B$11,Paramètres!$A$1:$I$89,5,0)</f>
        <v>6.7984728957526396E-14</v>
      </c>
      <c r="BF82" s="13">
        <f t="shared" si="91"/>
        <v>1.0682447123141398E-12</v>
      </c>
      <c r="BG82" s="20">
        <f t="shared" si="61"/>
        <v>1.978932943548152E-12</v>
      </c>
      <c r="BH82" s="59">
        <f t="shared" si="62"/>
        <v>293.3333333333353</v>
      </c>
      <c r="BI82" s="59">
        <f ca="1">AVERAGE(OFFSET($BH$3,0,0,'Données projet'!$E$11+1,1))-AVERAGE(OFFSET($H$3,0,0,'Données projet'!$E$11+1,1))</f>
        <v>302.00825291248458</v>
      </c>
      <c r="BJ82" s="59">
        <f t="shared" si="92"/>
        <v>307.35115839449355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95.321170230747569</v>
      </c>
      <c r="BQ82" s="21">
        <f>EXP(-LN(2)/25)*BQ81+(1-EXP(-LN(2)/25))/(LN(2)/25)*Calculateur!BL82*Calculateur!BN82*VLOOKUP('Données projet'!$B$11,Paramètres!$A$1:$I$89,3,0)*0.475*44/12</f>
        <v>28.603947997478127</v>
      </c>
      <c r="BR82" s="21">
        <f>EXP(-LN(2)/2)*BR81+(1-EXP(-LN(2)/2))/(LN(2)/2)*BL82*BO82*VLOOKUP('Données projet'!$B$11,Paramètres!$A$1:$I$89,3,0)*0.475*44/12</f>
        <v>8.2810825840083341E-2</v>
      </c>
      <c r="BS82" s="22">
        <f t="shared" si="63"/>
        <v>124.00792905406578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11.117500000000001</v>
      </c>
      <c r="BY82" s="12">
        <f>IF('Données projet'!$A$114&gt;35,BY81+BX82-CG81,IF(A82&lt;'Données projet'!$A$114,$BV$205^A82,IF(A82='Données projet'!$A$114,'Données projet'!$B$114,BY81+BX82-CG81)))</f>
        <v>358.45499999999993</v>
      </c>
      <c r="BZ82" s="13">
        <f>BY82*VLOOKUP('Données projet'!$B$12,Paramètres!$A$1:$I$89,3,0)*VLOOKUP('Données projet'!$B$12,Paramètres!$A$1:$I$89,5,0)</f>
        <v>167.75693999999999</v>
      </c>
      <c r="CA82" s="13">
        <f t="shared" si="93"/>
        <v>42.587265074910924</v>
      </c>
      <c r="CB82" s="20">
        <f t="shared" si="64"/>
        <v>366.34949050546987</v>
      </c>
      <c r="CC82" s="59">
        <f t="shared" si="65"/>
        <v>659.68282383880319</v>
      </c>
      <c r="CD82" s="59">
        <f ca="1">AVERAGE(OFFSET($CC$3,0,0,'Données projet'!$E$12+1,1))-AVERAGE(OFFSET($H$3,0,0,'Données projet'!$E$12+1,1))</f>
        <v>337.10499990421835</v>
      </c>
      <c r="CE82" s="59">
        <f t="shared" si="94"/>
        <v>277.4254079562175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41.84844528779162</v>
      </c>
      <c r="CL82" s="21">
        <f>EXP(-LN(2)/25)*CL81+(1-EXP(-LN(2)/25))/(LN(2)/25)*Calculateur!CG82*Calculateur!CI82*VLOOKUP('Données projet'!$B$12,Paramètres!$A$1:$I$89,3,0)*0.475*44/12</f>
        <v>20.20433070657532</v>
      </c>
      <c r="CM82" s="21">
        <f>EXP(-LN(2)/2)*CM81+(1-EXP(-LN(2)/2))/(LN(2)/2)*CG82*CJ82*VLOOKUP('Données projet'!$B$12,Paramètres!$A$1:$I$89,3,0)*0.475*44/12</f>
        <v>1.3906181594649787</v>
      </c>
      <c r="CN82" s="22">
        <f t="shared" si="66"/>
        <v>63.443394153831917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6.7444444444444462</v>
      </c>
      <c r="CT82" s="12">
        <f>IF('Données projet'!$A$140&gt;35,CT81+CS82-DB81,IF(A82&lt;'Données projet'!$A$140,$CQ$205^A82,IF(A82='Données projet'!$A$140,'Données projet'!$B$140,CT81+CS82-DB81)))</f>
        <v>182.0588888888889</v>
      </c>
      <c r="CU82" s="17">
        <f>CT82*VLOOKUP('Données projet'!$B$13,Paramètres!$A$1:$I$89,3,0)*VLOOKUP('Données projet'!$B$13,Paramètres!$A$1:$I$89,5,0)</f>
        <v>181.7675946666667</v>
      </c>
      <c r="CV82" s="13">
        <f t="shared" si="95"/>
        <v>45.715219475711415</v>
      </c>
      <c r="CW82" s="20">
        <f t="shared" si="67"/>
        <v>396.19923463130857</v>
      </c>
      <c r="CX82" s="59">
        <f t="shared" si="68"/>
        <v>689.53256796464188</v>
      </c>
      <c r="CY82" s="59">
        <f ca="1">AVERAGE(OFFSET($CX$3,0,0,'Données projet'!$E$13+1,1))-AVERAGE(OFFSET($H$3,0,0,'Données projet'!$E$13+1,1))</f>
        <v>525.74725170626471</v>
      </c>
      <c r="CZ82" s="59">
        <f t="shared" si="96"/>
        <v>259.19103598192197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40.519891787102388</v>
      </c>
      <c r="DH82" s="21">
        <f>EXP(-LN(2)/2)*DH81+(1-EXP(-LN(2)/2))/(LN(2)/2)*DB82*DE82*VLOOKUP('Données projet'!$B$13,Paramètres!$A$1:$I$89,3,0)*0.475*44/12</f>
        <v>3.4656840704161107</v>
      </c>
      <c r="DI82" s="22">
        <f t="shared" si="69"/>
        <v>43.985575857518498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8.0188888888888883</v>
      </c>
      <c r="DO82" s="12">
        <f>IF('Données projet'!$A$166&gt;35,DO81+DN82-DW81,IF(A82&lt;'Données projet'!$A$166,$DL$205^A82,IF(A82='Données projet'!$A$166,'Données projet'!$B$166,DO81+DN82-DW81)))</f>
        <v>243.67555555555583</v>
      </c>
      <c r="DP82" s="17">
        <f>DO82*VLOOKUP('Données projet'!$B$14,Paramètres!$A$1:$I$89,3,0)*VLOOKUP('Données projet'!$B$14,Paramètres!$A$1:$I$89,5,0)</f>
        <v>220.4776426666669</v>
      </c>
      <c r="DQ82" s="13">
        <f t="shared" si="97"/>
        <v>54.21868588718452</v>
      </c>
      <c r="DR82" s="20">
        <f t="shared" si="70"/>
        <v>478.42943889795788</v>
      </c>
      <c r="DS82" s="59">
        <f t="shared" si="71"/>
        <v>771.76277223129114</v>
      </c>
      <c r="DT82" s="59">
        <f ca="1">AVERAGE(OFFSET($DS$3,0,0,'Données projet'!$E$14+1,1))-AVERAGE(OFFSET($H$3,0,0,'Données projet'!$E$14+1,1))</f>
        <v>490.06222615476065</v>
      </c>
      <c r="DU82" s="59">
        <f t="shared" si="98"/>
        <v>310.43914804089906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16.606703791340326</v>
      </c>
      <c r="EB82" s="21">
        <f>EXP(-LN(2)/25)*EB81+(1-EXP(-LN(2)/25))/(LN(2)/25)*Calculateur!DW82*Calculateur!DY82*VLOOKUP('Données projet'!$B$14,Paramètres!$A$1:$I$89,3,0)*0.475*44/12</f>
        <v>26.277668313905899</v>
      </c>
      <c r="EC82" s="21">
        <f>EXP(-LN(2)/2)*EC81+(1-EXP(-LN(2)/2))/(LN(2)/2)*DW82*DZ82*VLOOKUP('Données projet'!$B$14,Paramètres!$A$1:$I$89,3,0)*0.475*44/12</f>
        <v>0.98781570343392433</v>
      </c>
      <c r="ED82" s="22">
        <f t="shared" si="72"/>
        <v>43.872187808680152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6.7444444444444462</v>
      </c>
      <c r="EJ82" s="12">
        <f>IF('Données projet'!$A$192&gt;35,EJ81+EI82-ER81,IF(A82&lt;'Données projet'!$A$192,$EG$205^A82,IF(A82='Données projet'!$A$192,'Données projet'!$B$192,EJ81+EI82-ER81)))</f>
        <v>182.0588888888889</v>
      </c>
      <c r="EK82" s="17">
        <f>EJ82*VLOOKUP('Données projet'!$B$15,Paramètres!$A$1:$I$89,3,0)*VLOOKUP('Données projet'!$B$15,Paramètres!$A$1:$I$89,5,0)</f>
        <v>184.60771333333335</v>
      </c>
      <c r="EL82" s="13">
        <f t="shared" si="99"/>
        <v>46.345804577336679</v>
      </c>
      <c r="EM82" s="20">
        <f t="shared" si="73"/>
        <v>402.24404369441692</v>
      </c>
      <c r="EN82" s="59">
        <f t="shared" si="74"/>
        <v>695.57737702775023</v>
      </c>
      <c r="EO82" s="59">
        <f ca="1">AVERAGE(OFFSET($EN$3,0,0,'Données projet'!$E$15+1,1))-AVERAGE(OFFSET($H$3,0,0,'Données projet'!$E$15+1,1))</f>
        <v>533.26035274112917</v>
      </c>
      <c r="EP82" s="59">
        <f t="shared" si="100"/>
        <v>262.58149402282521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41.153015096275865</v>
      </c>
      <c r="EX82" s="21">
        <f>EXP(-LN(2)/2)*EX81+(1-EXP(-LN(2)/2))/(LN(2)/2)*ER82*EU82*VLOOKUP('Données projet'!$B$15,Paramètres!$A$1:$I$89,3,0)*0.475*44/12</f>
        <v>3.5198353840163619</v>
      </c>
      <c r="EY82" s="22">
        <f t="shared" si="75"/>
        <v>44.672850480292226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2.0512820512820582</v>
      </c>
      <c r="FE82" s="12">
        <f>IF('Données projet'!$A$218&gt;35,FE81+FD82-FM81,IF(A82&lt;'Données projet'!$A$218,$FB$205^A82,IF(A82='Données projet'!$A$218,'Données projet'!$B$218,FE81+FD82-FM81)))</f>
        <v>131.28205128205121</v>
      </c>
      <c r="FF82" s="17">
        <f>FE82*VLOOKUP('Données projet'!$B$16,Paramètres!$A$1:$I$89,3,0)*VLOOKUP('Données projet'!$B$16,Paramètres!$A$1:$I$89,5,0)</f>
        <v>137.21599999999995</v>
      </c>
      <c r="FG82" s="13">
        <f t="shared" si="101"/>
        <v>35.658486540437423</v>
      </c>
      <c r="FH82" s="20">
        <f t="shared" si="76"/>
        <v>301.08973072459509</v>
      </c>
      <c r="FI82" s="59">
        <f t="shared" si="77"/>
        <v>594.4230640579284</v>
      </c>
      <c r="FJ82" s="59">
        <f ca="1">AVERAGE(OFFSET($FI$3,0,0,'Données projet'!$E$16+1,1))-AVERAGE(OFFSET($H$3,0,0,'Données projet'!$E$16+1,1))</f>
        <v>239.26156489359892</v>
      </c>
      <c r="FK82" s="59">
        <f t="shared" si="102"/>
        <v>213.97034450798111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1.0882143829242099</v>
      </c>
      <c r="FR82" s="21">
        <f>EXP(-LN(2)/25)*FR81+(1-EXP(-LN(2)/25))/(LN(2)/25)*Calculateur!FM82*Calculateur!FO82*VLOOKUP('Données projet'!$B$16,Paramètres!$A$1:$I$89,3,0)*0.475*44/12</f>
        <v>14.782409461513438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15.870623844437649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9.4837500000000006</v>
      </c>
      <c r="N83" s="13">
        <f>IF('Données projet'!$A$36&gt;35,N82+M83-V82,IF(A83&lt;'Données projet'!$A$36,$K$205^A83,IF(A83='Données projet'!$A$36,'Données projet'!$B$36,N82+M83-V82)))</f>
        <v>277.65874999999994</v>
      </c>
      <c r="O83" s="13">
        <f>N83*VLOOKUP('Données projet'!$B$9,Paramètres!$A$1:$I$89,3,0)*VLOOKUP('Données projet'!$B$9,Paramètres!$A$1:$I$89,5,0)</f>
        <v>264.22006649999997</v>
      </c>
      <c r="P83" s="13">
        <f t="shared" si="87"/>
        <v>63.621080932408354</v>
      </c>
      <c r="Q83" s="20">
        <f t="shared" si="54"/>
        <v>570.98999844477783</v>
      </c>
      <c r="R83" s="59">
        <f t="shared" si="55"/>
        <v>864.3233317781112</v>
      </c>
      <c r="S83" s="59">
        <f ca="1">AVERAGE(OFFSET($R$3,0,0,'Données projet'!$E$9+1,1))-AVERAGE(OFFSET($H$3,0,0,'Données projet'!$E$9+1,1))</f>
        <v>449.28947235329758</v>
      </c>
      <c r="T83" s="59">
        <f t="shared" si="88"/>
        <v>289.36994109443964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19.85253999815215</v>
      </c>
      <c r="AA83" s="21">
        <f>EXP(-LN(2)/25)*AA82+(1-EXP(-LN(2)/25))/(LN(2)/25)*Calculateur!V83*Calculateur!X83*VLOOKUP('Données projet'!$B$9,Paramètres!$A$1:$I$89,3,0)*0.475*44/12</f>
        <v>23.778778154954598</v>
      </c>
      <c r="AB83" s="21">
        <f>EXP(-LN(2)/2)*AB82+(1-EXP(-LN(2)/2))/(LN(2)/2)*V83*Y83*VLOOKUP('Données projet'!$B$9,Paramètres!$A$1:$I$89,3,0)*0.475*44/12</f>
        <v>0.73584461945359536</v>
      </c>
      <c r="AC83" s="22">
        <f t="shared" si="57"/>
        <v>44.367162772560341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520.03</v>
      </c>
      <c r="AG83" s="12">
        <f>VLOOKUP(A83,'Données projet'!$A$61:$I$81,9,0)</f>
        <v>9.7839999999999971</v>
      </c>
      <c r="AH83" s="12">
        <f t="array" ref="AH83">INDEX(AG:AG,MIN(IF(ISNUMBER(AG83:AG279),ROW(AG83:AG279),"")))</f>
        <v>9.7839999999999971</v>
      </c>
      <c r="AI83" s="13">
        <f>IF('Données projet'!$A$62&gt;35,AI82+AH83-AQ82,IF(A83&lt;'Données projet'!$A$62,$AF$205^A83,IF(A83='Données projet'!$A$62,'Données projet'!$B$62,AI82+AH83-AQ82)))</f>
        <v>520.02999999999975</v>
      </c>
      <c r="AJ83" s="13">
        <f>AI83*VLOOKUP('Données projet'!$B$10,Paramètres!$A$1:$I$89,3,0)*VLOOKUP('Données projet'!$B$10,Paramètres!$A$1:$I$89,5,0)</f>
        <v>310.97793999999988</v>
      </c>
      <c r="AK83" s="13">
        <f t="shared" si="89"/>
        <v>73.473025513598785</v>
      </c>
      <c r="AL83" s="20">
        <f t="shared" si="58"/>
        <v>669.58543160285092</v>
      </c>
      <c r="AM83" s="59">
        <f t="shared" si="59"/>
        <v>962.91876493618429</v>
      </c>
      <c r="AN83" s="59">
        <f ca="1">AVERAGE(OFFSET($AM$3,0,0,'Données projet'!$E$10+1,1))-AVERAGE(OFFSET($H$3,0,0,'Données projet'!$E$10+1,1))</f>
        <v>349.71285006949597</v>
      </c>
      <c r="AO83" s="59">
        <f t="shared" si="90"/>
        <v>258.51550516456842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520.03</v>
      </c>
      <c r="AR83" s="16">
        <f>IF(ISNA(VLOOKUP(A83,'Données projet'!$A$61:$I$81,5,0)),0%,VLOOKUP(A83,'Données projet'!$A$61:$I$81,5,0)*VLOOKUP('Données projet'!$B$10,Paramètres!$A$1:$I$89,7,0))</f>
        <v>0.27</v>
      </c>
      <c r="AS83" s="16">
        <f>IF(ISNA(VLOOKUP(A83,'Données projet'!$A$61:$I$81,6,0)),0%,VLOOKUP(A83,'Données projet'!$A$61:$I$81,6,0)*VLOOKUP('Données projet'!$B$10,Paramètres!$A$1:$I$89,7,0))</f>
        <v>9.0000000000000011E-2</v>
      </c>
      <c r="AT83" s="16">
        <f>IF(ISNA(VLOOKUP(A83,'Données projet'!$A$61:$I$81,7,0)),0%,VLOOKUP(A83,'Données projet'!$A$61:$I$81,7,0))</f>
        <v>0.2</v>
      </c>
      <c r="AU83" s="21">
        <f>EXP(-LN(2)/35)*AU82+(1-EXP(-LN(2)/35))/(LN(2)/35)*AQ83*AR83*VLOOKUP('Données projet'!$B$10,Paramètres!$A$1:$I$89,3,0)*0.475*44/12</f>
        <v>153.26747033765446</v>
      </c>
      <c r="AV83" s="21">
        <f>EXP(-LN(2)/25)*AV82+(1-EXP(-LN(2)/25))/(LN(2)/25)*Calculateur!AQ83*Calculateur!AS83*VLOOKUP('Données projet'!$B$10,Paramètres!$A$1:$I$89,3,0)*0.475*44/12</f>
        <v>51.744372778297887</v>
      </c>
      <c r="AW83" s="21">
        <f>EXP(-LN(2)/2)*AW82+(1-EXP(-LN(2)/2))/(LN(2)/2)*AQ83*AT83*VLOOKUP('Données projet'!$B$10,Paramètres!$A$1:$I$89,3,0)*0.475*44/12</f>
        <v>70.716642801208678</v>
      </c>
      <c r="AX83" s="21">
        <f t="shared" si="60"/>
        <v>275.72848591716104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1.1368683772161603E-13</v>
      </c>
      <c r="BE83" s="13">
        <f>BD83*VLOOKUP('Données projet'!$B$11,Paramètres!$A$1:$I$89,3,0)*VLOOKUP('Données projet'!$B$11,Paramètres!$A$1:$I$89,5,0)</f>
        <v>6.7984728957526396E-14</v>
      </c>
      <c r="BF83" s="13">
        <f t="shared" si="91"/>
        <v>1.0682447123141398E-12</v>
      </c>
      <c r="BG83" s="20">
        <f t="shared" si="61"/>
        <v>1.978932943548152E-12</v>
      </c>
      <c r="BH83" s="59">
        <f t="shared" si="62"/>
        <v>293.3333333333353</v>
      </c>
      <c r="BI83" s="59">
        <f ca="1">AVERAGE(OFFSET($BH$3,0,0,'Données projet'!$E$11+1,1))-AVERAGE(OFFSET($H$3,0,0,'Données projet'!$E$11+1,1))</f>
        <v>302.00825291248458</v>
      </c>
      <c r="BJ83" s="59">
        <f t="shared" si="92"/>
        <v>307.35115839449355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93.451980222695582</v>
      </c>
      <c r="BQ83" s="21">
        <f>EXP(-LN(2)/25)*BQ82+(1-EXP(-LN(2)/25))/(LN(2)/25)*Calculateur!BL83*Calculateur!BN83*VLOOKUP('Données projet'!$B$11,Paramètres!$A$1:$I$89,3,0)*0.475*44/12</f>
        <v>27.821771535270837</v>
      </c>
      <c r="BR83" s="21">
        <f>EXP(-LN(2)/2)*BR82+(1-EXP(-LN(2)/2))/(LN(2)/2)*BL83*BO83*VLOOKUP('Données projet'!$B$11,Paramètres!$A$1:$I$89,3,0)*0.475*44/12</f>
        <v>5.8556096507181112E-2</v>
      </c>
      <c r="BS83" s="22">
        <f t="shared" si="63"/>
        <v>121.3323078544736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11.117500000000001</v>
      </c>
      <c r="BY83" s="12">
        <f>IF('Données projet'!$A$114&gt;35,BY82+BX83-CG82,IF(A83&lt;'Données projet'!$A$114,$BV$205^A83,IF(A83='Données projet'!$A$114,'Données projet'!$B$114,BY82+BX83-CG82)))</f>
        <v>369.57249999999993</v>
      </c>
      <c r="BZ83" s="13">
        <f>BY83*VLOOKUP('Données projet'!$B$12,Paramètres!$A$1:$I$89,3,0)*VLOOKUP('Données projet'!$B$12,Paramètres!$A$1:$I$89,5,0)</f>
        <v>172.95992999999996</v>
      </c>
      <c r="CA83" s="13">
        <f t="shared" si="93"/>
        <v>43.752281984506958</v>
      </c>
      <c r="CB83" s="20">
        <f t="shared" si="64"/>
        <v>377.44043587301621</v>
      </c>
      <c r="CC83" s="59">
        <f t="shared" si="65"/>
        <v>670.77376920634947</v>
      </c>
      <c r="CD83" s="59">
        <f ca="1">AVERAGE(OFFSET($CC$3,0,0,'Données projet'!$E$12+1,1))-AVERAGE(OFFSET($H$3,0,0,'Données projet'!$E$12+1,1))</f>
        <v>337.10499990421835</v>
      </c>
      <c r="CE83" s="59">
        <f t="shared" si="94"/>
        <v>277.4254079562175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41.027822800729261</v>
      </c>
      <c r="CL83" s="21">
        <f>EXP(-LN(2)/25)*CL82+(1-EXP(-LN(2)/25))/(LN(2)/25)*Calculateur!CG83*Calculateur!CI83*VLOOKUP('Données projet'!$B$12,Paramètres!$A$1:$I$89,3,0)*0.475*44/12</f>
        <v>19.651842220904442</v>
      </c>
      <c r="CM83" s="21">
        <f>EXP(-LN(2)/2)*CM82+(1-EXP(-LN(2)/2))/(LN(2)/2)*CG83*CJ83*VLOOKUP('Données projet'!$B$12,Paramètres!$A$1:$I$89,3,0)*0.475*44/12</f>
        <v>0.98331553059884225</v>
      </c>
      <c r="CN83" s="22">
        <f t="shared" si="66"/>
        <v>61.662980552232547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6.7444444444444462</v>
      </c>
      <c r="CT83" s="12">
        <f>IF('Données projet'!$A$140&gt;35,CT82+CS83-DB82,IF(A83&lt;'Données projet'!$A$140,$CQ$205^A83,IF(A83='Données projet'!$A$140,'Données projet'!$B$140,CT82+CS83-DB82)))</f>
        <v>188.80333333333334</v>
      </c>
      <c r="CU83" s="17">
        <f>CT83*VLOOKUP('Données projet'!$B$13,Paramètres!$A$1:$I$89,3,0)*VLOOKUP('Données projet'!$B$13,Paramètres!$A$1:$I$89,5,0)</f>
        <v>188.50124800000003</v>
      </c>
      <c r="CV83" s="13">
        <f t="shared" si="95"/>
        <v>47.208447493996552</v>
      </c>
      <c r="CW83" s="20">
        <f t="shared" si="67"/>
        <v>410.52771965204397</v>
      </c>
      <c r="CX83" s="59">
        <f t="shared" si="68"/>
        <v>703.86105298537723</v>
      </c>
      <c r="CY83" s="59">
        <f ca="1">AVERAGE(OFFSET($CX$3,0,0,'Données projet'!$E$13+1,1))-AVERAGE(OFFSET($H$3,0,0,'Données projet'!$E$13+1,1))</f>
        <v>525.74725170626471</v>
      </c>
      <c r="CZ83" s="59">
        <f t="shared" si="96"/>
        <v>259.19103598192197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39.411873215335575</v>
      </c>
      <c r="DH83" s="21">
        <f>EXP(-LN(2)/2)*DH82+(1-EXP(-LN(2)/2))/(LN(2)/2)*DB83*DE83*VLOOKUP('Données projet'!$B$13,Paramètres!$A$1:$I$89,3,0)*0.475*44/12</f>
        <v>2.4506087076414285</v>
      </c>
      <c r="DI83" s="22">
        <f t="shared" si="69"/>
        <v>41.862481922977004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8.0188888888888883</v>
      </c>
      <c r="DO83" s="12">
        <f>IF('Données projet'!$A$166&gt;35,DO82+DN83-DW82,IF(A83&lt;'Données projet'!$A$166,$DL$205^A83,IF(A83='Données projet'!$A$166,'Données projet'!$B$166,DO82+DN83-DW82)))</f>
        <v>251.69444444444471</v>
      </c>
      <c r="DP83" s="17">
        <f>DO83*VLOOKUP('Données projet'!$B$14,Paramètres!$A$1:$I$89,3,0)*VLOOKUP('Données projet'!$B$14,Paramètres!$A$1:$I$89,5,0)</f>
        <v>227.73313333333357</v>
      </c>
      <c r="DQ83" s="13">
        <f t="shared" si="97"/>
        <v>55.792249764284776</v>
      </c>
      <c r="DR83" s="20">
        <f t="shared" si="70"/>
        <v>493.80670889501863</v>
      </c>
      <c r="DS83" s="59">
        <f t="shared" si="71"/>
        <v>787.14004222835194</v>
      </c>
      <c r="DT83" s="59">
        <f ca="1">AVERAGE(OFFSET($DS$3,0,0,'Données projet'!$E$14+1,1))-AVERAGE(OFFSET($H$3,0,0,'Données projet'!$E$14+1,1))</f>
        <v>490.06222615476065</v>
      </c>
      <c r="DU83" s="59">
        <f t="shared" si="98"/>
        <v>310.43914804089906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16.281056459081292</v>
      </c>
      <c r="EB83" s="21">
        <f>EXP(-LN(2)/25)*EB82+(1-EXP(-LN(2)/25))/(LN(2)/25)*Calculateur!DW83*Calculateur!DY83*VLOOKUP('Données projet'!$B$14,Paramètres!$A$1:$I$89,3,0)*0.475*44/12</f>
        <v>25.559104091979624</v>
      </c>
      <c r="EC83" s="21">
        <f>EXP(-LN(2)/2)*EC82+(1-EXP(-LN(2)/2))/(LN(2)/2)*DW83*DZ83*VLOOKUP('Données projet'!$B$14,Paramètres!$A$1:$I$89,3,0)*0.475*44/12</f>
        <v>0.69849118246068753</v>
      </c>
      <c r="ED83" s="22">
        <f t="shared" si="72"/>
        <v>42.538651733521604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6.7444444444444462</v>
      </c>
      <c r="EJ83" s="12">
        <f>IF('Données projet'!$A$192&gt;35,EJ82+EI83-ER82,IF(A83&lt;'Données projet'!$A$192,$EG$205^A83,IF(A83='Données projet'!$A$192,'Données projet'!$B$192,EJ82+EI83-ER82)))</f>
        <v>188.80333333333334</v>
      </c>
      <c r="EK83" s="17">
        <f>EJ83*VLOOKUP('Données projet'!$B$15,Paramètres!$A$1:$I$89,3,0)*VLOOKUP('Données projet'!$B$15,Paramètres!$A$1:$I$89,5,0)</f>
        <v>191.44658000000004</v>
      </c>
      <c r="EL83" s="13">
        <f t="shared" si="99"/>
        <v>47.859629835500797</v>
      </c>
      <c r="EM83" s="20">
        <f t="shared" si="73"/>
        <v>416.79164879683066</v>
      </c>
      <c r="EN83" s="59">
        <f t="shared" si="74"/>
        <v>710.12498213016397</v>
      </c>
      <c r="EO83" s="59">
        <f ca="1">AVERAGE(OFFSET($EN$3,0,0,'Données projet'!$E$15+1,1))-AVERAGE(OFFSET($H$3,0,0,'Données projet'!$E$15+1,1))</f>
        <v>533.26035274112917</v>
      </c>
      <c r="EP83" s="59">
        <f t="shared" si="100"/>
        <v>262.58149402282521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40.027683734325194</v>
      </c>
      <c r="EX83" s="21">
        <f>EXP(-LN(2)/2)*EX82+(1-EXP(-LN(2)/2))/(LN(2)/2)*ER83*EU83*VLOOKUP('Données projet'!$B$15,Paramètres!$A$1:$I$89,3,0)*0.475*44/12</f>
        <v>2.4888994686983255</v>
      </c>
      <c r="EY83" s="22">
        <f t="shared" si="75"/>
        <v>42.516583203023522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133.33333333333334</v>
      </c>
      <c r="FC83" s="12">
        <f>VLOOKUP(A83,'Données projet'!$A$217:$I$237,9,0)</f>
        <v>2.0512820512820582</v>
      </c>
      <c r="FD83" s="12">
        <f t="array" ref="FD83">INDEX(FC:FC,MIN(IF(ISNUMBER(FC83:FC279),ROW(FC83:FC279),"")))</f>
        <v>2.0512820512820582</v>
      </c>
      <c r="FE83" s="12">
        <f>IF('Données projet'!$A$218&gt;35,FE82+FD83-FM82,IF(A83&lt;'Données projet'!$A$218,$FB$205^A83,IF(A83='Données projet'!$A$218,'Données projet'!$B$218,FE82+FD83-FM82)))</f>
        <v>133.33333333333326</v>
      </c>
      <c r="FF83" s="17">
        <f>FE83*VLOOKUP('Données projet'!$B$16,Paramètres!$A$1:$I$89,3,0)*VLOOKUP('Données projet'!$B$16,Paramètres!$A$1:$I$89,5,0)</f>
        <v>139.35999999999993</v>
      </c>
      <c r="FG83" s="13">
        <f t="shared" si="101"/>
        <v>36.150351407691339</v>
      </c>
      <c r="FH83" s="20">
        <f t="shared" si="76"/>
        <v>305.68052870172897</v>
      </c>
      <c r="FI83" s="59">
        <f t="shared" si="77"/>
        <v>599.01386203506229</v>
      </c>
      <c r="FJ83" s="59">
        <f ca="1">AVERAGE(OFFSET($FI$3,0,0,'Données projet'!$E$16+1,1))-AVERAGE(OFFSET($H$3,0,0,'Données projet'!$E$16+1,1))</f>
        <v>239.26156489359892</v>
      </c>
      <c r="FK83" s="59">
        <f t="shared" si="102"/>
        <v>213.97034450798111</v>
      </c>
      <c r="FL83" s="15">
        <f>IF(ISNA(VLOOKUP(A83,'Données projet'!$A$217:$I$237,3,0)),0,VLOOKUP(A83,'Données projet'!$A$217:$I$237,3,0))</f>
        <v>13</v>
      </c>
      <c r="FM83" s="15">
        <f>IF(ISNA(VLOOKUP(A83,'Données projet'!$A$217:$I$237,4,0)),0,VLOOKUP(A83,'Données projet'!$A$217:$I$237,4,0))</f>
        <v>7.0512820512820511</v>
      </c>
      <c r="FN83" s="16">
        <f>IF(ISNA(VLOOKUP(A83,'Données projet'!$A$217:$I$237,5,0)),0%,VLOOKUP(A83,'Données projet'!$A$217:$I$237,5,0)*VLOOKUP('Données projet'!$B$16,Paramètres!$A$1:$I$89,7,0))</f>
        <v>4.3000000000000003E-2</v>
      </c>
      <c r="FO83" s="16">
        <f>IF(ISNA(VLOOKUP(A83,'Données projet'!$A$217:$I$237,6,0)),0%,VLOOKUP(A83,'Données projet'!$A$217:$I$237,6,0)*VLOOKUP('Données projet'!$B$16,Paramètres!$A$1:$I$89,7,0))</f>
        <v>0.215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1.4172097805980877</v>
      </c>
      <c r="FR83" s="21">
        <f>EXP(-LN(2)/25)*FR82+(1-EXP(-LN(2)/25))/(LN(2)/25)*Calculateur!FM83*Calculateur!FO83*VLOOKUP('Données projet'!$B$16,Paramètres!$A$1:$I$89,3,0)*0.475*44/12</f>
        <v>16.122959782909497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17.540169563507586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9.4837500000000006</v>
      </c>
      <c r="N84" s="13">
        <f>IF('Données projet'!$A$36&gt;35,N83+M84-V83,IF(A84&lt;'Données projet'!$A$36,$K$205^A84,IF(A84='Données projet'!$A$36,'Données projet'!$B$36,N83+M84-V83)))</f>
        <v>287.14249999999993</v>
      </c>
      <c r="O84" s="13">
        <f>N84*VLOOKUP('Données projet'!$B$9,Paramètres!$A$1:$I$89,3,0)*VLOOKUP('Données projet'!$B$9,Paramètres!$A$1:$I$89,5,0)</f>
        <v>273.24480299999993</v>
      </c>
      <c r="P84" s="13">
        <f t="shared" si="87"/>
        <v>65.537418866724181</v>
      </c>
      <c r="Q84" s="20">
        <f t="shared" si="54"/>
        <v>590.04570308454447</v>
      </c>
      <c r="R84" s="59">
        <f t="shared" si="55"/>
        <v>883.37903641787784</v>
      </c>
      <c r="S84" s="59">
        <f ca="1">AVERAGE(OFFSET($R$3,0,0,'Données projet'!$E$9+1,1))-AVERAGE(OFFSET($H$3,0,0,'Données projet'!$E$9+1,1))</f>
        <v>449.28947235329758</v>
      </c>
      <c r="T84" s="59">
        <f t="shared" si="88"/>
        <v>289.36994109443964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19.463243797642136</v>
      </c>
      <c r="AA84" s="21">
        <f>EXP(-LN(2)/25)*AA83+(1-EXP(-LN(2)/25))/(LN(2)/25)*Calculateur!V84*Calculateur!X84*VLOOKUP('Données projet'!$B$9,Paramètres!$A$1:$I$89,3,0)*0.475*44/12</f>
        <v>23.128546215835769</v>
      </c>
      <c r="AB84" s="21">
        <f>EXP(-LN(2)/2)*AB83+(1-EXP(-LN(2)/2))/(LN(2)/2)*V84*Y84*VLOOKUP('Données projet'!$B$9,Paramètres!$A$1:$I$89,3,0)*0.475*44/12</f>
        <v>0.52032072031527177</v>
      </c>
      <c r="AC84" s="22">
        <f t="shared" si="57"/>
        <v>43.112110733793173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-2.2737367544323206E-13</v>
      </c>
      <c r="AJ84" s="13">
        <f>AI84*VLOOKUP('Données projet'!$B$10,Paramètres!$A$1:$I$89,3,0)*VLOOKUP('Données projet'!$B$10,Paramètres!$A$1:$I$89,5,0)</f>
        <v>-1.3596945791505279E-13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349.71285006949597</v>
      </c>
      <c r="AO84" s="59">
        <f t="shared" si="90"/>
        <v>258.51550516456842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150.26198872825918</v>
      </c>
      <c r="AV84" s="21">
        <f>EXP(-LN(2)/25)*AV83+(1-EXP(-LN(2)/25))/(LN(2)/25)*Calculateur!AQ84*Calculateur!AS84*VLOOKUP('Données projet'!$B$10,Paramètres!$A$1:$I$89,3,0)*0.475*44/12</f>
        <v>50.329420183557033</v>
      </c>
      <c r="AW84" s="21">
        <f>EXP(-LN(2)/2)*AW83+(1-EXP(-LN(2)/2))/(LN(2)/2)*AQ84*AT84*VLOOKUP('Données projet'!$B$10,Paramètres!$A$1:$I$89,3,0)*0.475*44/12</f>
        <v>50.004217667481512</v>
      </c>
      <c r="AX84" s="21">
        <f t="shared" si="60"/>
        <v>250.59562657929774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1.1368683772161603E-13</v>
      </c>
      <c r="BE84" s="13">
        <f>BD84*VLOOKUP('Données projet'!$B$11,Paramètres!$A$1:$I$89,3,0)*VLOOKUP('Données projet'!$B$11,Paramètres!$A$1:$I$89,5,0)</f>
        <v>6.7984728957526396E-14</v>
      </c>
      <c r="BF84" s="13">
        <f t="shared" si="91"/>
        <v>1.0682447123141398E-12</v>
      </c>
      <c r="BG84" s="20">
        <f t="shared" si="61"/>
        <v>1.978932943548152E-12</v>
      </c>
      <c r="BH84" s="59">
        <f t="shared" si="62"/>
        <v>293.3333333333353</v>
      </c>
      <c r="BI84" s="59">
        <f ca="1">AVERAGE(OFFSET($BH$3,0,0,'Données projet'!$E$11+1,1))-AVERAGE(OFFSET($H$3,0,0,'Données projet'!$E$11+1,1))</f>
        <v>302.00825291248458</v>
      </c>
      <c r="BJ84" s="59">
        <f t="shared" si="92"/>
        <v>307.35115839449355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91.619443890608167</v>
      </c>
      <c r="BQ84" s="21">
        <f>EXP(-LN(2)/25)*BQ83+(1-EXP(-LN(2)/25))/(LN(2)/25)*Calculateur!BL84*Calculateur!BN84*VLOOKUP('Données projet'!$B$11,Paramètres!$A$1:$I$89,3,0)*0.475*44/12</f>
        <v>27.060983729555478</v>
      </c>
      <c r="BR84" s="21">
        <f>EXP(-LN(2)/2)*BR83+(1-EXP(-LN(2)/2))/(LN(2)/2)*BL84*BO84*VLOOKUP('Données projet'!$B$11,Paramètres!$A$1:$I$89,3,0)*0.475*44/12</f>
        <v>4.1405412920041677E-2</v>
      </c>
      <c r="BS84" s="22">
        <f t="shared" si="63"/>
        <v>118.72183303308368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11.117500000000001</v>
      </c>
      <c r="BY84" s="12">
        <f>IF('Données projet'!$A$114&gt;35,BY83+BX84-CG83,IF(A84&lt;'Données projet'!$A$114,$BV$205^A84,IF(A84='Données projet'!$A$114,'Données projet'!$B$114,BY83+BX84-CG83)))</f>
        <v>380.68999999999994</v>
      </c>
      <c r="BZ84" s="13">
        <f>BY84*VLOOKUP('Données projet'!$B$12,Paramètres!$A$1:$I$89,3,0)*VLOOKUP('Données projet'!$B$12,Paramètres!$A$1:$I$89,5,0)</f>
        <v>178.16291999999999</v>
      </c>
      <c r="CA84" s="13">
        <f t="shared" si="93"/>
        <v>44.913226012533627</v>
      </c>
      <c r="CB84" s="20">
        <f t="shared" si="64"/>
        <v>388.52428763849611</v>
      </c>
      <c r="CC84" s="59">
        <f t="shared" si="65"/>
        <v>681.85762097182942</v>
      </c>
      <c r="CD84" s="59">
        <f ca="1">AVERAGE(OFFSET($CC$3,0,0,'Données projet'!$E$12+1,1))-AVERAGE(OFFSET($H$3,0,0,'Données projet'!$E$12+1,1))</f>
        <v>337.10499990421835</v>
      </c>
      <c r="CE84" s="59">
        <f t="shared" si="94"/>
        <v>277.4254079562175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40.223292220107908</v>
      </c>
      <c r="CL84" s="21">
        <f>EXP(-LN(2)/25)*CL83+(1-EXP(-LN(2)/25))/(LN(2)/25)*Calculateur!CG84*Calculateur!CI84*VLOOKUP('Données projet'!$B$12,Paramètres!$A$1:$I$89,3,0)*0.475*44/12</f>
        <v>19.114461561928341</v>
      </c>
      <c r="CM84" s="21">
        <f>EXP(-LN(2)/2)*CM83+(1-EXP(-LN(2)/2))/(LN(2)/2)*CG84*CJ84*VLOOKUP('Données projet'!$B$12,Paramètres!$A$1:$I$89,3,0)*0.475*44/12</f>
        <v>0.69530907973248945</v>
      </c>
      <c r="CN84" s="22">
        <f t="shared" si="66"/>
        <v>60.033062861768734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6.7444444444444462</v>
      </c>
      <c r="CT84" s="12">
        <f>IF('Données projet'!$A$140&gt;35,CT83+CS84-DB83,IF(A84&lt;'Données projet'!$A$140,$CQ$205^A84,IF(A84='Données projet'!$A$140,'Données projet'!$B$140,CT83+CS84-DB83)))</f>
        <v>195.54777777777778</v>
      </c>
      <c r="CU84" s="17">
        <f>CT84*VLOOKUP('Données projet'!$B$13,Paramètres!$A$1:$I$89,3,0)*VLOOKUP('Données projet'!$B$13,Paramètres!$A$1:$I$89,5,0)</f>
        <v>195.23490133333334</v>
      </c>
      <c r="CV84" s="13">
        <f t="shared" si="95"/>
        <v>48.695478096734661</v>
      </c>
      <c r="CW84" s="20">
        <f t="shared" si="67"/>
        <v>424.84541084070173</v>
      </c>
      <c r="CX84" s="59">
        <f t="shared" si="68"/>
        <v>718.17874417403505</v>
      </c>
      <c r="CY84" s="59">
        <f ca="1">AVERAGE(OFFSET($CX$3,0,0,'Données projet'!$E$13+1,1))-AVERAGE(OFFSET($H$3,0,0,'Données projet'!$E$13+1,1))</f>
        <v>525.74725170626471</v>
      </c>
      <c r="CZ84" s="59">
        <f t="shared" si="96"/>
        <v>259.19103598192197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38.334153469681887</v>
      </c>
      <c r="DH84" s="21">
        <f>EXP(-LN(2)/2)*DH83+(1-EXP(-LN(2)/2))/(LN(2)/2)*DB84*DE84*VLOOKUP('Données projet'!$B$13,Paramètres!$A$1:$I$89,3,0)*0.475*44/12</f>
        <v>1.7328420352080558</v>
      </c>
      <c r="DI84" s="22">
        <f t="shared" si="69"/>
        <v>40.066995504889945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8.0188888888888883</v>
      </c>
      <c r="DO84" s="12">
        <f>IF('Données projet'!$A$166&gt;35,DO83+DN84-DW83,IF(A84&lt;'Données projet'!$A$166,$DL$205^A84,IF(A84='Données projet'!$A$166,'Données projet'!$B$166,DO83+DN84-DW83)))</f>
        <v>259.71333333333359</v>
      </c>
      <c r="DP84" s="17">
        <f>DO84*VLOOKUP('Données projet'!$B$14,Paramètres!$A$1:$I$89,3,0)*VLOOKUP('Données projet'!$B$14,Paramètres!$A$1:$I$89,5,0)</f>
        <v>234.98862400000024</v>
      </c>
      <c r="DQ84" s="13">
        <f t="shared" si="97"/>
        <v>57.359987909148515</v>
      </c>
      <c r="DR84" s="20">
        <f t="shared" si="70"/>
        <v>509.17383240843407</v>
      </c>
      <c r="DS84" s="59">
        <f t="shared" si="71"/>
        <v>802.50716574176738</v>
      </c>
      <c r="DT84" s="59">
        <f ca="1">AVERAGE(OFFSET($DS$3,0,0,'Données projet'!$E$14+1,1))-AVERAGE(OFFSET($H$3,0,0,'Données projet'!$E$14+1,1))</f>
        <v>490.06222615476065</v>
      </c>
      <c r="DU84" s="59">
        <f t="shared" si="98"/>
        <v>310.43914804089906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15.961794872382596</v>
      </c>
      <c r="EB84" s="21">
        <f>EXP(-LN(2)/25)*EB83+(1-EXP(-LN(2)/25))/(LN(2)/25)*Calculateur!DW84*Calculateur!DY84*VLOOKUP('Données projet'!$B$14,Paramètres!$A$1:$I$89,3,0)*0.475*44/12</f>
        <v>24.860189046489573</v>
      </c>
      <c r="EC84" s="21">
        <f>EXP(-LN(2)/2)*EC83+(1-EXP(-LN(2)/2))/(LN(2)/2)*DW84*DZ84*VLOOKUP('Données projet'!$B$14,Paramètres!$A$1:$I$89,3,0)*0.475*44/12</f>
        <v>0.49390785171696228</v>
      </c>
      <c r="ED84" s="22">
        <f t="shared" si="72"/>
        <v>41.315891770589133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6.7444444444444462</v>
      </c>
      <c r="EJ84" s="12">
        <f>IF('Données projet'!$A$192&gt;35,EJ83+EI84-ER83,IF(A84&lt;'Données projet'!$A$192,$EG$205^A84,IF(A84='Données projet'!$A$192,'Données projet'!$B$192,EJ83+EI84-ER83)))</f>
        <v>195.54777777777778</v>
      </c>
      <c r="EK84" s="17">
        <f>EJ84*VLOOKUP('Données projet'!$B$15,Paramètres!$A$1:$I$89,3,0)*VLOOKUP('Données projet'!$B$15,Paramètres!$A$1:$I$89,5,0)</f>
        <v>198.28544666666667</v>
      </c>
      <c r="EL84" s="13">
        <f t="shared" si="99"/>
        <v>49.367172192409612</v>
      </c>
      <c r="EM84" s="20">
        <f t="shared" si="73"/>
        <v>431.32831117955783</v>
      </c>
      <c r="EN84" s="59">
        <f t="shared" si="74"/>
        <v>724.66164451289114</v>
      </c>
      <c r="EO84" s="59">
        <f ca="1">AVERAGE(OFFSET($EN$3,0,0,'Données projet'!$E$15+1,1))-AVERAGE(OFFSET($H$3,0,0,'Données projet'!$E$15+1,1))</f>
        <v>533.26035274112917</v>
      </c>
      <c r="EP84" s="59">
        <f t="shared" si="100"/>
        <v>262.58149402282521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38.933124617645667</v>
      </c>
      <c r="EX84" s="21">
        <f>EXP(-LN(2)/2)*EX83+(1-EXP(-LN(2)/2))/(LN(2)/2)*ER84*EU84*VLOOKUP('Données projet'!$B$15,Paramètres!$A$1:$I$89,3,0)*0.475*44/12</f>
        <v>1.7599176920081814</v>
      </c>
      <c r="EY84" s="22">
        <f t="shared" si="75"/>
        <v>40.693042309653848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1.7948717948717898</v>
      </c>
      <c r="FE84" s="12">
        <f>IF('Données projet'!$A$218&gt;35,FE83+FD84-FM83,IF(A84&lt;'Données projet'!$A$218,$FB$205^A84,IF(A84='Données projet'!$A$218,'Données projet'!$B$218,FE83+FD84-FM83)))</f>
        <v>128.07692307692301</v>
      </c>
      <c r="FF84" s="17">
        <f>FE84*VLOOKUP('Données projet'!$B$16,Paramètres!$A$1:$I$89,3,0)*VLOOKUP('Données projet'!$B$16,Paramètres!$A$1:$I$89,5,0)</f>
        <v>133.86599999999993</v>
      </c>
      <c r="FG84" s="13">
        <f t="shared" si="101"/>
        <v>34.888149132612561</v>
      </c>
      <c r="FH84" s="20">
        <f t="shared" si="76"/>
        <v>293.91347640596678</v>
      </c>
      <c r="FI84" s="59">
        <f t="shared" si="77"/>
        <v>587.24680973930003</v>
      </c>
      <c r="FJ84" s="59">
        <f ca="1">AVERAGE(OFFSET($FI$3,0,0,'Données projet'!$E$16+1,1))-AVERAGE(OFFSET($H$3,0,0,'Données projet'!$E$16+1,1))</f>
        <v>239.26156489359892</v>
      </c>
      <c r="FK84" s="59">
        <f t="shared" si="102"/>
        <v>213.97034450798111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1.3894191612131717</v>
      </c>
      <c r="FR84" s="21">
        <f>EXP(-LN(2)/25)*FR83+(1-EXP(-LN(2)/25))/(LN(2)/25)*Calculateur!FM84*Calculateur!FO84*VLOOKUP('Données projet'!$B$16,Paramètres!$A$1:$I$89,3,0)*0.475*44/12</f>
        <v>15.682076599776231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17.071495760989404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9.4837500000000006</v>
      </c>
      <c r="N85" s="13">
        <f>IF('Données projet'!$A$36&gt;35,N84+M85-V84,IF(A85&lt;'Données projet'!$A$36,$K$205^A85,IF(A85='Données projet'!$A$36,'Données projet'!$B$36,N84+M85-V84)))</f>
        <v>296.62624999999991</v>
      </c>
      <c r="O85" s="13">
        <f>N85*VLOOKUP('Données projet'!$B$9,Paramètres!$A$1:$I$89,3,0)*VLOOKUP('Données projet'!$B$9,Paramètres!$A$1:$I$89,5,0)</f>
        <v>282.26953949999995</v>
      </c>
      <c r="P85" s="13">
        <f t="shared" si="87"/>
        <v>67.446402243109091</v>
      </c>
      <c r="Q85" s="20">
        <f t="shared" si="54"/>
        <v>609.08859853591491</v>
      </c>
      <c r="R85" s="59">
        <f t="shared" si="55"/>
        <v>902.42193186924828</v>
      </c>
      <c r="S85" s="59">
        <f ca="1">AVERAGE(OFFSET($R$3,0,0,'Données projet'!$E$9+1,1))-AVERAGE(OFFSET($H$3,0,0,'Données projet'!$E$9+1,1))</f>
        <v>449.28947235329758</v>
      </c>
      <c r="T85" s="59">
        <f t="shared" si="88"/>
        <v>289.36994109443964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19.081581458176885</v>
      </c>
      <c r="AA85" s="21">
        <f>EXP(-LN(2)/25)*AA84+(1-EXP(-LN(2)/25))/(LN(2)/25)*Calculateur!V85*Calculateur!X85*VLOOKUP('Données projet'!$B$9,Paramètres!$A$1:$I$89,3,0)*0.475*44/12</f>
        <v>22.496094903286355</v>
      </c>
      <c r="AB85" s="21">
        <f>EXP(-LN(2)/2)*AB84+(1-EXP(-LN(2)/2))/(LN(2)/2)*V85*Y85*VLOOKUP('Données projet'!$B$9,Paramètres!$A$1:$I$89,3,0)*0.475*44/12</f>
        <v>0.36792230972679768</v>
      </c>
      <c r="AC85" s="22">
        <f t="shared" si="57"/>
        <v>41.945598671190041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-2.2737367544323206E-13</v>
      </c>
      <c r="AJ85" s="13">
        <f>AI85*VLOOKUP('Données projet'!$B$10,Paramètres!$A$1:$I$89,3,0)*VLOOKUP('Données projet'!$B$10,Paramètres!$A$1:$I$89,5,0)</f>
        <v>-1.3596945791505279E-13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349.71285006949597</v>
      </c>
      <c r="AO85" s="59">
        <f t="shared" si="90"/>
        <v>258.51550516456842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147.31544278006137</v>
      </c>
      <c r="AV85" s="21">
        <f>EXP(-LN(2)/25)*AV84+(1-EXP(-LN(2)/25))/(LN(2)/25)*Calculateur!AQ85*Calculateur!AS85*VLOOKUP('Données projet'!$B$10,Paramètres!$A$1:$I$89,3,0)*0.475*44/12</f>
        <v>48.953159541928486</v>
      </c>
      <c r="AW85" s="21">
        <f>EXP(-LN(2)/2)*AW84+(1-EXP(-LN(2)/2))/(LN(2)/2)*AQ85*AT85*VLOOKUP('Données projet'!$B$10,Paramètres!$A$1:$I$89,3,0)*0.475*44/12</f>
        <v>35.358321400604346</v>
      </c>
      <c r="AX85" s="21">
        <f t="shared" si="60"/>
        <v>231.62692372259423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1.1368683772161603E-13</v>
      </c>
      <c r="BE85" s="13">
        <f>BD85*VLOOKUP('Données projet'!$B$11,Paramètres!$A$1:$I$89,3,0)*VLOOKUP('Données projet'!$B$11,Paramètres!$A$1:$I$89,5,0)</f>
        <v>6.7984728957526396E-14</v>
      </c>
      <c r="BF85" s="13">
        <f t="shared" si="91"/>
        <v>1.0682447123141398E-12</v>
      </c>
      <c r="BG85" s="20">
        <f t="shared" si="61"/>
        <v>1.978932943548152E-12</v>
      </c>
      <c r="BH85" s="59">
        <f t="shared" si="62"/>
        <v>293.3333333333353</v>
      </c>
      <c r="BI85" s="59">
        <f ca="1">AVERAGE(OFFSET($BH$3,0,0,'Données projet'!$E$11+1,1))-AVERAGE(OFFSET($H$3,0,0,'Données projet'!$E$11+1,1))</f>
        <v>302.00825291248458</v>
      </c>
      <c r="BJ85" s="59">
        <f t="shared" si="92"/>
        <v>307.35115839449355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89.822842478256192</v>
      </c>
      <c r="BQ85" s="21">
        <f>EXP(-LN(2)/25)*BQ84+(1-EXP(-LN(2)/25))/(LN(2)/25)*Calculateur!BL85*Calculateur!BN85*VLOOKUP('Données projet'!$B$11,Paramètres!$A$1:$I$89,3,0)*0.475*44/12</f>
        <v>26.320999706395497</v>
      </c>
      <c r="BR85" s="21">
        <f>EXP(-LN(2)/2)*BR84+(1-EXP(-LN(2)/2))/(LN(2)/2)*BL85*BO85*VLOOKUP('Données projet'!$B$11,Paramètres!$A$1:$I$89,3,0)*0.475*44/12</f>
        <v>2.9278048253590559E-2</v>
      </c>
      <c r="BS85" s="22">
        <f t="shared" si="63"/>
        <v>116.17312023290528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11.117500000000001</v>
      </c>
      <c r="BY85" s="12">
        <f>IF('Données projet'!$A$114&gt;35,BY84+BX85-CG84,IF(A85&lt;'Données projet'!$A$114,$BV$205^A85,IF(A85='Données projet'!$A$114,'Données projet'!$B$114,BY84+BX85-CG84)))</f>
        <v>391.80749999999995</v>
      </c>
      <c r="BZ85" s="13">
        <f>BY85*VLOOKUP('Données projet'!$B$12,Paramètres!$A$1:$I$89,3,0)*VLOOKUP('Données projet'!$B$12,Paramètres!$A$1:$I$89,5,0)</f>
        <v>183.36590999999999</v>
      </c>
      <c r="CA85" s="13">
        <f t="shared" si="93"/>
        <v>46.070229759286974</v>
      </c>
      <c r="CB85" s="20">
        <f t="shared" si="64"/>
        <v>399.60127674742472</v>
      </c>
      <c r="CC85" s="59">
        <f t="shared" si="65"/>
        <v>692.93461008075803</v>
      </c>
      <c r="CD85" s="59">
        <f ca="1">AVERAGE(OFFSET($CC$3,0,0,'Données projet'!$E$12+1,1))-AVERAGE(OFFSET($H$3,0,0,'Données projet'!$E$12+1,1))</f>
        <v>337.10499990421835</v>
      </c>
      <c r="CE85" s="59">
        <f t="shared" si="94"/>
        <v>277.4254079562175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39.434537993457333</v>
      </c>
      <c r="CL85" s="21">
        <f>EXP(-LN(2)/25)*CL84+(1-EXP(-LN(2)/25))/(LN(2)/25)*Calculateur!CG85*Calculateur!CI85*VLOOKUP('Données projet'!$B$12,Paramètres!$A$1:$I$89,3,0)*0.475*44/12</f>
        <v>18.591775605331563</v>
      </c>
      <c r="CM85" s="21">
        <f>EXP(-LN(2)/2)*CM84+(1-EXP(-LN(2)/2))/(LN(2)/2)*CG85*CJ85*VLOOKUP('Données projet'!$B$12,Paramètres!$A$1:$I$89,3,0)*0.475*44/12</f>
        <v>0.49165776529942118</v>
      </c>
      <c r="CN85" s="22">
        <f t="shared" si="66"/>
        <v>58.517971364088318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6.7444444444444462</v>
      </c>
      <c r="CT85" s="12">
        <f>IF('Données projet'!$A$140&gt;35,CT84+CS85-DB84,IF(A85&lt;'Données projet'!$A$140,$CQ$205^A85,IF(A85='Données projet'!$A$140,'Données projet'!$B$140,CT84+CS85-DB84)))</f>
        <v>202.29222222222222</v>
      </c>
      <c r="CU85" s="17">
        <f>CT85*VLOOKUP('Données projet'!$B$13,Paramètres!$A$1:$I$89,3,0)*VLOOKUP('Données projet'!$B$13,Paramètres!$A$1:$I$89,5,0)</f>
        <v>201.96855466666668</v>
      </c>
      <c r="CV85" s="13">
        <f t="shared" si="95"/>
        <v>50.176549530842827</v>
      </c>
      <c r="CW85" s="20">
        <f t="shared" si="67"/>
        <v>439.15272314399567</v>
      </c>
      <c r="CX85" s="59">
        <f t="shared" si="68"/>
        <v>732.48605647732893</v>
      </c>
      <c r="CY85" s="59">
        <f ca="1">AVERAGE(OFFSET($CX$3,0,0,'Données projet'!$E$13+1,1))-AVERAGE(OFFSET($H$3,0,0,'Données projet'!$E$13+1,1))</f>
        <v>525.74725170626471</v>
      </c>
      <c r="CZ85" s="59">
        <f t="shared" si="96"/>
        <v>259.19103598192197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37.285904027147922</v>
      </c>
      <c r="DH85" s="21">
        <f>EXP(-LN(2)/2)*DH84+(1-EXP(-LN(2)/2))/(LN(2)/2)*DB85*DE85*VLOOKUP('Données projet'!$B$13,Paramètres!$A$1:$I$89,3,0)*0.475*44/12</f>
        <v>1.2253043538207145</v>
      </c>
      <c r="DI85" s="22">
        <f t="shared" si="69"/>
        <v>38.51120838096864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8.0188888888888883</v>
      </c>
      <c r="DO85" s="12">
        <f>IF('Données projet'!$A$166&gt;35,DO84+DN85-DW84,IF(A85&lt;'Données projet'!$A$166,$DL$205^A85,IF(A85='Données projet'!$A$166,'Données projet'!$B$166,DO84+DN85-DW84)))</f>
        <v>267.7322222222225</v>
      </c>
      <c r="DP85" s="17">
        <f>DO85*VLOOKUP('Données projet'!$B$14,Paramètres!$A$1:$I$89,3,0)*VLOOKUP('Données projet'!$B$14,Paramètres!$A$1:$I$89,5,0)</f>
        <v>242.24411466666692</v>
      </c>
      <c r="DQ85" s="13">
        <f t="shared" si="97"/>
        <v>58.922100838280507</v>
      </c>
      <c r="DR85" s="20">
        <f t="shared" si="70"/>
        <v>524.53115867111683</v>
      </c>
      <c r="DS85" s="59">
        <f t="shared" si="71"/>
        <v>817.86449200445009</v>
      </c>
      <c r="DT85" s="59">
        <f ca="1">AVERAGE(OFFSET($DS$3,0,0,'Données projet'!$E$14+1,1))-AVERAGE(OFFSET($H$3,0,0,'Données projet'!$E$14+1,1))</f>
        <v>490.06222615476065</v>
      </c>
      <c r="DU85" s="59">
        <f t="shared" si="98"/>
        <v>310.43914804089906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15.648793810668721</v>
      </c>
      <c r="EB85" s="21">
        <f>EXP(-LN(2)/25)*EB84+(1-EXP(-LN(2)/25))/(LN(2)/25)*Calculateur!DW85*Calculateur!DY85*VLOOKUP('Données projet'!$B$14,Paramètres!$A$1:$I$89,3,0)*0.475*44/12</f>
        <v>24.180385869672794</v>
      </c>
      <c r="EC85" s="21">
        <f>EXP(-LN(2)/2)*EC84+(1-EXP(-LN(2)/2))/(LN(2)/2)*DW85*DZ85*VLOOKUP('Données projet'!$B$14,Paramètres!$A$1:$I$89,3,0)*0.475*44/12</f>
        <v>0.34924559123034382</v>
      </c>
      <c r="ED85" s="22">
        <f t="shared" si="72"/>
        <v>40.178425271571854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6.7444444444444462</v>
      </c>
      <c r="EJ85" s="12">
        <f>IF('Données projet'!$A$192&gt;35,EJ84+EI85-ER84,IF(A85&lt;'Données projet'!$A$192,$EG$205^A85,IF(A85='Données projet'!$A$192,'Données projet'!$B$192,EJ84+EI85-ER84)))</f>
        <v>202.29222222222222</v>
      </c>
      <c r="EK85" s="17">
        <f>EJ85*VLOOKUP('Données projet'!$B$15,Paramètres!$A$1:$I$89,3,0)*VLOOKUP('Données projet'!$B$15,Paramètres!$A$1:$I$89,5,0)</f>
        <v>205.12431333333336</v>
      </c>
      <c r="EL85" s="13">
        <f t="shared" si="99"/>
        <v>50.868673181302917</v>
      </c>
      <c r="EM85" s="20">
        <f t="shared" si="73"/>
        <v>445.85445151299149</v>
      </c>
      <c r="EN85" s="59">
        <f t="shared" si="74"/>
        <v>739.1877848463248</v>
      </c>
      <c r="EO85" s="59">
        <f ca="1">AVERAGE(OFFSET($EN$3,0,0,'Données projet'!$E$15+1,1))-AVERAGE(OFFSET($H$3,0,0,'Données projet'!$E$15+1,1))</f>
        <v>533.26035274112917</v>
      </c>
      <c r="EP85" s="59">
        <f t="shared" si="100"/>
        <v>262.58149402282521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37.868496277572106</v>
      </c>
      <c r="EX85" s="21">
        <f>EXP(-LN(2)/2)*EX84+(1-EXP(-LN(2)/2))/(LN(2)/2)*ER85*EU85*VLOOKUP('Données projet'!$B$15,Paramètres!$A$1:$I$89,3,0)*0.475*44/12</f>
        <v>1.244449734349163</v>
      </c>
      <c r="EY85" s="22">
        <f t="shared" si="75"/>
        <v>39.112946011921267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1.7948717948717898</v>
      </c>
      <c r="FE85" s="12">
        <f>IF('Données projet'!$A$218&gt;35,FE84+FD85-FM84,IF(A85&lt;'Données projet'!$A$218,$FB$205^A85,IF(A85='Données projet'!$A$218,'Données projet'!$B$218,FE84+FD85-FM84)))</f>
        <v>129.8717948717948</v>
      </c>
      <c r="FF85" s="17">
        <f>FE85*VLOOKUP('Données projet'!$B$16,Paramètres!$A$1:$I$89,3,0)*VLOOKUP('Données projet'!$B$16,Paramètres!$A$1:$I$89,5,0)</f>
        <v>135.74199999999996</v>
      </c>
      <c r="FG85" s="13">
        <f t="shared" si="101"/>
        <v>35.319810973036205</v>
      </c>
      <c r="FH85" s="20">
        <f t="shared" si="76"/>
        <v>297.93265411137128</v>
      </c>
      <c r="FI85" s="59">
        <f t="shared" si="77"/>
        <v>591.26598744470459</v>
      </c>
      <c r="FJ85" s="59">
        <f ca="1">AVERAGE(OFFSET($FI$3,0,0,'Données projet'!$E$16+1,1))-AVERAGE(OFFSET($H$3,0,0,'Données projet'!$E$16+1,1))</f>
        <v>239.26156489359892</v>
      </c>
      <c r="FK85" s="59">
        <f t="shared" si="102"/>
        <v>213.97034450798111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1.3621734989237897</v>
      </c>
      <c r="FR85" s="21">
        <f>EXP(-LN(2)/25)*FR84+(1-EXP(-LN(2)/25))/(LN(2)/25)*Calculateur!FM85*Calculateur!FO85*VLOOKUP('Données projet'!$B$16,Paramètres!$A$1:$I$89,3,0)*0.475*44/12</f>
        <v>15.253249390470783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16.615422889394573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>
        <f>VLOOKUP(A86,'Données projet'!$A$35:$I$55,2,0)</f>
        <v>306.11</v>
      </c>
      <c r="L86" s="12">
        <f>VLOOKUP(A86,'Données projet'!$A$35:$I$55,9,0)</f>
        <v>9.4837500000000006</v>
      </c>
      <c r="M86" s="12">
        <f t="array" ref="M86">INDEX(L:L,MIN(IF(ISNUMBER(L86:L282),ROW(L86:L282),"")))</f>
        <v>9.4837500000000006</v>
      </c>
      <c r="N86" s="13">
        <f>IF('Données projet'!$A$36&gt;35,N85+M86-V85,IF(A86&lt;'Données projet'!$A$36,$K$205^A86,IF(A86='Données projet'!$A$36,'Données projet'!$B$36,N85+M86-V85)))</f>
        <v>306.1099999999999</v>
      </c>
      <c r="O86" s="13">
        <f>N86*VLOOKUP('Données projet'!$B$9,Paramètres!$A$1:$I$89,3,0)*VLOOKUP('Données projet'!$B$9,Paramètres!$A$1:$I$89,5,0)</f>
        <v>291.29427599999991</v>
      </c>
      <c r="P86" s="13">
        <f t="shared" si="87"/>
        <v>69.348293174982246</v>
      </c>
      <c r="Q86" s="20">
        <f t="shared" si="54"/>
        <v>628.11914131309391</v>
      </c>
      <c r="R86" s="59">
        <f t="shared" si="55"/>
        <v>921.45247464642716</v>
      </c>
      <c r="S86" s="59">
        <f ca="1">AVERAGE(OFFSET($R$3,0,0,'Données projet'!$E$9+1,1))-AVERAGE(OFFSET($H$3,0,0,'Données projet'!$E$9+1,1))</f>
        <v>449.28947235329758</v>
      </c>
      <c r="T86" s="59">
        <f t="shared" si="88"/>
        <v>289.36994109443964</v>
      </c>
      <c r="U86" s="15">
        <f>IF(ISNA(VLOOKUP(A86,'Données projet'!$A$35:$I$55,3,0)),0,VLOOKUP(A86,'Données projet'!$A$35:$I$55,3,0))</f>
        <v>7</v>
      </c>
      <c r="V86" s="15">
        <f>IF(ISNA(VLOOKUP(A86,'Données projet'!$A$35:$I$55,4,0)),0,VLOOKUP(A86,'Données projet'!$A$35:$I$55,4,0))</f>
        <v>49.980000000000018</v>
      </c>
      <c r="W86" s="16">
        <f>IF(ISNA(VLOOKUP(A86,'Données projet'!$A$35:$I$55,5,0)),0%,VLOOKUP(A86,'Données projet'!$A$35:$I$55,5,0)*VLOOKUP('Données projet'!$B$9,Paramètres!$A$1:$I$89,7,0))</f>
        <v>0.15049999999999999</v>
      </c>
      <c r="X86" s="16">
        <f>IF(ISNA(VLOOKUP(A86,'Données projet'!$A$35:$I$55,6,0)),0%,VLOOKUP(A86,'Données projet'!$A$35:$I$55,6,0)*VLOOKUP('Données projet'!$B$9,Paramètres!$A$1:$I$89,7,0))</f>
        <v>8.6000000000000007E-2</v>
      </c>
      <c r="Y86" s="16">
        <f>IF(ISNA(VLOOKUP(A86,'Données projet'!$A$35:$I$55,7,0)),0%,VLOOKUP(A86,'Données projet'!$A$35:$I$55,7,0))</f>
        <v>0.1</v>
      </c>
      <c r="Z86" s="21">
        <f>EXP(-LN(2)/35)*Z85+(1-EXP(-LN(2)/35))/(LN(2)/35)*V86*W86*VLOOKUP('Données projet'!$B$9,Paramètres!$A$1:$I$89,3,0)*0.475*44/12</f>
        <v>26.620278106957642</v>
      </c>
      <c r="AA86" s="21">
        <f>EXP(-LN(2)/25)*AA85+(1-EXP(-LN(2)/25))/(LN(2)/25)*Calculateur!V86*Calculateur!X86*VLOOKUP('Données projet'!$B$9,Paramètres!$A$1:$I$89,3,0)*0.475*44/12</f>
        <v>26.38477733047608</v>
      </c>
      <c r="AB86" s="21">
        <f>EXP(-LN(2)/2)*AB85+(1-EXP(-LN(2)/2))/(LN(2)/2)*V86*Y86*VLOOKUP('Données projet'!$B$9,Paramètres!$A$1:$I$89,3,0)*0.475*44/12</f>
        <v>4.7476656994261992</v>
      </c>
      <c r="AC86" s="22">
        <f t="shared" si="57"/>
        <v>57.752721136859925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-2.2737367544323206E-13</v>
      </c>
      <c r="AJ86" s="13">
        <f>AI86*VLOOKUP('Données projet'!$B$10,Paramètres!$A$1:$I$89,3,0)*VLOOKUP('Données projet'!$B$10,Paramètres!$A$1:$I$89,5,0)</f>
        <v>-1.3596945791505279E-13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349.71285006949597</v>
      </c>
      <c r="AO86" s="59">
        <f t="shared" si="90"/>
        <v>258.51550516456842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144.42667680069218</v>
      </c>
      <c r="AV86" s="21">
        <f>EXP(-LN(2)/25)*AV85+(1-EXP(-LN(2)/25))/(LN(2)/25)*Calculateur!AQ86*Calculateur!AS86*VLOOKUP('Données projet'!$B$10,Paramètres!$A$1:$I$89,3,0)*0.475*44/12</f>
        <v>47.614532819919674</v>
      </c>
      <c r="AW86" s="21">
        <f>EXP(-LN(2)/2)*AW85+(1-EXP(-LN(2)/2))/(LN(2)/2)*AQ86*AT86*VLOOKUP('Données projet'!$B$10,Paramètres!$A$1:$I$89,3,0)*0.475*44/12</f>
        <v>25.00210883374076</v>
      </c>
      <c r="AX86" s="21">
        <f t="shared" si="60"/>
        <v>217.0433184543526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1.1368683772161603E-13</v>
      </c>
      <c r="BE86" s="13">
        <f>BD86*VLOOKUP('Données projet'!$B$11,Paramètres!$A$1:$I$89,3,0)*VLOOKUP('Données projet'!$B$11,Paramètres!$A$1:$I$89,5,0)</f>
        <v>6.7984728957526396E-14</v>
      </c>
      <c r="BF86" s="13">
        <f t="shared" si="91"/>
        <v>1.0682447123141398E-12</v>
      </c>
      <c r="BG86" s="20">
        <f t="shared" si="61"/>
        <v>1.978932943548152E-12</v>
      </c>
      <c r="BH86" s="59">
        <f t="shared" si="62"/>
        <v>293.3333333333353</v>
      </c>
      <c r="BI86" s="59">
        <f ca="1">AVERAGE(OFFSET($BH$3,0,0,'Données projet'!$E$11+1,1))-AVERAGE(OFFSET($H$3,0,0,'Données projet'!$E$11+1,1))</f>
        <v>302.00825291248458</v>
      </c>
      <c r="BJ86" s="59">
        <f t="shared" si="92"/>
        <v>307.35115839449355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88.061471323781774</v>
      </c>
      <c r="BQ86" s="21">
        <f>EXP(-LN(2)/25)*BQ85+(1-EXP(-LN(2)/25))/(LN(2)/25)*Calculateur!BL86*Calculateur!BN86*VLOOKUP('Données projet'!$B$11,Paramètres!$A$1:$I$89,3,0)*0.475*44/12</f>
        <v>25.601250585262896</v>
      </c>
      <c r="BR86" s="21">
        <f>EXP(-LN(2)/2)*BR85+(1-EXP(-LN(2)/2))/(LN(2)/2)*BL86*BO86*VLOOKUP('Données projet'!$B$11,Paramètres!$A$1:$I$89,3,0)*0.475*44/12</f>
        <v>2.0702706460020842E-2</v>
      </c>
      <c r="BS86" s="22">
        <f t="shared" si="63"/>
        <v>113.68342461550469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11.117500000000001</v>
      </c>
      <c r="BY86" s="12">
        <f>IF('Données projet'!$A$114&gt;35,BY85+BX86-CG85,IF(A86&lt;'Données projet'!$A$114,$BV$205^A86,IF(A86='Données projet'!$A$114,'Données projet'!$B$114,BY85+BX86-CG85)))</f>
        <v>402.92499999999995</v>
      </c>
      <c r="BZ86" s="13">
        <f>BY86*VLOOKUP('Données projet'!$B$12,Paramètres!$A$1:$I$89,3,0)*VLOOKUP('Données projet'!$B$12,Paramètres!$A$1:$I$89,5,0)</f>
        <v>188.56889999999996</v>
      </c>
      <c r="CA86" s="13">
        <f t="shared" si="93"/>
        <v>47.223417871971755</v>
      </c>
      <c r="CB86" s="20">
        <f t="shared" si="64"/>
        <v>410.67162029368404</v>
      </c>
      <c r="CC86" s="59">
        <f t="shared" si="65"/>
        <v>704.00495362701736</v>
      </c>
      <c r="CD86" s="59">
        <f ca="1">AVERAGE(OFFSET($CC$3,0,0,'Données projet'!$E$12+1,1))-AVERAGE(OFFSET($H$3,0,0,'Données projet'!$E$12+1,1))</f>
        <v>337.10499990421835</v>
      </c>
      <c r="CE86" s="59">
        <f t="shared" si="94"/>
        <v>277.4254079562175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38.661250756098802</v>
      </c>
      <c r="CL86" s="21">
        <f>EXP(-LN(2)/25)*CL85+(1-EXP(-LN(2)/25))/(LN(2)/25)*Calculateur!CG86*Calculateur!CI86*VLOOKUP('Données projet'!$B$12,Paramètres!$A$1:$I$89,3,0)*0.475*44/12</f>
        <v>18.083382523704785</v>
      </c>
      <c r="CM86" s="21">
        <f>EXP(-LN(2)/2)*CM85+(1-EXP(-LN(2)/2))/(LN(2)/2)*CG86*CJ86*VLOOKUP('Données projet'!$B$12,Paramètres!$A$1:$I$89,3,0)*0.475*44/12</f>
        <v>0.34765453986624478</v>
      </c>
      <c r="CN86" s="22">
        <f t="shared" si="66"/>
        <v>57.092287819669835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6.7444444444444462</v>
      </c>
      <c r="CT86" s="12">
        <f>IF('Données projet'!$A$140&gt;35,CT85+CS86-DB85,IF(A86&lt;'Données projet'!$A$140,$CQ$205^A86,IF(A86='Données projet'!$A$140,'Données projet'!$B$140,CT85+CS86-DB85)))</f>
        <v>209.03666666666666</v>
      </c>
      <c r="CU86" s="17">
        <f>CT86*VLOOKUP('Données projet'!$B$13,Paramètres!$A$1:$I$89,3,0)*VLOOKUP('Données projet'!$B$13,Paramètres!$A$1:$I$89,5,0)</f>
        <v>208.70220800000001</v>
      </c>
      <c r="CV86" s="13">
        <f t="shared" si="95"/>
        <v>51.651883255417047</v>
      </c>
      <c r="CW86" s="20">
        <f t="shared" si="67"/>
        <v>453.45004226985139</v>
      </c>
      <c r="CX86" s="59">
        <f t="shared" si="68"/>
        <v>746.78337560318471</v>
      </c>
      <c r="CY86" s="59">
        <f ca="1">AVERAGE(OFFSET($CX$3,0,0,'Données projet'!$E$13+1,1))-AVERAGE(OFFSET($H$3,0,0,'Données projet'!$E$13+1,1))</f>
        <v>525.74725170626471</v>
      </c>
      <c r="CZ86" s="59">
        <f t="shared" si="96"/>
        <v>259.19103598192197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36.266319020745087</v>
      </c>
      <c r="DH86" s="21">
        <f>EXP(-LN(2)/2)*DH85+(1-EXP(-LN(2)/2))/(LN(2)/2)*DB86*DE86*VLOOKUP('Données projet'!$B$13,Paramètres!$A$1:$I$89,3,0)*0.475*44/12</f>
        <v>0.86642101760402801</v>
      </c>
      <c r="DI86" s="22">
        <f t="shared" si="69"/>
        <v>37.132740038349112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8.0188888888888883</v>
      </c>
      <c r="DO86" s="12">
        <f>IF('Données projet'!$A$166&gt;35,DO85+DN86-DW85,IF(A86&lt;'Données projet'!$A$166,$DL$205^A86,IF(A86='Données projet'!$A$166,'Données projet'!$B$166,DO85+DN86-DW85)))</f>
        <v>275.75111111111141</v>
      </c>
      <c r="DP86" s="17">
        <f>DO86*VLOOKUP('Données projet'!$B$14,Paramètres!$A$1:$I$89,3,0)*VLOOKUP('Données projet'!$B$14,Paramètres!$A$1:$I$89,5,0)</f>
        <v>249.49960533333362</v>
      </c>
      <c r="DQ86" s="13">
        <f t="shared" si="97"/>
        <v>60.478776374100285</v>
      </c>
      <c r="DR86" s="20">
        <f t="shared" si="70"/>
        <v>539.879014807114</v>
      </c>
      <c r="DS86" s="59">
        <f t="shared" si="71"/>
        <v>833.21234814044738</v>
      </c>
      <c r="DT86" s="59">
        <f ca="1">AVERAGE(OFFSET($DS$3,0,0,'Données projet'!$E$14+1,1))-AVERAGE(OFFSET($H$3,0,0,'Données projet'!$E$14+1,1))</f>
        <v>490.06222615476065</v>
      </c>
      <c r="DU86" s="59">
        <f t="shared" si="98"/>
        <v>310.43914804089906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15.341930508863259</v>
      </c>
      <c r="EB86" s="21">
        <f>EXP(-LN(2)/25)*EB85+(1-EXP(-LN(2)/25))/(LN(2)/25)*Calculateur!DW86*Calculateur!DY86*VLOOKUP('Données projet'!$B$14,Paramètres!$A$1:$I$89,3,0)*0.475*44/12</f>
        <v>23.519171946475364</v>
      </c>
      <c r="EC86" s="21">
        <f>EXP(-LN(2)/2)*EC85+(1-EXP(-LN(2)/2))/(LN(2)/2)*DW86*DZ86*VLOOKUP('Données projet'!$B$14,Paramètres!$A$1:$I$89,3,0)*0.475*44/12</f>
        <v>0.24695392585848117</v>
      </c>
      <c r="ED86" s="22">
        <f t="shared" si="72"/>
        <v>39.108056381197109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6.7444444444444462</v>
      </c>
      <c r="EJ86" s="12">
        <f>IF('Données projet'!$A$192&gt;35,EJ85+EI86-ER85,IF(A86&lt;'Données projet'!$A$192,$EG$205^A86,IF(A86='Données projet'!$A$192,'Données projet'!$B$192,EJ85+EI86-ER85)))</f>
        <v>209.03666666666666</v>
      </c>
      <c r="EK86" s="17">
        <f>EJ86*VLOOKUP('Données projet'!$B$15,Paramètres!$A$1:$I$89,3,0)*VLOOKUP('Données projet'!$B$15,Paramètres!$A$1:$I$89,5,0)</f>
        <v>211.96317999999999</v>
      </c>
      <c r="EL86" s="13">
        <f t="shared" si="99"/>
        <v>52.364357316031814</v>
      </c>
      <c r="EM86" s="20">
        <f t="shared" si="73"/>
        <v>460.37046082542201</v>
      </c>
      <c r="EN86" s="59">
        <f t="shared" si="74"/>
        <v>753.70379415875527</v>
      </c>
      <c r="EO86" s="59">
        <f ca="1">AVERAGE(OFFSET($EN$3,0,0,'Données projet'!$E$15+1,1))-AVERAGE(OFFSET($H$3,0,0,'Données projet'!$E$15+1,1))</f>
        <v>533.26035274112917</v>
      </c>
      <c r="EP86" s="59">
        <f t="shared" si="100"/>
        <v>262.58149402282521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36.832980255444227</v>
      </c>
      <c r="EX86" s="21">
        <f>EXP(-LN(2)/2)*EX85+(1-EXP(-LN(2)/2))/(LN(2)/2)*ER86*EU86*VLOOKUP('Données projet'!$B$15,Paramètres!$A$1:$I$89,3,0)*0.475*44/12</f>
        <v>0.8799588460040908</v>
      </c>
      <c r="EY86" s="22">
        <f t="shared" si="75"/>
        <v>37.71293910144832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1.7948717948717898</v>
      </c>
      <c r="FE86" s="12">
        <f>IF('Données projet'!$A$218&gt;35,FE85+FD86-FM85,IF(A86&lt;'Données projet'!$A$218,$FB$205^A86,IF(A86='Données projet'!$A$218,'Données projet'!$B$218,FE85+FD86-FM85)))</f>
        <v>131.6666666666666</v>
      </c>
      <c r="FF86" s="17">
        <f>FE86*VLOOKUP('Données projet'!$B$16,Paramètres!$A$1:$I$89,3,0)*VLOOKUP('Données projet'!$B$16,Paramètres!$A$1:$I$89,5,0)</f>
        <v>137.61799999999994</v>
      </c>
      <c r="FG86" s="13">
        <f t="shared" si="101"/>
        <v>35.750778939526811</v>
      </c>
      <c r="FH86" s="20">
        <f t="shared" si="76"/>
        <v>301.95062331967574</v>
      </c>
      <c r="FI86" s="59">
        <f t="shared" si="77"/>
        <v>595.283956653009</v>
      </c>
      <c r="FJ86" s="59">
        <f ca="1">AVERAGE(OFFSET($FI$3,0,0,'Données projet'!$E$16+1,1))-AVERAGE(OFFSET($H$3,0,0,'Données projet'!$E$16+1,1))</f>
        <v>239.26156489359892</v>
      </c>
      <c r="FK86" s="59">
        <f t="shared" si="102"/>
        <v>213.97034450798111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1.3354621074536894</v>
      </c>
      <c r="FR86" s="21">
        <f>EXP(-LN(2)/25)*FR85+(1-EXP(-LN(2)/25))/(LN(2)/25)*Calculateur!FM86*Calculateur!FO86*VLOOKUP('Données projet'!$B$16,Paramètres!$A$1:$I$89,3,0)*0.475*44/12</f>
        <v>14.836148483754837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16.171610591208527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9.2740000000000009</v>
      </c>
      <c r="N87" s="13">
        <f>IF('Données projet'!$A$36&gt;35,N86+M87-V86,IF(A87&lt;'Données projet'!$A$36,$K$205^A87,IF(A87='Données projet'!$A$36,'Données projet'!$B$36,N86+M87-V86)))</f>
        <v>265.40399999999988</v>
      </c>
      <c r="O87" s="13">
        <f>N87*VLOOKUP('Données projet'!$B$9,Paramètres!$A$1:$I$89,3,0)*VLOOKUP('Données projet'!$B$9,Paramètres!$A$1:$I$89,5,0)</f>
        <v>252.55844639999989</v>
      </c>
      <c r="P87" s="13">
        <f t="shared" si="87"/>
        <v>61.133468574024647</v>
      </c>
      <c r="Q87" s="20">
        <f t="shared" si="54"/>
        <v>546.34675191309282</v>
      </c>
      <c r="R87" s="59">
        <f t="shared" si="55"/>
        <v>839.68008524642619</v>
      </c>
      <c r="S87" s="59">
        <f ca="1">AVERAGE(OFFSET($R$3,0,0,'Données projet'!$E$9+1,1))-AVERAGE(OFFSET($H$3,0,0,'Données projet'!$E$9+1,1))</f>
        <v>449.28947235329758</v>
      </c>
      <c r="T87" s="59">
        <f t="shared" si="88"/>
        <v>289.36994109443964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26.098270690046601</v>
      </c>
      <c r="AA87" s="21">
        <f>EXP(-LN(2)/25)*AA86+(1-EXP(-LN(2)/25))/(LN(2)/25)*Calculateur!V87*Calculateur!X87*VLOOKUP('Données projet'!$B$9,Paramètres!$A$1:$I$89,3,0)*0.475*44/12</f>
        <v>25.663284206859075</v>
      </c>
      <c r="AB87" s="21">
        <f>EXP(-LN(2)/2)*AB86+(1-EXP(-LN(2)/2))/(LN(2)/2)*V87*Y87*VLOOKUP('Données projet'!$B$9,Paramètres!$A$1:$I$89,3,0)*0.475*44/12</f>
        <v>3.3571066108710386</v>
      </c>
      <c r="AC87" s="22">
        <f t="shared" si="57"/>
        <v>55.118661507776714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-2.2737367544323206E-13</v>
      </c>
      <c r="AJ87" s="13">
        <f>AI87*VLOOKUP('Données projet'!$B$10,Paramètres!$A$1:$I$89,3,0)*VLOOKUP('Données projet'!$B$10,Paramètres!$A$1:$I$89,5,0)</f>
        <v>-1.3596945791505279E-13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349.71285006949597</v>
      </c>
      <c r="AO87" s="59">
        <f t="shared" si="90"/>
        <v>258.51550516456842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141.59455776020513</v>
      </c>
      <c r="AV87" s="21">
        <f>EXP(-LN(2)/25)*AV86+(1-EXP(-LN(2)/25))/(LN(2)/25)*Calculateur!AQ87*Calculateur!AS87*VLOOKUP('Données projet'!$B$10,Paramètres!$A$1:$I$89,3,0)*0.475*44/12</f>
        <v>46.312510916019512</v>
      </c>
      <c r="AW87" s="21">
        <f>EXP(-LN(2)/2)*AW86+(1-EXP(-LN(2)/2))/(LN(2)/2)*AQ87*AT87*VLOOKUP('Données projet'!$B$10,Paramètres!$A$1:$I$89,3,0)*0.475*44/12</f>
        <v>17.679160700302177</v>
      </c>
      <c r="AX87" s="21">
        <f t="shared" si="60"/>
        <v>205.58622937652683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1.1368683772161603E-13</v>
      </c>
      <c r="BE87" s="13">
        <f>BD87*VLOOKUP('Données projet'!$B$11,Paramètres!$A$1:$I$89,3,0)*VLOOKUP('Données projet'!$B$11,Paramètres!$A$1:$I$89,5,0)</f>
        <v>6.7984728957526396E-14</v>
      </c>
      <c r="BF87" s="13">
        <f t="shared" si="91"/>
        <v>1.0682447123141398E-12</v>
      </c>
      <c r="BG87" s="20">
        <f t="shared" si="61"/>
        <v>1.978932943548152E-12</v>
      </c>
      <c r="BH87" s="59">
        <f t="shared" si="62"/>
        <v>293.3333333333353</v>
      </c>
      <c r="BI87" s="59">
        <f ca="1">AVERAGE(OFFSET($BH$3,0,0,'Données projet'!$E$11+1,1))-AVERAGE(OFFSET($H$3,0,0,'Données projet'!$E$11+1,1))</f>
        <v>302.00825291248458</v>
      </c>
      <c r="BJ87" s="59">
        <f t="shared" si="92"/>
        <v>307.35115839449355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86.334639583316289</v>
      </c>
      <c r="BQ87" s="21">
        <f>EXP(-LN(2)/25)*BQ86+(1-EXP(-LN(2)/25))/(LN(2)/25)*Calculateur!BL87*Calculateur!BN87*VLOOKUP('Données projet'!$B$11,Paramètres!$A$1:$I$89,3,0)*0.475*44/12</f>
        <v>24.901183041697628</v>
      </c>
      <c r="BR87" s="21">
        <f>EXP(-LN(2)/2)*BR86+(1-EXP(-LN(2)/2))/(LN(2)/2)*BL87*BO87*VLOOKUP('Données projet'!$B$11,Paramètres!$A$1:$I$89,3,0)*0.475*44/12</f>
        <v>1.4639024126795283E-2</v>
      </c>
      <c r="BS87" s="22">
        <f t="shared" si="63"/>
        <v>111.25046164914072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11.117500000000001</v>
      </c>
      <c r="BY87" s="12">
        <f>IF('Données projet'!$A$114&gt;35,BY86+BX87-CG86,IF(A87&lt;'Données projet'!$A$114,$BV$205^A87,IF(A87='Données projet'!$A$114,'Données projet'!$B$114,BY86+BX87-CG86)))</f>
        <v>414.04249999999996</v>
      </c>
      <c r="BZ87" s="13">
        <f>BY87*VLOOKUP('Données projet'!$B$12,Paramètres!$A$1:$I$89,3,0)*VLOOKUP('Données projet'!$B$12,Paramètres!$A$1:$I$89,5,0)</f>
        <v>193.77188999999998</v>
      </c>
      <c r="CA87" s="13">
        <f t="shared" si="93"/>
        <v>48.372907727823183</v>
      </c>
      <c r="CB87" s="20">
        <f t="shared" si="64"/>
        <v>421.73552270929196</v>
      </c>
      <c r="CC87" s="59">
        <f t="shared" si="65"/>
        <v>715.06885604262527</v>
      </c>
      <c r="CD87" s="59">
        <f ca="1">AVERAGE(OFFSET($CC$3,0,0,'Données projet'!$E$12+1,1))-AVERAGE(OFFSET($H$3,0,0,'Données projet'!$E$12+1,1))</f>
        <v>337.10499990421835</v>
      </c>
      <c r="CE87" s="59">
        <f t="shared" si="94"/>
        <v>277.4254079562175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37.903127209806229</v>
      </c>
      <c r="CL87" s="21">
        <f>EXP(-LN(2)/25)*CL86+(1-EXP(-LN(2)/25))/(LN(2)/25)*Calculateur!CG87*Calculateur!CI87*VLOOKUP('Données projet'!$B$12,Paramètres!$A$1:$I$89,3,0)*0.475*44/12</f>
        <v>17.58889147763032</v>
      </c>
      <c r="CM87" s="21">
        <f>EXP(-LN(2)/2)*CM86+(1-EXP(-LN(2)/2))/(LN(2)/2)*CG87*CJ87*VLOOKUP('Données projet'!$B$12,Paramètres!$A$1:$I$89,3,0)*0.475*44/12</f>
        <v>0.24582888264971062</v>
      </c>
      <c r="CN87" s="22">
        <f t="shared" si="66"/>
        <v>55.737847570086259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6.7444444444444462</v>
      </c>
      <c r="CT87" s="12">
        <f>IF('Données projet'!$A$140&gt;35,CT86+CS87-DB86,IF(A87&lt;'Données projet'!$A$140,$CQ$205^A87,IF(A87='Données projet'!$A$140,'Données projet'!$B$140,CT86+CS87-DB86)))</f>
        <v>215.7811111111111</v>
      </c>
      <c r="CU87" s="17">
        <f>CT87*VLOOKUP('Données projet'!$B$13,Paramètres!$A$1:$I$89,3,0)*VLOOKUP('Données projet'!$B$13,Paramètres!$A$1:$I$89,5,0)</f>
        <v>215.43586133333335</v>
      </c>
      <c r="CV87" s="13">
        <f t="shared" si="95"/>
        <v>53.121685627755475</v>
      </c>
      <c r="CW87" s="20">
        <f t="shared" si="67"/>
        <v>467.73772762389626</v>
      </c>
      <c r="CX87" s="59">
        <f t="shared" si="68"/>
        <v>761.07106095722952</v>
      </c>
      <c r="CY87" s="59">
        <f ca="1">AVERAGE(OFFSET($CX$3,0,0,'Données projet'!$E$13+1,1))-AVERAGE(OFFSET($H$3,0,0,'Données projet'!$E$13+1,1))</f>
        <v>525.74725170626471</v>
      </c>
      <c r="CZ87" s="59">
        <f t="shared" si="96"/>
        <v>259.19103598192197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35.274614619959983</v>
      </c>
      <c r="DH87" s="21">
        <f>EXP(-LN(2)/2)*DH86+(1-EXP(-LN(2)/2))/(LN(2)/2)*DB87*DE87*VLOOKUP('Données projet'!$B$13,Paramètres!$A$1:$I$89,3,0)*0.475*44/12</f>
        <v>0.61265217691035734</v>
      </c>
      <c r="DI87" s="22">
        <f t="shared" si="69"/>
        <v>35.887266796870342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283.77</v>
      </c>
      <c r="DM87" s="12">
        <f>VLOOKUP(A87,'Données projet'!$A$165:$I$185,9,0)</f>
        <v>8.0188888888888883</v>
      </c>
      <c r="DN87" s="12">
        <f t="array" ref="DN87">INDEX(DM:DM,MIN(IF(ISNUMBER(DM87:DM283),ROW(DM87:DM283),"")))</f>
        <v>8.0188888888888883</v>
      </c>
      <c r="DO87" s="12">
        <f>IF('Données projet'!$A$166&gt;35,DO86+DN87-DW86,IF(A87&lt;'Données projet'!$A$166,$DL$205^A87,IF(A87='Données projet'!$A$166,'Données projet'!$B$166,DO86+DN87-DW86)))</f>
        <v>283.77000000000032</v>
      </c>
      <c r="DP87" s="17">
        <f>DO87*VLOOKUP('Données projet'!$B$14,Paramètres!$A$1:$I$89,3,0)*VLOOKUP('Données projet'!$B$14,Paramètres!$A$1:$I$89,5,0)</f>
        <v>256.75509600000026</v>
      </c>
      <c r="DQ87" s="13">
        <f t="shared" si="97"/>
        <v>62.030190794062349</v>
      </c>
      <c r="DR87" s="20">
        <f t="shared" si="70"/>
        <v>555.21770783299235</v>
      </c>
      <c r="DS87" s="59">
        <f t="shared" si="71"/>
        <v>848.5510411663256</v>
      </c>
      <c r="DT87" s="59">
        <f ca="1">AVERAGE(OFFSET($DS$3,0,0,'Données projet'!$E$14+1,1))-AVERAGE(OFFSET($H$3,0,0,'Données projet'!$E$14+1,1))</f>
        <v>490.06222615476065</v>
      </c>
      <c r="DU87" s="59">
        <f t="shared" si="98"/>
        <v>310.43914804089906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49.669999999999987</v>
      </c>
      <c r="DX87" s="16">
        <f>IF(ISNA(VLOOKUP(A87,'Données projet'!$A$165:$I$185,5,0)),0%,VLOOKUP(A87,'Données projet'!$A$165:$I$185,5,0)*VLOOKUP('Données projet'!$B$14,Paramètres!$A$1:$I$89,7,0))</f>
        <v>0.15049999999999999</v>
      </c>
      <c r="DY87" s="16">
        <f>IF(ISNA(VLOOKUP(A87,'Données projet'!$A$165:$I$185,6,0)),0%,VLOOKUP(A87,'Données projet'!$A$165:$I$185,6,0)*VLOOKUP('Données projet'!$B$14,Paramètres!$A$1:$I$89,7,0))</f>
        <v>8.6000000000000007E-2</v>
      </c>
      <c r="DZ87" s="16">
        <f>IF(ISNA(VLOOKUP(A87,'Données projet'!$A$165:$I$185,7,0)),0%,VLOOKUP(A87,'Données projet'!$A$165:$I$185,7,0))</f>
        <v>0.1</v>
      </c>
      <c r="EA87" s="21">
        <f>EXP(-LN(2)/35)*EA86+(1-EXP(-LN(2)/35))/(LN(2)/35)*DW87*DX87*VLOOKUP('Données projet'!$B$14,Paramètres!$A$1:$I$89,3,0)*0.475*44/12</f>
        <v>22.518135941679432</v>
      </c>
      <c r="EB87" s="21">
        <f>EXP(-LN(2)/25)*EB86+(1-EXP(-LN(2)/25))/(LN(2)/25)*Calculateur!DW87*Calculateur!DY87*VLOOKUP('Données projet'!$B$14,Paramètres!$A$1:$I$89,3,0)*0.475*44/12</f>
        <v>27.131816856988426</v>
      </c>
      <c r="EC87" s="21">
        <f>EXP(-LN(2)/2)*EC86+(1-EXP(-LN(2)/2))/(LN(2)/2)*DW87*DZ87*VLOOKUP('Données projet'!$B$14,Paramètres!$A$1:$I$89,3,0)*0.475*44/12</f>
        <v>4.4149663532628933</v>
      </c>
      <c r="ED87" s="22">
        <f t="shared" si="72"/>
        <v>54.064919151930745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6.7444444444444462</v>
      </c>
      <c r="EJ87" s="12">
        <f>IF('Données projet'!$A$192&gt;35,EJ86+EI87-ER86,IF(A87&lt;'Données projet'!$A$192,$EG$205^A87,IF(A87='Données projet'!$A$192,'Données projet'!$B$192,EJ86+EI87-ER86)))</f>
        <v>215.7811111111111</v>
      </c>
      <c r="EK87" s="17">
        <f>EJ87*VLOOKUP('Données projet'!$B$15,Paramètres!$A$1:$I$89,3,0)*VLOOKUP('Données projet'!$B$15,Paramètres!$A$1:$I$89,5,0)</f>
        <v>218.80204666666666</v>
      </c>
      <c r="EL87" s="13">
        <f t="shared" si="99"/>
        <v>53.854433800339066</v>
      </c>
      <c r="EM87" s="20">
        <f t="shared" si="73"/>
        <v>474.87670348003502</v>
      </c>
      <c r="EN87" s="59">
        <f t="shared" si="74"/>
        <v>768.21003681336833</v>
      </c>
      <c r="EO87" s="59">
        <f ca="1">AVERAGE(OFFSET($EN$3,0,0,'Données projet'!$E$15+1,1))-AVERAGE(OFFSET($H$3,0,0,'Données projet'!$E$15+1,1))</f>
        <v>533.26035274112917</v>
      </c>
      <c r="EP87" s="59">
        <f t="shared" si="100"/>
        <v>262.58149402282521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35.825780473396854</v>
      </c>
      <c r="EX87" s="21">
        <f>EXP(-LN(2)/2)*EX86+(1-EXP(-LN(2)/2))/(LN(2)/2)*ER87*EU87*VLOOKUP('Données projet'!$B$15,Paramètres!$A$1:$I$89,3,0)*0.475*44/12</f>
        <v>0.62222486717458159</v>
      </c>
      <c r="EY87" s="22">
        <f t="shared" si="75"/>
        <v>36.448005340571434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1.7948717948717898</v>
      </c>
      <c r="FE87" s="12">
        <f>IF('Données projet'!$A$218&gt;35,FE86+FD87-FM86,IF(A87&lt;'Données projet'!$A$218,$FB$205^A87,IF(A87='Données projet'!$A$218,'Données projet'!$B$218,FE86+FD87-FM86)))</f>
        <v>133.4615384615384</v>
      </c>
      <c r="FF87" s="17">
        <f>FE87*VLOOKUP('Données projet'!$B$16,Paramètres!$A$1:$I$89,3,0)*VLOOKUP('Données projet'!$B$16,Paramètres!$A$1:$I$89,5,0)</f>
        <v>139.49399999999994</v>
      </c>
      <c r="FG87" s="13">
        <f t="shared" si="101"/>
        <v>36.181063584224482</v>
      </c>
      <c r="FH87" s="20">
        <f t="shared" si="76"/>
        <v>305.96740240919087</v>
      </c>
      <c r="FI87" s="59">
        <f t="shared" si="77"/>
        <v>599.30073574252424</v>
      </c>
      <c r="FJ87" s="59">
        <f ca="1">AVERAGE(OFFSET($FI$3,0,0,'Données projet'!$E$16+1,1))-AVERAGE(OFFSET($H$3,0,0,'Données projet'!$E$16+1,1))</f>
        <v>239.26156489359892</v>
      </c>
      <c r="FK87" s="59">
        <f t="shared" si="102"/>
        <v>213.97034450798111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1.3092745100779779</v>
      </c>
      <c r="FR87" s="21">
        <f>EXP(-LN(2)/25)*FR86+(1-EXP(-LN(2)/25))/(LN(2)/25)*Calculateur!FM87*Calculateur!FO87*VLOOKUP('Données projet'!$B$16,Paramètres!$A$1:$I$89,3,0)*0.475*44/12</f>
        <v>14.430453223267421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15.739727733345399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9.2740000000000009</v>
      </c>
      <c r="N88" s="13">
        <f>IF('Données projet'!$A$36&gt;35,N87+M88-V87,IF(A88&lt;'Données projet'!$A$36,$K$205^A88,IF(A88='Données projet'!$A$36,'Données projet'!$B$36,N87+M88-V87)))</f>
        <v>274.67799999999988</v>
      </c>
      <c r="O88" s="13">
        <f>N88*VLOOKUP('Données projet'!$B$9,Paramètres!$A$1:$I$89,3,0)*VLOOKUP('Données projet'!$B$9,Paramètres!$A$1:$I$89,5,0)</f>
        <v>261.38358479999988</v>
      </c>
      <c r="P88" s="13">
        <f t="shared" si="87"/>
        <v>63.017211162903877</v>
      </c>
      <c r="Q88" s="20">
        <f t="shared" si="54"/>
        <v>564.9980529687241</v>
      </c>
      <c r="R88" s="59">
        <f t="shared" si="55"/>
        <v>858.33138630205735</v>
      </c>
      <c r="S88" s="59">
        <f ca="1">AVERAGE(OFFSET($R$3,0,0,'Données projet'!$E$9+1,1))-AVERAGE(OFFSET($H$3,0,0,'Données projet'!$E$9+1,1))</f>
        <v>449.28947235329758</v>
      </c>
      <c r="T88" s="59">
        <f t="shared" si="88"/>
        <v>289.36994109443964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25.586499520188099</v>
      </c>
      <c r="AA88" s="21">
        <f>EXP(-LN(2)/25)*AA87+(1-EXP(-LN(2)/25))/(LN(2)/25)*Calculateur!V88*Calculateur!X88*VLOOKUP('Données projet'!$B$9,Paramètres!$A$1:$I$89,3,0)*0.475*44/12</f>
        <v>24.96152035064905</v>
      </c>
      <c r="AB88" s="21">
        <f>EXP(-LN(2)/2)*AB87+(1-EXP(-LN(2)/2))/(LN(2)/2)*V88*Y88*VLOOKUP('Données projet'!$B$9,Paramètres!$A$1:$I$89,3,0)*0.475*44/12</f>
        <v>2.3738328497130996</v>
      </c>
      <c r="AC88" s="22">
        <f t="shared" si="57"/>
        <v>52.921852720550248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-2.2737367544323206E-13</v>
      </c>
      <c r="AJ88" s="13">
        <f>AI88*VLOOKUP('Données projet'!$B$10,Paramètres!$A$1:$I$89,3,0)*VLOOKUP('Données projet'!$B$10,Paramètres!$A$1:$I$89,5,0)</f>
        <v>-1.3596945791505279E-13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349.71285006949597</v>
      </c>
      <c r="AO88" s="59">
        <f t="shared" si="90"/>
        <v>258.51550516456842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138.81797484667999</v>
      </c>
      <c r="AV88" s="21">
        <f>EXP(-LN(2)/25)*AV87+(1-EXP(-LN(2)/25))/(LN(2)/25)*Calculateur!AQ88*Calculateur!AS88*VLOOKUP('Données projet'!$B$10,Paramètres!$A$1:$I$89,3,0)*0.475*44/12</f>
        <v>45.046092869551856</v>
      </c>
      <c r="AW88" s="21">
        <f>EXP(-LN(2)/2)*AW87+(1-EXP(-LN(2)/2))/(LN(2)/2)*AQ88*AT88*VLOOKUP('Données projet'!$B$10,Paramètres!$A$1:$I$89,3,0)*0.475*44/12</f>
        <v>12.501054416870382</v>
      </c>
      <c r="AX88" s="21">
        <f t="shared" si="60"/>
        <v>196.3651221331022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1.1368683772161603E-13</v>
      </c>
      <c r="BE88" s="13">
        <f>BD88*VLOOKUP('Données projet'!$B$11,Paramètres!$A$1:$I$89,3,0)*VLOOKUP('Données projet'!$B$11,Paramètres!$A$1:$I$89,5,0)</f>
        <v>6.7984728957526396E-14</v>
      </c>
      <c r="BF88" s="13">
        <f t="shared" si="91"/>
        <v>1.0682447123141398E-12</v>
      </c>
      <c r="BG88" s="20">
        <f t="shared" si="61"/>
        <v>1.978932943548152E-12</v>
      </c>
      <c r="BH88" s="59">
        <f t="shared" si="62"/>
        <v>293.3333333333353</v>
      </c>
      <c r="BI88" s="59">
        <f ca="1">AVERAGE(OFFSET($BH$3,0,0,'Données projet'!$E$11+1,1))-AVERAGE(OFFSET($H$3,0,0,'Données projet'!$E$11+1,1))</f>
        <v>302.00825291248458</v>
      </c>
      <c r="BJ88" s="59">
        <f t="shared" si="92"/>
        <v>307.35115839449355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84.641669960017964</v>
      </c>
      <c r="BQ88" s="21">
        <f>EXP(-LN(2)/25)*BQ87+(1-EXP(-LN(2)/25))/(LN(2)/25)*Calculateur!BL88*Calculateur!BN88*VLOOKUP('Données projet'!$B$11,Paramètres!$A$1:$I$89,3,0)*0.475*44/12</f>
        <v>24.220258881926103</v>
      </c>
      <c r="BR88" s="21">
        <f>EXP(-LN(2)/2)*BR87+(1-EXP(-LN(2)/2))/(LN(2)/2)*BL88*BO88*VLOOKUP('Données projet'!$B$11,Paramètres!$A$1:$I$89,3,0)*0.475*44/12</f>
        <v>1.0351353230010423E-2</v>
      </c>
      <c r="BS88" s="22">
        <f t="shared" si="63"/>
        <v>108.87228019517407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425.16</v>
      </c>
      <c r="BW88" s="12">
        <f>VLOOKUP(A88,'Données projet'!$A$113:$I$133,9,0)</f>
        <v>11.117500000000001</v>
      </c>
      <c r="BX88" s="12">
        <f t="array" ref="BX88">INDEX(BW:BW,MIN(IF(ISNUMBER(BW88:BW284),ROW(BW88:BW284),"")))</f>
        <v>11.117500000000001</v>
      </c>
      <c r="BY88" s="12">
        <f>IF('Données projet'!$A$114&gt;35,BY87+BX88-CG87,IF(A88&lt;'Données projet'!$A$114,$BV$205^A88,IF(A88='Données projet'!$A$114,'Données projet'!$B$114,BY87+BX88-CG87)))</f>
        <v>425.15999999999997</v>
      </c>
      <c r="BZ88" s="13">
        <f>BY88*VLOOKUP('Données projet'!$B$12,Paramètres!$A$1:$I$89,3,0)*VLOOKUP('Données projet'!$B$12,Paramètres!$A$1:$I$89,5,0)</f>
        <v>198.97487999999998</v>
      </c>
      <c r="CA88" s="13">
        <f t="shared" si="93"/>
        <v>49.518810041794701</v>
      </c>
      <c r="CB88" s="20">
        <f t="shared" si="64"/>
        <v>432.79317682279242</v>
      </c>
      <c r="CC88" s="59">
        <f t="shared" si="65"/>
        <v>726.12651015612573</v>
      </c>
      <c r="CD88" s="59">
        <f ca="1">AVERAGE(OFFSET($CC$3,0,0,'Données projet'!$E$12+1,1))-AVERAGE(OFFSET($H$3,0,0,'Données projet'!$E$12+1,1))</f>
        <v>337.10499990421835</v>
      </c>
      <c r="CE88" s="59">
        <f t="shared" si="94"/>
        <v>277.4254079562175</v>
      </c>
      <c r="CF88" s="15">
        <f>IF(ISNA(VLOOKUP(A88,'Données projet'!$A$113:$I$133,3,0)),0,VLOOKUP(A88,'Données projet'!$A$113:$I$133,3,0))</f>
        <v>4</v>
      </c>
      <c r="CG88" s="15">
        <f>IF(ISNA(VLOOKUP(A88,'Données projet'!$A$113:$I$133,4,0)),0,VLOOKUP(A88,'Données projet'!$A$113:$I$133,4,0))</f>
        <v>95.720000000000027</v>
      </c>
      <c r="CH88" s="16">
        <f>IF(ISNA(VLOOKUP(A88,'Données projet'!$A$113:$I$133,5,0)),0%,VLOOKUP(A88,'Données projet'!$A$113:$I$133,5,0)*VLOOKUP('Données projet'!$B$12,Paramètres!$A$1:$I$89,7,0))</f>
        <v>0.33</v>
      </c>
      <c r="CI88" s="16">
        <f>IF(ISNA(VLOOKUP(A88,'Données projet'!$A$113:$I$133,6,0)),0%,VLOOKUP(A88,'Données projet'!$A$113:$I$133,6,0)*VLOOKUP('Données projet'!$B$12,Paramètres!$A$1:$I$89,7,0))</f>
        <v>0.11000000000000001</v>
      </c>
      <c r="CJ88" s="16">
        <f>IF(ISNA(VLOOKUP(A88,'Données projet'!$A$113:$I$133,7,0)),0%,VLOOKUP(A88,'Données projet'!$A$113:$I$133,7,0))</f>
        <v>0.2</v>
      </c>
      <c r="CK88" s="21">
        <f>EXP(-LN(2)/35)*CK87+(1-EXP(-LN(2)/35))/(LN(2)/35)*CG88*CH88*VLOOKUP('Données projet'!$B$12,Paramètres!$A$1:$I$89,3,0)*0.475*44/12</f>
        <v>56.770468103603221</v>
      </c>
      <c r="CL88" s="21">
        <f>EXP(-LN(2)/25)*CL87+(1-EXP(-LN(2)/25))/(LN(2)/25)*Calculateur!CG88*Calculateur!CI88*VLOOKUP('Données projet'!$B$12,Paramètres!$A$1:$I$89,3,0)*0.475*44/12</f>
        <v>23.619050216152928</v>
      </c>
      <c r="CM88" s="21">
        <f>EXP(-LN(2)/2)*CM87+(1-EXP(-LN(2)/2))/(LN(2)/2)*CG88*CJ88*VLOOKUP('Données projet'!$B$12,Paramètres!$A$1:$I$89,3,0)*0.475*44/12</f>
        <v>10.317940258533362</v>
      </c>
      <c r="CN88" s="22">
        <f t="shared" si="66"/>
        <v>90.707458578289504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6.7444444444444462</v>
      </c>
      <c r="CT88" s="12">
        <f>IF('Données projet'!$A$140&gt;35,CT87+CS88-DB87,IF(A88&lt;'Données projet'!$A$140,$CQ$205^A88,IF(A88='Données projet'!$A$140,'Données projet'!$B$140,CT87+CS88-DB87)))</f>
        <v>222.52555555555554</v>
      </c>
      <c r="CU88" s="17">
        <f>CT88*VLOOKUP('Données projet'!$B$13,Paramètres!$A$1:$I$89,3,0)*VLOOKUP('Données projet'!$B$13,Paramètres!$A$1:$I$89,5,0)</f>
        <v>222.16951466666669</v>
      </c>
      <c r="CV88" s="13">
        <f t="shared" si="95"/>
        <v>54.586149372666704</v>
      </c>
      <c r="CW88" s="20">
        <f t="shared" si="67"/>
        <v>482.01611486850567</v>
      </c>
      <c r="CX88" s="59">
        <f t="shared" si="68"/>
        <v>775.34944820183898</v>
      </c>
      <c r="CY88" s="59">
        <f ca="1">AVERAGE(OFFSET($CX$3,0,0,'Données projet'!$E$13+1,1))-AVERAGE(OFFSET($H$3,0,0,'Données projet'!$E$13+1,1))</f>
        <v>525.74725170626471</v>
      </c>
      <c r="CZ88" s="59">
        <f t="shared" si="96"/>
        <v>259.19103598192197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34.310028428165815</v>
      </c>
      <c r="DH88" s="21">
        <f>EXP(-LN(2)/2)*DH87+(1-EXP(-LN(2)/2))/(LN(2)/2)*DB88*DE88*VLOOKUP('Données projet'!$B$13,Paramètres!$A$1:$I$89,3,0)*0.475*44/12</f>
        <v>0.43321050880201406</v>
      </c>
      <c r="DI88" s="22">
        <f t="shared" si="69"/>
        <v>34.743238936967828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7.6966666666666681</v>
      </c>
      <c r="DO88" s="12">
        <f>IF('Données projet'!$A$166&gt;35,DO87+DN88-DW87,IF(A88&lt;'Données projet'!$A$166,$DL$205^A88,IF(A88='Données projet'!$A$166,'Données projet'!$B$166,DO87+DN88-DW87)))</f>
        <v>241.79666666666699</v>
      </c>
      <c r="DP88" s="17">
        <f>DO88*VLOOKUP('Données projet'!$B$14,Paramètres!$A$1:$I$89,3,0)*VLOOKUP('Données projet'!$B$14,Paramètres!$A$1:$I$89,5,0)</f>
        <v>218.77762400000032</v>
      </c>
      <c r="DQ88" s="13">
        <f t="shared" si="97"/>
        <v>53.849122245192362</v>
      </c>
      <c r="DR88" s="20">
        <f t="shared" si="70"/>
        <v>474.82491637704396</v>
      </c>
      <c r="DS88" s="59">
        <f t="shared" si="71"/>
        <v>768.15824971037728</v>
      </c>
      <c r="DT88" s="59">
        <f ca="1">AVERAGE(OFFSET($DS$3,0,0,'Données projet'!$E$14+1,1))-AVERAGE(OFFSET($H$3,0,0,'Données projet'!$E$14+1,1))</f>
        <v>490.06222615476065</v>
      </c>
      <c r="DU88" s="59">
        <f t="shared" si="98"/>
        <v>310.43914804089906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22.076569030569832</v>
      </c>
      <c r="EB88" s="21">
        <f>EXP(-LN(2)/25)*EB87+(1-EXP(-LN(2)/25))/(LN(2)/25)*Calculateur!DW88*Calculateur!DY88*VLOOKUP('Données projet'!$B$14,Paramètres!$A$1:$I$89,3,0)*0.475*44/12</f>
        <v>26.389895898233839</v>
      </c>
      <c r="EC88" s="21">
        <f>EXP(-LN(2)/2)*EC87+(1-EXP(-LN(2)/2))/(LN(2)/2)*DW88*DZ88*VLOOKUP('Données projet'!$B$14,Paramètres!$A$1:$I$89,3,0)*0.475*44/12</f>
        <v>3.1218526471026347</v>
      </c>
      <c r="ED88" s="22">
        <f t="shared" si="72"/>
        <v>51.588317575906309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6.7444444444444462</v>
      </c>
      <c r="EJ88" s="12">
        <f>IF('Données projet'!$A$192&gt;35,EJ87+EI88-ER87,IF(A88&lt;'Données projet'!$A$192,$EG$205^A88,IF(A88='Données projet'!$A$192,'Données projet'!$B$192,EJ87+EI88-ER87)))</f>
        <v>222.52555555555554</v>
      </c>
      <c r="EK88" s="17">
        <f>EJ88*VLOOKUP('Données projet'!$B$15,Paramètres!$A$1:$I$89,3,0)*VLOOKUP('Données projet'!$B$15,Paramètres!$A$1:$I$89,5,0)</f>
        <v>225.64091333333332</v>
      </c>
      <c r="EL88" s="13">
        <f t="shared" si="99"/>
        <v>55.339098017434395</v>
      </c>
      <c r="EM88" s="20">
        <f t="shared" si="73"/>
        <v>489.37351976925379</v>
      </c>
      <c r="EN88" s="59">
        <f t="shared" si="74"/>
        <v>782.70685310258705</v>
      </c>
      <c r="EO88" s="59">
        <f ca="1">AVERAGE(OFFSET($EN$3,0,0,'Données projet'!$E$15+1,1))-AVERAGE(OFFSET($H$3,0,0,'Données projet'!$E$15+1,1))</f>
        <v>533.26035274112917</v>
      </c>
      <c r="EP88" s="59">
        <f t="shared" si="100"/>
        <v>262.58149402282521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34.8461226223559</v>
      </c>
      <c r="EX88" s="21">
        <f>EXP(-LN(2)/2)*EX87+(1-EXP(-LN(2)/2))/(LN(2)/2)*ER88*EU88*VLOOKUP('Données projet'!$B$15,Paramètres!$A$1:$I$89,3,0)*0.475*44/12</f>
        <v>0.43997942300204551</v>
      </c>
      <c r="EY88" s="22">
        <f t="shared" si="75"/>
        <v>35.286102045357943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135.25641025641025</v>
      </c>
      <c r="FC88" s="12">
        <f>VLOOKUP(A88,'Données projet'!$A$217:$I$237,9,0)</f>
        <v>1.7948717948717898</v>
      </c>
      <c r="FD88" s="12">
        <f t="array" ref="FD88">INDEX(FC:FC,MIN(IF(ISNUMBER(FC88:FC284),ROW(FC88:FC284),"")))</f>
        <v>1.7948717948717898</v>
      </c>
      <c r="FE88" s="12">
        <f>IF('Données projet'!$A$218&gt;35,FE87+FD88-FM87,IF(A88&lt;'Données projet'!$A$218,$FB$205^A88,IF(A88='Données projet'!$A$218,'Données projet'!$B$218,FE87+FD88-FM87)))</f>
        <v>135.25641025641019</v>
      </c>
      <c r="FF88" s="17">
        <f>FE88*VLOOKUP('Données projet'!$B$16,Paramètres!$A$1:$I$89,3,0)*VLOOKUP('Données projet'!$B$16,Paramètres!$A$1:$I$89,5,0)</f>
        <v>141.36999999999995</v>
      </c>
      <c r="FG88" s="13">
        <f t="shared" si="101"/>
        <v>36.610675159135553</v>
      </c>
      <c r="FH88" s="20">
        <f t="shared" si="76"/>
        <v>309.98300923549431</v>
      </c>
      <c r="FI88" s="59">
        <f t="shared" si="77"/>
        <v>603.31634256882762</v>
      </c>
      <c r="FJ88" s="59">
        <f ca="1">AVERAGE(OFFSET($FI$3,0,0,'Données projet'!$E$16+1,1))-AVERAGE(OFFSET($H$3,0,0,'Données projet'!$E$16+1,1))</f>
        <v>239.26156489359892</v>
      </c>
      <c r="FK88" s="59">
        <f t="shared" si="102"/>
        <v>213.97034450798111</v>
      </c>
      <c r="FL88" s="15">
        <f>IF(ISNA(VLOOKUP(A88,'Données projet'!$A$217:$I$237,3,0)),0,VLOOKUP(A88,'Données projet'!$A$217:$I$237,3,0))</f>
        <v>14</v>
      </c>
      <c r="FM88" s="15">
        <f>IF(ISNA(VLOOKUP(A88,'Données projet'!$A$217:$I$237,4,0)),0,VLOOKUP(A88,'Données projet'!$A$217:$I$237,4,0))</f>
        <v>6.4102564102564097</v>
      </c>
      <c r="FN88" s="16">
        <f>IF(ISNA(VLOOKUP(A88,'Données projet'!$A$217:$I$237,5,0)),0%,VLOOKUP(A88,'Données projet'!$A$217:$I$237,5,0)*VLOOKUP('Données projet'!$B$16,Paramètres!$A$1:$I$89,7,0))</f>
        <v>4.3000000000000003E-2</v>
      </c>
      <c r="FO88" s="16">
        <f>IF(ISNA(VLOOKUP(A88,'Données projet'!$A$217:$I$237,6,0)),0%,VLOOKUP(A88,'Données projet'!$A$217:$I$237,6,0)*VLOOKUP('Données projet'!$B$16,Paramètres!$A$1:$I$89,7,0))</f>
        <v>0.215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1.6020864518573896</v>
      </c>
      <c r="FR88" s="21">
        <f>EXP(-LN(2)/25)*FR87+(1-EXP(-LN(2)/25))/(LN(2)/25)*Calculateur!FM88*Calculateur!FO88*VLOOKUP('Données projet'!$B$16,Paramètres!$A$1:$I$89,3,0)*0.475*44/12</f>
        <v>15.622011798734682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17.224098250592071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9.2740000000000009</v>
      </c>
      <c r="N89" s="13">
        <f>IF('Données projet'!$A$36&gt;35,N88+M89-V88,IF(A89&lt;'Données projet'!$A$36,$K$205^A89,IF(A89='Données projet'!$A$36,'Données projet'!$B$36,N88+M89-V88)))</f>
        <v>283.95199999999988</v>
      </c>
      <c r="O89" s="13">
        <f>N89*VLOOKUP('Données projet'!$B$9,Paramètres!$A$1:$I$89,3,0)*VLOOKUP('Données projet'!$B$9,Paramètres!$A$1:$I$89,5,0)</f>
        <v>270.20872319999989</v>
      </c>
      <c r="P89" s="13">
        <f t="shared" si="87"/>
        <v>64.893563626315952</v>
      </c>
      <c r="Q89" s="20">
        <f t="shared" si="54"/>
        <v>583.63648288916681</v>
      </c>
      <c r="R89" s="59">
        <f t="shared" si="55"/>
        <v>876.96981622250019</v>
      </c>
      <c r="S89" s="59">
        <f ca="1">AVERAGE(OFFSET($R$3,0,0,'Données projet'!$E$9+1,1))-AVERAGE(OFFSET($H$3,0,0,'Données projet'!$E$9+1,1))</f>
        <v>449.28947235329758</v>
      </c>
      <c r="T89" s="59">
        <f t="shared" si="88"/>
        <v>289.36994109443964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25.084763870820932</v>
      </c>
      <c r="AA89" s="21">
        <f>EXP(-LN(2)/25)*AA88+(1-EXP(-LN(2)/25))/(LN(2)/25)*Calculateur!V89*Calculateur!X89*VLOOKUP('Données projet'!$B$9,Paramètres!$A$1:$I$89,3,0)*0.475*44/12</f>
        <v>24.278946263991248</v>
      </c>
      <c r="AB89" s="21">
        <f>EXP(-LN(2)/2)*AB88+(1-EXP(-LN(2)/2))/(LN(2)/2)*V89*Y89*VLOOKUP('Données projet'!$B$9,Paramètres!$A$1:$I$89,3,0)*0.475*44/12</f>
        <v>1.6785533054355193</v>
      </c>
      <c r="AC89" s="22">
        <f t="shared" si="57"/>
        <v>51.042263440247702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-2.2737367544323206E-13</v>
      </c>
      <c r="AJ89" s="13">
        <f>AI89*VLOOKUP('Données projet'!$B$10,Paramètres!$A$1:$I$89,3,0)*VLOOKUP('Données projet'!$B$10,Paramètres!$A$1:$I$89,5,0)</f>
        <v>-1.3596945791505279E-13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349.71285006949597</v>
      </c>
      <c r="AO89" s="59">
        <f t="shared" si="90"/>
        <v>258.51550516456842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136.09583903054073</v>
      </c>
      <c r="AV89" s="21">
        <f>EXP(-LN(2)/25)*AV88+(1-EXP(-LN(2)/25))/(LN(2)/25)*Calculateur!AQ89*Calculateur!AS89*VLOOKUP('Données projet'!$B$10,Paramètres!$A$1:$I$89,3,0)*0.475*44/12</f>
        <v>43.814305091162893</v>
      </c>
      <c r="AW89" s="21">
        <f>EXP(-LN(2)/2)*AW88+(1-EXP(-LN(2)/2))/(LN(2)/2)*AQ89*AT89*VLOOKUP('Données projet'!$B$10,Paramètres!$A$1:$I$89,3,0)*0.475*44/12</f>
        <v>8.8395803501510883</v>
      </c>
      <c r="AX89" s="21">
        <f t="shared" si="60"/>
        <v>188.74972447185473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1.1368683772161603E-13</v>
      </c>
      <c r="BE89" s="13">
        <f>BD89*VLOOKUP('Données projet'!$B$11,Paramètres!$A$1:$I$89,3,0)*VLOOKUP('Données projet'!$B$11,Paramètres!$A$1:$I$89,5,0)</f>
        <v>6.7984728957526396E-14</v>
      </c>
      <c r="BF89" s="13">
        <f t="shared" si="91"/>
        <v>1.0682447123141398E-12</v>
      </c>
      <c r="BG89" s="20">
        <f t="shared" si="61"/>
        <v>1.978932943548152E-12</v>
      </c>
      <c r="BH89" s="59">
        <f t="shared" si="62"/>
        <v>293.3333333333353</v>
      </c>
      <c r="BI89" s="59">
        <f ca="1">AVERAGE(OFFSET($BH$3,0,0,'Données projet'!$E$11+1,1))-AVERAGE(OFFSET($H$3,0,0,'Données projet'!$E$11+1,1))</f>
        <v>302.00825291248458</v>
      </c>
      <c r="BJ89" s="59">
        <f t="shared" si="92"/>
        <v>307.35115839449355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82.981898438423016</v>
      </c>
      <c r="BQ89" s="21">
        <f>EXP(-LN(2)/25)*BQ88+(1-EXP(-LN(2)/25))/(LN(2)/25)*Calculateur!BL89*Calculateur!BN89*VLOOKUP('Données projet'!$B$11,Paramètres!$A$1:$I$89,3,0)*0.475*44/12</f>
        <v>23.557954629111777</v>
      </c>
      <c r="BR89" s="21">
        <f>EXP(-LN(2)/2)*BR88+(1-EXP(-LN(2)/2))/(LN(2)/2)*BL89*BO89*VLOOKUP('Données projet'!$B$11,Paramètres!$A$1:$I$89,3,0)*0.475*44/12</f>
        <v>7.3195120633976424E-3</v>
      </c>
      <c r="BS89" s="22">
        <f t="shared" si="63"/>
        <v>106.5471725795982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10.192500000000001</v>
      </c>
      <c r="BY89" s="12">
        <f>IF('Données projet'!$A$114&gt;35,BY88+BX89-CG88,IF(A89&lt;'Données projet'!$A$114,$BV$205^A89,IF(A89='Données projet'!$A$114,'Données projet'!$B$114,BY88+BX89-CG88)))</f>
        <v>339.63249999999994</v>
      </c>
      <c r="BZ89" s="13">
        <f>BY89*VLOOKUP('Données projet'!$B$12,Paramètres!$A$1:$I$89,3,0)*VLOOKUP('Données projet'!$B$12,Paramètres!$A$1:$I$89,5,0)</f>
        <v>158.94800999999998</v>
      </c>
      <c r="CA89" s="13">
        <f t="shared" si="93"/>
        <v>40.605145105192584</v>
      </c>
      <c r="CB89" s="20">
        <f t="shared" si="64"/>
        <v>347.55507847487706</v>
      </c>
      <c r="CC89" s="59">
        <f t="shared" si="65"/>
        <v>640.88841180821032</v>
      </c>
      <c r="CD89" s="59">
        <f ca="1">AVERAGE(OFFSET($CC$3,0,0,'Données projet'!$E$12+1,1))-AVERAGE(OFFSET($H$3,0,0,'Données projet'!$E$12+1,1))</f>
        <v>337.10499990421835</v>
      </c>
      <c r="CE89" s="59">
        <f t="shared" si="94"/>
        <v>277.4254079562175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55.657233850658017</v>
      </c>
      <c r="CL89" s="21">
        <f>EXP(-LN(2)/25)*CL88+(1-EXP(-LN(2)/25))/(LN(2)/25)*Calculateur!CG89*Calculateur!CI89*VLOOKUP('Données projet'!$B$12,Paramètres!$A$1:$I$89,3,0)*0.475*44/12</f>
        <v>22.973186045920357</v>
      </c>
      <c r="CM89" s="21">
        <f>EXP(-LN(2)/2)*CM88+(1-EXP(-LN(2)/2))/(LN(2)/2)*CG89*CJ89*VLOOKUP('Données projet'!$B$12,Paramètres!$A$1:$I$89,3,0)*0.475*44/12</f>
        <v>7.2958855246866197</v>
      </c>
      <c r="CN89" s="22">
        <f t="shared" si="66"/>
        <v>85.926305421264999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>
        <f>VLOOKUP(A89,'Données projet'!$A$139:$I$159,2,0)</f>
        <v>229.27</v>
      </c>
      <c r="CR89" s="12">
        <f>VLOOKUP(A89,'Données projet'!$A$139:$I$159,9,0)</f>
        <v>6.7444444444444462</v>
      </c>
      <c r="CS89" s="12">
        <f t="array" ref="CS89">INDEX(CR:CR,MIN(IF(ISNUMBER(CR89:CR285),ROW(CR89:CR285),"")))</f>
        <v>6.7444444444444462</v>
      </c>
      <c r="CT89" s="12">
        <f>IF('Données projet'!$A$140&gt;35,CT88+CS89-DB88,IF(A89&lt;'Données projet'!$A$140,$CQ$205^A89,IF(A89='Données projet'!$A$140,'Données projet'!$B$140,CT88+CS89-DB88)))</f>
        <v>229.26999999999998</v>
      </c>
      <c r="CU89" s="17">
        <f>CT89*VLOOKUP('Données projet'!$B$13,Paramètres!$A$1:$I$89,3,0)*VLOOKUP('Données projet'!$B$13,Paramètres!$A$1:$I$89,5,0)</f>
        <v>228.90316799999999</v>
      </c>
      <c r="CV89" s="13">
        <f t="shared" si="95"/>
        <v>56.045454868642892</v>
      </c>
      <c r="CW89" s="20">
        <f t="shared" si="67"/>
        <v>496.28551816288632</v>
      </c>
      <c r="CX89" s="59">
        <f t="shared" si="68"/>
        <v>789.61885149621958</v>
      </c>
      <c r="CY89" s="59">
        <f ca="1">AVERAGE(OFFSET($CX$3,0,0,'Données projet'!$E$13+1,1))-AVERAGE(OFFSET($H$3,0,0,'Données projet'!$E$13+1,1))</f>
        <v>525.74725170626471</v>
      </c>
      <c r="CZ89" s="59">
        <f t="shared" si="96"/>
        <v>259.19103598192197</v>
      </c>
      <c r="DA89" s="15">
        <f>IF(ISNA(VLOOKUP(A89,'Données projet'!$A$139:$I$159,3,0)),0,VLOOKUP(A89,'Données projet'!$A$139:$I$159,3,0))</f>
        <v>4</v>
      </c>
      <c r="DB89" s="15">
        <f>IF(ISNA(VLOOKUP(A89,'Données projet'!$A$139:$I$159,4,0)),0,VLOOKUP(A89,'Données projet'!$A$139:$I$159,4,0))</f>
        <v>37.54000000000002</v>
      </c>
      <c r="DC89" s="16">
        <f>IF(ISNA(VLOOKUP(A89,'Données projet'!$A$139:$I$159,5,0)),0%,VLOOKUP(A89,'Données projet'!$A$139:$I$159,5,0)*VLOOKUP('Données projet'!$B$13,Paramètres!$A$1:$I$89,7,0))</f>
        <v>0.15049999999999999</v>
      </c>
      <c r="DD89" s="16">
        <f>IF(ISNA(VLOOKUP(A89,'Données projet'!$A$139:$I$159,6,0)),0%,VLOOKUP(A89,'Données projet'!$A$139:$I$159,6,0)*VLOOKUP('Données projet'!$B$13,Paramètres!$A$1:$I$89,7,0))</f>
        <v>8.6000000000000007E-2</v>
      </c>
      <c r="DE89" s="16">
        <f>IF(ISNA(VLOOKUP(A89,'Données projet'!$A$139:$I$159,7,0)),0%,VLOOKUP(A89,'Données projet'!$A$139:$I$159,7,0))</f>
        <v>0.1</v>
      </c>
      <c r="DF89" s="21">
        <f>EXP(-LN(2)/35)*DF88+(1-EXP(-LN(2)/35))/(LN(2)/35)*DB89*DC89*VLOOKUP('Données projet'!$B$13,Paramètres!$A$1:$I$89,3,0)*0.475*44/12</f>
        <v>6.2356603407560014</v>
      </c>
      <c r="DG89" s="21">
        <f>EXP(-LN(2)/25)*DG88+(1-EXP(-LN(2)/25))/(LN(2)/25)*Calculateur!DB89*Calculateur!DD89*VLOOKUP('Données projet'!$B$13,Paramètres!$A$1:$I$89,3,0)*0.475*44/12</f>
        <v>36.921023565095403</v>
      </c>
      <c r="DH89" s="21">
        <f>EXP(-LN(2)/2)*DH88+(1-EXP(-LN(2)/2))/(LN(2)/2)*DB89*DE89*VLOOKUP('Données projet'!$B$13,Paramètres!$A$1:$I$89,3,0)*0.475*44/12</f>
        <v>3.8426589258239221</v>
      </c>
      <c r="DI89" s="22">
        <f t="shared" si="69"/>
        <v>46.999342831675321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7.6966666666666681</v>
      </c>
      <c r="DO89" s="12">
        <f>IF('Données projet'!$A$166&gt;35,DO88+DN89-DW88,IF(A89&lt;'Données projet'!$A$166,$DL$205^A89,IF(A89='Données projet'!$A$166,'Données projet'!$B$166,DO88+DN89-DW88)))</f>
        <v>249.49333333333365</v>
      </c>
      <c r="DP89" s="17">
        <f>DO89*VLOOKUP('Données projet'!$B$14,Paramètres!$A$1:$I$89,3,0)*VLOOKUP('Données projet'!$B$14,Paramètres!$A$1:$I$89,5,0)</f>
        <v>225.74156800000026</v>
      </c>
      <c r="DQ89" s="13">
        <f t="shared" si="97"/>
        <v>55.360909871129053</v>
      </c>
      <c r="DR89" s="20">
        <f t="shared" si="70"/>
        <v>489.58681562555012</v>
      </c>
      <c r="DS89" s="59">
        <f t="shared" si="71"/>
        <v>782.92014895888337</v>
      </c>
      <c r="DT89" s="59">
        <f ca="1">AVERAGE(OFFSET($DS$3,0,0,'Données projet'!$E$14+1,1))-AVERAGE(OFFSET($H$3,0,0,'Données projet'!$E$14+1,1))</f>
        <v>490.06222615476065</v>
      </c>
      <c r="DU89" s="59">
        <f t="shared" si="98"/>
        <v>310.43914804089906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21.64366097725787</v>
      </c>
      <c r="EB89" s="21">
        <f>EXP(-LN(2)/25)*EB88+(1-EXP(-LN(2)/25))/(LN(2)/25)*Calculateur!DW89*Calculateur!DY89*VLOOKUP('Données projet'!$B$14,Paramètres!$A$1:$I$89,3,0)*0.475*44/12</f>
        <v>25.668262807112324</v>
      </c>
      <c r="EC89" s="21">
        <f>EXP(-LN(2)/2)*EC88+(1-EXP(-LN(2)/2))/(LN(2)/2)*DW89*DZ89*VLOOKUP('Données projet'!$B$14,Paramètres!$A$1:$I$89,3,0)*0.475*44/12</f>
        <v>2.2074831766314471</v>
      </c>
      <c r="ED89" s="22">
        <f t="shared" si="72"/>
        <v>49.519406961001643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>
        <f>VLOOKUP(A89,'Données projet'!$A$191:$I$211,2,0)</f>
        <v>229.27</v>
      </c>
      <c r="EH89" s="12">
        <f>VLOOKUP(A89,'Données projet'!$A$191:$I$211,9,0)</f>
        <v>6.7444444444444462</v>
      </c>
      <c r="EI89" s="12">
        <f t="array" ref="EI89">INDEX(EH:EH,MIN(IF(ISNUMBER(EH89:EH285),ROW(EH89:EH285),"")))</f>
        <v>6.7444444444444462</v>
      </c>
      <c r="EJ89" s="12">
        <f>IF('Données projet'!$A$192&gt;35,EJ88+EI89-ER88,IF(A89&lt;'Données projet'!$A$192,$EG$205^A89,IF(A89='Données projet'!$A$192,'Données projet'!$B$192,EJ88+EI89-ER88)))</f>
        <v>229.26999999999998</v>
      </c>
      <c r="EK89" s="17">
        <f>EJ89*VLOOKUP('Données projet'!$B$15,Paramètres!$A$1:$I$89,3,0)*VLOOKUP('Données projet'!$B$15,Paramètres!$A$1:$I$89,5,0)</f>
        <v>232.47978000000001</v>
      </c>
      <c r="EL89" s="13">
        <f t="shared" si="99"/>
        <v>56.81853283390906</v>
      </c>
      <c r="EM89" s="20">
        <f t="shared" si="73"/>
        <v>503.86122818572488</v>
      </c>
      <c r="EN89" s="59">
        <f t="shared" si="74"/>
        <v>797.1945615190582</v>
      </c>
      <c r="EO89" s="59">
        <f ca="1">AVERAGE(OFFSET($EN$3,0,0,'Données projet'!$E$15+1,1))-AVERAGE(OFFSET($H$3,0,0,'Données projet'!$E$15+1,1))</f>
        <v>533.26035274112917</v>
      </c>
      <c r="EP89" s="59">
        <f t="shared" si="100"/>
        <v>262.58149402282521</v>
      </c>
      <c r="EQ89" s="15">
        <f>IF(ISNA(VLOOKUP(A89,'Données projet'!$A$191:$I$211,3,0)),0,VLOOKUP(A89,'Données projet'!$A$191:$I$211,3,0))</f>
        <v>4</v>
      </c>
      <c r="ER89" s="15">
        <f>IF(ISNA(VLOOKUP(A89,'Données projet'!$A$191:$I$211,4,0)),0,VLOOKUP(A89,'Données projet'!$A$191:$I$211,4,0))</f>
        <v>37.54000000000002</v>
      </c>
      <c r="ES89" s="16">
        <f>IF(ISNA(VLOOKUP(A89,'Données projet'!$A$191:$I$211,5,0)),0%,VLOOKUP(A89,'Données projet'!$A$191:$I$211,5,0)*VLOOKUP('Données projet'!$B$15,Paramètres!$A$1:$I$89,7,0))</f>
        <v>0.15049999999999999</v>
      </c>
      <c r="ET89" s="16">
        <f>IF(ISNA(VLOOKUP(A89,'Données projet'!$A$191:$I$211,6,0)),0%,VLOOKUP(A89,'Données projet'!$A$191:$I$211,6,0)*VLOOKUP('Données projet'!$B$15,Paramètres!$A$1:$I$89,7,0))</f>
        <v>8.6000000000000007E-2</v>
      </c>
      <c r="EU89" s="16">
        <f>IF(ISNA(VLOOKUP(A89,'Données projet'!$A$191:$I$211,7,0)),0%,VLOOKUP(A89,'Données projet'!$A$191:$I$211,7,0))</f>
        <v>0.1</v>
      </c>
      <c r="EV89" s="21">
        <f>EXP(-LN(2)/35)*EV88+(1-EXP(-LN(2)/35))/(LN(2)/35)*ER89*ES89*VLOOKUP('Données projet'!$B$15,Paramètres!$A$1:$I$89,3,0)*0.475*44/12</f>
        <v>6.333092533580313</v>
      </c>
      <c r="EW89" s="21">
        <f>EXP(-LN(2)/25)*EW88+(1-EXP(-LN(2)/25))/(LN(2)/25)*Calculateur!ER89*Calculateur!ET89*VLOOKUP('Données projet'!$B$15,Paramètres!$A$1:$I$89,3,0)*0.475*44/12</f>
        <v>37.49791455830001</v>
      </c>
      <c r="EX89" s="21">
        <f>EXP(-LN(2)/2)*EX88+(1-EXP(-LN(2)/2))/(LN(2)/2)*ER89*EU89*VLOOKUP('Données projet'!$B$15,Paramètres!$A$1:$I$89,3,0)*0.475*44/12</f>
        <v>3.9027004715399207</v>
      </c>
      <c r="EY89" s="22">
        <f t="shared" si="75"/>
        <v>47.733707563420246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1.7948717948717956</v>
      </c>
      <c r="FE89" s="12">
        <f>IF('Données projet'!$A$218&gt;35,FE88+FD89-FM88,IF(A89&lt;'Données projet'!$A$218,$FB$205^A89,IF(A89='Données projet'!$A$218,'Données projet'!$B$218,FE88+FD89-FM88)))</f>
        <v>130.64102564102558</v>
      </c>
      <c r="FF89" s="17">
        <f>FE89*VLOOKUP('Données projet'!$B$16,Paramètres!$A$1:$I$89,3,0)*VLOOKUP('Données projet'!$B$16,Paramètres!$A$1:$I$89,5,0)</f>
        <v>136.54599999999996</v>
      </c>
      <c r="FG89" s="13">
        <f t="shared" si="101"/>
        <v>35.504595871947302</v>
      </c>
      <c r="FH89" s="20">
        <f t="shared" si="76"/>
        <v>299.65478781030816</v>
      </c>
      <c r="FI89" s="59">
        <f t="shared" si="77"/>
        <v>592.98812114364148</v>
      </c>
      <c r="FJ89" s="59">
        <f ca="1">AVERAGE(OFFSET($FI$3,0,0,'Données projet'!$E$16+1,1))-AVERAGE(OFFSET($H$3,0,0,'Données projet'!$E$16+1,1))</f>
        <v>239.26156489359892</v>
      </c>
      <c r="FK89" s="59">
        <f t="shared" si="102"/>
        <v>213.97034450798111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1.5706705137127137</v>
      </c>
      <c r="FR89" s="21">
        <f>EXP(-LN(2)/25)*FR88+(1-EXP(-LN(2)/25))/(LN(2)/25)*Calculateur!FM89*Calculateur!FO89*VLOOKUP('Données projet'!$B$16,Paramètres!$A$1:$I$89,3,0)*0.475*44/12</f>
        <v>15.194827064572387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16.7654975782851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9.2740000000000009</v>
      </c>
      <c r="N90" s="13">
        <f>IF('Données projet'!$A$36&gt;35,N89+M90-V89,IF(A90&lt;'Données projet'!$A$36,$K$205^A90,IF(A90='Données projet'!$A$36,'Données projet'!$B$36,N89+M90-V89)))</f>
        <v>293.22599999999989</v>
      </c>
      <c r="O90" s="13">
        <f>N90*VLOOKUP('Données projet'!$B$9,Paramètres!$A$1:$I$89,3,0)*VLOOKUP('Données projet'!$B$9,Paramètres!$A$1:$I$89,5,0)</f>
        <v>279.03386159999991</v>
      </c>
      <c r="P90" s="13">
        <f t="shared" si="87"/>
        <v>66.762795009518257</v>
      </c>
      <c r="Q90" s="20">
        <f t="shared" si="54"/>
        <v>602.2625102615774</v>
      </c>
      <c r="R90" s="59">
        <f t="shared" si="55"/>
        <v>895.59584359491078</v>
      </c>
      <c r="S90" s="59">
        <f ca="1">AVERAGE(OFFSET($R$3,0,0,'Données projet'!$E$9+1,1))-AVERAGE(OFFSET($H$3,0,0,'Données projet'!$E$9+1,1))</f>
        <v>449.28947235329758</v>
      </c>
      <c r="T90" s="59">
        <f t="shared" si="88"/>
        <v>289.36994109443964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24.592866951509325</v>
      </c>
      <c r="AA90" s="21">
        <f>EXP(-LN(2)/25)*AA89+(1-EXP(-LN(2)/25))/(LN(2)/25)*Calculateur!V90*Calculateur!X90*VLOOKUP('Données projet'!$B$9,Paramètres!$A$1:$I$89,3,0)*0.475*44/12</f>
        <v>23.615037201628112</v>
      </c>
      <c r="AB90" s="21">
        <f>EXP(-LN(2)/2)*AB89+(1-EXP(-LN(2)/2))/(LN(2)/2)*V90*Y90*VLOOKUP('Données projet'!$B$9,Paramètres!$A$1:$I$89,3,0)*0.475*44/12</f>
        <v>1.1869164248565498</v>
      </c>
      <c r="AC90" s="22">
        <f t="shared" si="57"/>
        <v>49.394820577993983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-2.2737367544323206E-13</v>
      </c>
      <c r="AJ90" s="13">
        <f>AI90*VLOOKUP('Données projet'!$B$10,Paramètres!$A$1:$I$89,3,0)*VLOOKUP('Données projet'!$B$10,Paramètres!$A$1:$I$89,5,0)</f>
        <v>-1.3596945791505279E-13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349.71285006949597</v>
      </c>
      <c r="AO90" s="59">
        <f t="shared" si="90"/>
        <v>258.51550516456842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133.42708263741704</v>
      </c>
      <c r="AV90" s="21">
        <f>EXP(-LN(2)/25)*AV89+(1-EXP(-LN(2)/25))/(LN(2)/25)*Calculateur!AQ90*Calculateur!AS90*VLOOKUP('Données projet'!$B$10,Paramètres!$A$1:$I$89,3,0)*0.475*44/12</f>
        <v>42.61620061435088</v>
      </c>
      <c r="AW90" s="21">
        <f>EXP(-LN(2)/2)*AW89+(1-EXP(-LN(2)/2))/(LN(2)/2)*AQ90*AT90*VLOOKUP('Données projet'!$B$10,Paramètres!$A$1:$I$89,3,0)*0.475*44/12</f>
        <v>6.2505272084351908</v>
      </c>
      <c r="AX90" s="21">
        <f t="shared" si="60"/>
        <v>182.2938104602031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1.1368683772161603E-13</v>
      </c>
      <c r="BE90" s="13">
        <f>BD90*VLOOKUP('Données projet'!$B$11,Paramètres!$A$1:$I$89,3,0)*VLOOKUP('Données projet'!$B$11,Paramètres!$A$1:$I$89,5,0)</f>
        <v>6.7984728957526396E-14</v>
      </c>
      <c r="BF90" s="13">
        <f t="shared" si="91"/>
        <v>1.0682447123141398E-12</v>
      </c>
      <c r="BG90" s="20">
        <f t="shared" si="61"/>
        <v>1.978932943548152E-12</v>
      </c>
      <c r="BH90" s="59">
        <f t="shared" si="62"/>
        <v>293.3333333333353</v>
      </c>
      <c r="BI90" s="59">
        <f ca="1">AVERAGE(OFFSET($BH$3,0,0,'Données projet'!$E$11+1,1))-AVERAGE(OFFSET($H$3,0,0,'Données projet'!$E$11+1,1))</f>
        <v>302.00825291248458</v>
      </c>
      <c r="BJ90" s="59">
        <f t="shared" si="92"/>
        <v>307.35115839449355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81.354674024005874</v>
      </c>
      <c r="BQ90" s="21">
        <f>EXP(-LN(2)/25)*BQ89+(1-EXP(-LN(2)/25))/(LN(2)/25)*Calculateur!BL90*Calculateur!BN90*VLOOKUP('Données projet'!$B$11,Paramètres!$A$1:$I$89,3,0)*0.475*44/12</f>
        <v>22.913761120919723</v>
      </c>
      <c r="BR90" s="21">
        <f>EXP(-LN(2)/2)*BR89+(1-EXP(-LN(2)/2))/(LN(2)/2)*BL90*BO90*VLOOKUP('Données projet'!$B$11,Paramètres!$A$1:$I$89,3,0)*0.475*44/12</f>
        <v>5.1756766150052123E-3</v>
      </c>
      <c r="BS90" s="22">
        <f t="shared" si="63"/>
        <v>104.27361082154061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10.192500000000001</v>
      </c>
      <c r="BY90" s="12">
        <f>IF('Données projet'!$A$114&gt;35,BY89+BX90-CG89,IF(A90&lt;'Données projet'!$A$114,$BV$205^A90,IF(A90='Données projet'!$A$114,'Données projet'!$B$114,BY89+BX90-CG89)))</f>
        <v>349.82499999999993</v>
      </c>
      <c r="BZ90" s="13">
        <f>BY90*VLOOKUP('Données projet'!$B$12,Paramètres!$A$1:$I$89,3,0)*VLOOKUP('Données projet'!$B$12,Paramètres!$A$1:$I$89,5,0)</f>
        <v>163.71809999999996</v>
      </c>
      <c r="CA90" s="13">
        <f t="shared" si="93"/>
        <v>41.680018719903437</v>
      </c>
      <c r="CB90" s="20">
        <f t="shared" si="64"/>
        <v>357.73505677049843</v>
      </c>
      <c r="CC90" s="59">
        <f t="shared" si="65"/>
        <v>651.06839010383169</v>
      </c>
      <c r="CD90" s="59">
        <f ca="1">AVERAGE(OFFSET($CC$3,0,0,'Données projet'!$E$12+1,1))-AVERAGE(OFFSET($H$3,0,0,'Données projet'!$E$12+1,1))</f>
        <v>337.10499990421835</v>
      </c>
      <c r="CE90" s="59">
        <f t="shared" si="94"/>
        <v>277.4254079562175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54.565829442407221</v>
      </c>
      <c r="CL90" s="21">
        <f>EXP(-LN(2)/25)*CL89+(1-EXP(-LN(2)/25))/(LN(2)/25)*Calculateur!CG90*Calculateur!CI90*VLOOKUP('Données projet'!$B$12,Paramètres!$A$1:$I$89,3,0)*0.475*44/12</f>
        <v>22.344983065387318</v>
      </c>
      <c r="CM90" s="21">
        <f>EXP(-LN(2)/2)*CM89+(1-EXP(-LN(2)/2))/(LN(2)/2)*CG90*CJ90*VLOOKUP('Données projet'!$B$12,Paramètres!$A$1:$I$89,3,0)*0.475*44/12</f>
        <v>5.158970129266681</v>
      </c>
      <c r="CN90" s="22">
        <f t="shared" si="66"/>
        <v>82.069782637061209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6.7600000000000007</v>
      </c>
      <c r="CT90" s="12">
        <f>IF('Données projet'!$A$140&gt;35,CT89+CS90-DB89,IF(A90&lt;'Données projet'!$A$140,$CQ$205^A90,IF(A90='Données projet'!$A$140,'Données projet'!$B$140,CT89+CS90-DB89)))</f>
        <v>198.48999999999995</v>
      </c>
      <c r="CU90" s="17">
        <f>CT90*VLOOKUP('Données projet'!$B$13,Paramètres!$A$1:$I$89,3,0)*VLOOKUP('Données projet'!$B$13,Paramètres!$A$1:$I$89,5,0)</f>
        <v>198.17241599999997</v>
      </c>
      <c r="CV90" s="13">
        <f t="shared" si="95"/>
        <v>49.342305740699359</v>
      </c>
      <c r="CW90" s="20">
        <f t="shared" si="67"/>
        <v>431.08814036505129</v>
      </c>
      <c r="CX90" s="59">
        <f t="shared" si="68"/>
        <v>724.4214736983846</v>
      </c>
      <c r="CY90" s="59">
        <f ca="1">AVERAGE(OFFSET($CX$3,0,0,'Données projet'!$E$13+1,1))-AVERAGE(OFFSET($H$3,0,0,'Données projet'!$E$13+1,1))</f>
        <v>525.74725170626471</v>
      </c>
      <c r="CZ90" s="59">
        <f t="shared" si="96"/>
        <v>259.19103598192197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6.1133828448510315</v>
      </c>
      <c r="DG90" s="21">
        <f>EXP(-LN(2)/25)*DG89+(1-EXP(-LN(2)/25))/(LN(2)/25)*Calculateur!DB90*Calculateur!DD90*VLOOKUP('Données projet'!$B$13,Paramètres!$A$1:$I$89,3,0)*0.475*44/12</f>
        <v>35.911416234115627</v>
      </c>
      <c r="DH90" s="21">
        <f>EXP(-LN(2)/2)*DH89+(1-EXP(-LN(2)/2))/(LN(2)/2)*DB90*DE90*VLOOKUP('Données projet'!$B$13,Paramètres!$A$1:$I$89,3,0)*0.475*44/12</f>
        <v>2.7171701842371099</v>
      </c>
      <c r="DI90" s="22">
        <f t="shared" si="69"/>
        <v>44.741969263203771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7.6966666666666681</v>
      </c>
      <c r="DO90" s="12">
        <f>IF('Données projet'!$A$166&gt;35,DO89+DN90-DW89,IF(A90&lt;'Données projet'!$A$166,$DL$205^A90,IF(A90='Données projet'!$A$166,'Données projet'!$B$166,DO89+DN90-DW89)))</f>
        <v>257.19000000000034</v>
      </c>
      <c r="DP90" s="17">
        <f>DO90*VLOOKUP('Données projet'!$B$14,Paramètres!$A$1:$I$89,3,0)*VLOOKUP('Données projet'!$B$14,Paramètres!$A$1:$I$89,5,0)</f>
        <v>232.70551200000031</v>
      </c>
      <c r="DQ90" s="13">
        <f t="shared" si="97"/>
        <v>56.867277728071947</v>
      </c>
      <c r="DR90" s="20">
        <f t="shared" si="70"/>
        <v>504.33927544305925</v>
      </c>
      <c r="DS90" s="59">
        <f t="shared" si="71"/>
        <v>797.67260877639251</v>
      </c>
      <c r="DT90" s="59">
        <f ca="1">AVERAGE(OFFSET($DS$3,0,0,'Données projet'!$E$14+1,1))-AVERAGE(OFFSET($H$3,0,0,'Données projet'!$E$14+1,1))</f>
        <v>490.06222615476065</v>
      </c>
      <c r="DU90" s="59">
        <f t="shared" si="98"/>
        <v>310.43914804089906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21.219241986823516</v>
      </c>
      <c r="EB90" s="21">
        <f>EXP(-LN(2)/25)*EB89+(1-EXP(-LN(2)/25))/(LN(2)/25)*Calculateur!DW90*Calculateur!DY90*VLOOKUP('Données projet'!$B$14,Paramètres!$A$1:$I$89,3,0)*0.475*44/12</f>
        <v>24.966362810816563</v>
      </c>
      <c r="EC90" s="21">
        <f>EXP(-LN(2)/2)*EC89+(1-EXP(-LN(2)/2))/(LN(2)/2)*DW90*DZ90*VLOOKUP('Données projet'!$B$14,Paramètres!$A$1:$I$89,3,0)*0.475*44/12</f>
        <v>1.5609263235513176</v>
      </c>
      <c r="ED90" s="22">
        <f t="shared" si="72"/>
        <v>47.746531121191396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6.7600000000000007</v>
      </c>
      <c r="EJ90" s="12">
        <f>IF('Données projet'!$A$192&gt;35,EJ89+EI90-ER89,IF(A90&lt;'Données projet'!$A$192,$EG$205^A90,IF(A90='Données projet'!$A$192,'Données projet'!$B$192,EJ89+EI90-ER89)))</f>
        <v>198.48999999999995</v>
      </c>
      <c r="EK90" s="17">
        <f>EJ90*VLOOKUP('Données projet'!$B$15,Paramètres!$A$1:$I$89,3,0)*VLOOKUP('Données projet'!$B$15,Paramètres!$A$1:$I$89,5,0)</f>
        <v>201.26885999999993</v>
      </c>
      <c r="EL90" s="13">
        <f t="shared" si="99"/>
        <v>50.022922026408203</v>
      </c>
      <c r="EM90" s="20">
        <f t="shared" si="73"/>
        <v>437.66652036266078</v>
      </c>
      <c r="EN90" s="59">
        <f t="shared" si="74"/>
        <v>730.99985369599403</v>
      </c>
      <c r="EO90" s="59">
        <f ca="1">AVERAGE(OFFSET($EN$3,0,0,'Données projet'!$E$15+1,1))-AVERAGE(OFFSET($H$3,0,0,'Données projet'!$E$15+1,1))</f>
        <v>533.26035274112917</v>
      </c>
      <c r="EP90" s="59">
        <f t="shared" si="100"/>
        <v>262.58149402282521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6.2089044518018284</v>
      </c>
      <c r="EW90" s="21">
        <f>EXP(-LN(2)/25)*EW89+(1-EXP(-LN(2)/25))/(LN(2)/25)*Calculateur!ER90*Calculateur!ET90*VLOOKUP('Données projet'!$B$15,Paramètres!$A$1:$I$89,3,0)*0.475*44/12</f>
        <v>36.472532112773671</v>
      </c>
      <c r="EX90" s="21">
        <f>EXP(-LN(2)/2)*EX89+(1-EXP(-LN(2)/2))/(LN(2)/2)*ER90*EU90*VLOOKUP('Données projet'!$B$15,Paramètres!$A$1:$I$89,3,0)*0.475*44/12</f>
        <v>2.7596259683658149</v>
      </c>
      <c r="EY90" s="22">
        <f t="shared" si="75"/>
        <v>45.441062532941316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1.7948717948717956</v>
      </c>
      <c r="FE90" s="12">
        <f>IF('Données projet'!$A$218&gt;35,FE89+FD90-FM89,IF(A90&lt;'Données projet'!$A$218,$FB$205^A90,IF(A90='Données projet'!$A$218,'Données projet'!$B$218,FE89+FD90-FM89)))</f>
        <v>132.43589743589737</v>
      </c>
      <c r="FF90" s="17">
        <f>FE90*VLOOKUP('Données projet'!$B$16,Paramètres!$A$1:$I$89,3,0)*VLOOKUP('Données projet'!$B$16,Paramètres!$A$1:$I$89,5,0)</f>
        <v>138.42199999999994</v>
      </c>
      <c r="FG90" s="13">
        <f t="shared" si="101"/>
        <v>35.935269711934978</v>
      </c>
      <c r="FH90" s="20">
        <f t="shared" si="76"/>
        <v>303.67224474828663</v>
      </c>
      <c r="FI90" s="59">
        <f t="shared" si="77"/>
        <v>597.00557808161989</v>
      </c>
      <c r="FJ90" s="59">
        <f ca="1">AVERAGE(OFFSET($FI$3,0,0,'Données projet'!$E$16+1,1))-AVERAGE(OFFSET($H$3,0,0,'Données projet'!$E$16+1,1))</f>
        <v>239.26156489359892</v>
      </c>
      <c r="FK90" s="59">
        <f t="shared" si="102"/>
        <v>213.97034450798111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1.5398706229532246</v>
      </c>
      <c r="FR90" s="21">
        <f>EXP(-LN(2)/25)*FR89+(1-EXP(-LN(2)/25))/(LN(2)/25)*Calculateur!FM90*Calculateur!FO90*VLOOKUP('Données projet'!$B$16,Paramètres!$A$1:$I$89,3,0)*0.475*44/12</f>
        <v>14.779323719430428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16.319194342383653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9.2740000000000009</v>
      </c>
      <c r="N91" s="13">
        <f>IF('Données projet'!$A$36&gt;35,N90+M91-V90,IF(A91&lt;'Données projet'!$A$36,$K$205^A91,IF(A91='Données projet'!$A$36,'Données projet'!$B$36,N90+M91-V90)))</f>
        <v>302.49999999999989</v>
      </c>
      <c r="O91" s="13">
        <f>N91*VLOOKUP('Données projet'!$B$9,Paramètres!$A$1:$I$89,3,0)*VLOOKUP('Données projet'!$B$9,Paramètres!$A$1:$I$89,5,0)</f>
        <v>287.85899999999987</v>
      </c>
      <c r="P91" s="13">
        <f t="shared" si="87"/>
        <v>68.625156372854391</v>
      </c>
      <c r="Q91" s="20">
        <f t="shared" si="54"/>
        <v>620.87657234938786</v>
      </c>
      <c r="R91" s="59">
        <f t="shared" si="55"/>
        <v>914.20990568272123</v>
      </c>
      <c r="S91" s="59">
        <f ca="1">AVERAGE(OFFSET($R$3,0,0,'Données projet'!$E$9+1,1))-AVERAGE(OFFSET($H$3,0,0,'Données projet'!$E$9+1,1))</f>
        <v>449.28947235329758</v>
      </c>
      <c r="T91" s="59">
        <f t="shared" si="88"/>
        <v>289.36994109443964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24.110615830757926</v>
      </c>
      <c r="AA91" s="21">
        <f>EXP(-LN(2)/25)*AA90+(1-EXP(-LN(2)/25))/(LN(2)/25)*Calculateur!V91*Calculateur!X91*VLOOKUP('Données projet'!$B$9,Paramètres!$A$1:$I$89,3,0)*0.475*44/12</f>
        <v>22.969282767488757</v>
      </c>
      <c r="AB91" s="21">
        <f>EXP(-LN(2)/2)*AB90+(1-EXP(-LN(2)/2))/(LN(2)/2)*V91*Y91*VLOOKUP('Données projet'!$B$9,Paramètres!$A$1:$I$89,3,0)*0.475*44/12</f>
        <v>0.83927665271775964</v>
      </c>
      <c r="AC91" s="22">
        <f t="shared" si="57"/>
        <v>47.919175250964443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-2.2737367544323206E-13</v>
      </c>
      <c r="AJ91" s="13">
        <f>AI91*VLOOKUP('Données projet'!$B$10,Paramètres!$A$1:$I$89,3,0)*VLOOKUP('Données projet'!$B$10,Paramètres!$A$1:$I$89,5,0)</f>
        <v>-1.3596945791505279E-13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349.71285006949597</v>
      </c>
      <c r="AO91" s="59">
        <f t="shared" si="90"/>
        <v>258.51550516456842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130.81065892938184</v>
      </c>
      <c r="AV91" s="21">
        <f>EXP(-LN(2)/25)*AV90+(1-EXP(-LN(2)/25))/(LN(2)/25)*Calculateur!AQ91*Calculateur!AS91*VLOOKUP('Données projet'!$B$10,Paramètres!$A$1:$I$89,3,0)*0.475*44/12</f>
        <v>41.450858367462864</v>
      </c>
      <c r="AW91" s="21">
        <f>EXP(-LN(2)/2)*AW90+(1-EXP(-LN(2)/2))/(LN(2)/2)*AQ91*AT91*VLOOKUP('Données projet'!$B$10,Paramètres!$A$1:$I$89,3,0)*0.475*44/12</f>
        <v>4.4197901750755442</v>
      </c>
      <c r="AX91" s="21">
        <f t="shared" si="60"/>
        <v>176.68130747192026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1.1368683772161603E-13</v>
      </c>
      <c r="BE91" s="13">
        <f>BD91*VLOOKUP('Données projet'!$B$11,Paramètres!$A$1:$I$89,3,0)*VLOOKUP('Données projet'!$B$11,Paramètres!$A$1:$I$89,5,0)</f>
        <v>6.7984728957526396E-14</v>
      </c>
      <c r="BF91" s="13">
        <f t="shared" si="91"/>
        <v>1.0682447123141398E-12</v>
      </c>
      <c r="BG91" s="20">
        <f t="shared" si="61"/>
        <v>1.978932943548152E-12</v>
      </c>
      <c r="BH91" s="59">
        <f t="shared" si="62"/>
        <v>293.3333333333353</v>
      </c>
      <c r="BI91" s="59">
        <f ca="1">AVERAGE(OFFSET($BH$3,0,0,'Données projet'!$E$11+1,1))-AVERAGE(OFFSET($H$3,0,0,'Données projet'!$E$11+1,1))</f>
        <v>302.00825291248458</v>
      </c>
      <c r="BJ91" s="59">
        <f t="shared" si="92"/>
        <v>307.35115839449355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79.759358487846555</v>
      </c>
      <c r="BQ91" s="21">
        <f>EXP(-LN(2)/25)*BQ90+(1-EXP(-LN(2)/25))/(LN(2)/25)*Calculateur!BL91*Calculateur!BN91*VLOOKUP('Données projet'!$B$11,Paramètres!$A$1:$I$89,3,0)*0.475*44/12</f>
        <v>22.287183118085846</v>
      </c>
      <c r="BR91" s="21">
        <f>EXP(-LN(2)/2)*BR90+(1-EXP(-LN(2)/2))/(LN(2)/2)*BL91*BO91*VLOOKUP('Données projet'!$B$11,Paramètres!$A$1:$I$89,3,0)*0.475*44/12</f>
        <v>3.6597560316988216E-3</v>
      </c>
      <c r="BS91" s="22">
        <f t="shared" si="63"/>
        <v>102.0502013619641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10.192500000000001</v>
      </c>
      <c r="BY91" s="12">
        <f>IF('Données projet'!$A$114&gt;35,BY90+BX91-CG90,IF(A91&lt;'Données projet'!$A$114,$BV$205^A91,IF(A91='Données projet'!$A$114,'Données projet'!$B$114,BY90+BX91-CG90)))</f>
        <v>360.01749999999993</v>
      </c>
      <c r="BZ91" s="13">
        <f>BY91*VLOOKUP('Données projet'!$B$12,Paramètres!$A$1:$I$89,3,0)*VLOOKUP('Données projet'!$B$12,Paramètres!$A$1:$I$89,5,0)</f>
        <v>168.48818999999997</v>
      </c>
      <c r="CA91" s="13">
        <f t="shared" si="93"/>
        <v>42.751252606373484</v>
      </c>
      <c r="CB91" s="20">
        <f t="shared" si="64"/>
        <v>367.90869587276711</v>
      </c>
      <c r="CC91" s="59">
        <f t="shared" si="65"/>
        <v>661.24202920610037</v>
      </c>
      <c r="CD91" s="59">
        <f ca="1">AVERAGE(OFFSET($CC$3,0,0,'Données projet'!$E$12+1,1))-AVERAGE(OFFSET($H$3,0,0,'Données projet'!$E$12+1,1))</f>
        <v>337.10499990421835</v>
      </c>
      <c r="CE91" s="59">
        <f t="shared" si="94"/>
        <v>277.4254079562175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53.495826808911261</v>
      </c>
      <c r="CL91" s="21">
        <f>EXP(-LN(2)/25)*CL90+(1-EXP(-LN(2)/25))/(LN(2)/25)*Calculateur!CG91*Calculateur!CI91*VLOOKUP('Données projet'!$B$12,Paramètres!$A$1:$I$89,3,0)*0.475*44/12</f>
        <v>21.733958328392713</v>
      </c>
      <c r="CM91" s="21">
        <f>EXP(-LN(2)/2)*CM90+(1-EXP(-LN(2)/2))/(LN(2)/2)*CG91*CJ91*VLOOKUP('Données projet'!$B$12,Paramètres!$A$1:$I$89,3,0)*0.475*44/12</f>
        <v>3.6479427623433098</v>
      </c>
      <c r="CN91" s="22">
        <f t="shared" si="66"/>
        <v>78.877727899647283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6.7600000000000007</v>
      </c>
      <c r="CT91" s="12">
        <f>IF('Données projet'!$A$140&gt;35,CT90+CS91-DB90,IF(A91&lt;'Données projet'!$A$140,$CQ$205^A91,IF(A91='Données projet'!$A$140,'Données projet'!$B$140,CT90+CS91-DB90)))</f>
        <v>205.24999999999994</v>
      </c>
      <c r="CU91" s="17">
        <f>CT91*VLOOKUP('Données projet'!$B$13,Paramètres!$A$1:$I$89,3,0)*VLOOKUP('Données projet'!$B$13,Paramètres!$A$1:$I$89,5,0)</f>
        <v>204.92159999999993</v>
      </c>
      <c r="CV91" s="13">
        <f t="shared" si="95"/>
        <v>50.824251368326159</v>
      </c>
      <c r="CW91" s="20">
        <f t="shared" si="67"/>
        <v>445.42402446650129</v>
      </c>
      <c r="CX91" s="59">
        <f t="shared" si="68"/>
        <v>738.75735779983461</v>
      </c>
      <c r="CY91" s="59">
        <f ca="1">AVERAGE(OFFSET($CX$3,0,0,'Données projet'!$E$13+1,1))-AVERAGE(OFFSET($H$3,0,0,'Données projet'!$E$13+1,1))</f>
        <v>525.74725170626471</v>
      </c>
      <c r="CZ91" s="59">
        <f t="shared" si="96"/>
        <v>259.19103598192197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5.99350313605885</v>
      </c>
      <c r="DG91" s="21">
        <f>EXP(-LN(2)/25)*DG90+(1-EXP(-LN(2)/25))/(LN(2)/25)*Calculateur!DB91*Calculateur!DD91*VLOOKUP('Données projet'!$B$13,Paramètres!$A$1:$I$89,3,0)*0.475*44/12</f>
        <v>34.929416668694429</v>
      </c>
      <c r="DH91" s="21">
        <f>EXP(-LN(2)/2)*DH90+(1-EXP(-LN(2)/2))/(LN(2)/2)*DB91*DE91*VLOOKUP('Données projet'!$B$13,Paramètres!$A$1:$I$89,3,0)*0.475*44/12</f>
        <v>1.9213294629119613</v>
      </c>
      <c r="DI91" s="22">
        <f t="shared" si="69"/>
        <v>42.844249267665241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7.6966666666666681</v>
      </c>
      <c r="DO91" s="12">
        <f>IF('Données projet'!$A$166&gt;35,DO90+DN91-DW90,IF(A91&lt;'Données projet'!$A$166,$DL$205^A91,IF(A91='Données projet'!$A$166,'Données projet'!$B$166,DO90+DN91-DW90)))</f>
        <v>264.886666666667</v>
      </c>
      <c r="DP91" s="17">
        <f>DO91*VLOOKUP('Données projet'!$B$14,Paramètres!$A$1:$I$89,3,0)*VLOOKUP('Données projet'!$B$14,Paramètres!$A$1:$I$89,5,0)</f>
        <v>239.66945600000031</v>
      </c>
      <c r="DQ91" s="13">
        <f t="shared" si="97"/>
        <v>58.368406626869316</v>
      </c>
      <c r="DR91" s="20">
        <f t="shared" si="70"/>
        <v>519.08261074179791</v>
      </c>
      <c r="DS91" s="59">
        <f t="shared" si="71"/>
        <v>812.41594407513116</v>
      </c>
      <c r="DT91" s="59">
        <f ca="1">AVERAGE(OFFSET($DS$3,0,0,'Données projet'!$E$14+1,1))-AVERAGE(OFFSET($H$3,0,0,'Données projet'!$E$14+1,1))</f>
        <v>490.06222615476065</v>
      </c>
      <c r="DU91" s="59">
        <f t="shared" si="98"/>
        <v>310.43914804089906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20.803145593921556</v>
      </c>
      <c r="EB91" s="21">
        <f>EXP(-LN(2)/25)*EB90+(1-EXP(-LN(2)/25))/(LN(2)/25)*Calculateur!DW91*Calculateur!DY91*VLOOKUP('Données projet'!$B$14,Paramètres!$A$1:$I$89,3,0)*0.475*44/12</f>
        <v>24.283656306830824</v>
      </c>
      <c r="EC91" s="21">
        <f>EXP(-LN(2)/2)*EC90+(1-EXP(-LN(2)/2))/(LN(2)/2)*DW91*DZ91*VLOOKUP('Données projet'!$B$14,Paramètres!$A$1:$I$89,3,0)*0.475*44/12</f>
        <v>1.1037415883157236</v>
      </c>
      <c r="ED91" s="22">
        <f t="shared" si="72"/>
        <v>46.190543489068098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6.7600000000000007</v>
      </c>
      <c r="EJ91" s="12">
        <f>IF('Données projet'!$A$192&gt;35,EJ90+EI91-ER90,IF(A91&lt;'Données projet'!$A$192,$EG$205^A91,IF(A91='Données projet'!$A$192,'Données projet'!$B$192,EJ90+EI91-ER90)))</f>
        <v>205.24999999999994</v>
      </c>
      <c r="EK91" s="17">
        <f>EJ91*VLOOKUP('Données projet'!$B$15,Paramètres!$A$1:$I$89,3,0)*VLOOKUP('Données projet'!$B$15,Paramètres!$A$1:$I$89,5,0)</f>
        <v>208.12349999999995</v>
      </c>
      <c r="EL91" s="13">
        <f t="shared" si="99"/>
        <v>51.525309267242157</v>
      </c>
      <c r="EM91" s="20">
        <f t="shared" si="73"/>
        <v>452.22167614044662</v>
      </c>
      <c r="EN91" s="59">
        <f t="shared" si="74"/>
        <v>745.55500947377993</v>
      </c>
      <c r="EO91" s="59">
        <f ca="1">AVERAGE(OFFSET($EN$3,0,0,'Données projet'!$E$15+1,1))-AVERAGE(OFFSET($H$3,0,0,'Données projet'!$E$15+1,1))</f>
        <v>533.26035274112917</v>
      </c>
      <c r="EP91" s="59">
        <f t="shared" si="100"/>
        <v>262.58149402282521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6.0871516225597695</v>
      </c>
      <c r="EW91" s="21">
        <f>EXP(-LN(2)/25)*EW90+(1-EXP(-LN(2)/25))/(LN(2)/25)*Calculateur!ER91*Calculateur!ET91*VLOOKUP('Données projet'!$B$15,Paramètres!$A$1:$I$89,3,0)*0.475*44/12</f>
        <v>35.475188804142768</v>
      </c>
      <c r="EX91" s="21">
        <f>EXP(-LN(2)/2)*EX90+(1-EXP(-LN(2)/2))/(LN(2)/2)*ER91*EU91*VLOOKUP('Données projet'!$B$15,Paramètres!$A$1:$I$89,3,0)*0.475*44/12</f>
        <v>1.9513502357699608</v>
      </c>
      <c r="EY91" s="22">
        <f t="shared" si="75"/>
        <v>43.513690662472492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1.7948717948717956</v>
      </c>
      <c r="FE91" s="12">
        <f>IF('Données projet'!$A$218&gt;35,FE90+FD91-FM90,IF(A91&lt;'Données projet'!$A$218,$FB$205^A91,IF(A91='Données projet'!$A$218,'Données projet'!$B$218,FE90+FD91-FM90)))</f>
        <v>134.23076923076917</v>
      </c>
      <c r="FF91" s="17">
        <f>FE91*VLOOKUP('Données projet'!$B$16,Paramètres!$A$1:$I$89,3,0)*VLOOKUP('Données projet'!$B$16,Paramètres!$A$1:$I$89,5,0)</f>
        <v>140.29799999999997</v>
      </c>
      <c r="FG91" s="13">
        <f t="shared" si="101"/>
        <v>36.365264659858738</v>
      </c>
      <c r="FH91" s="20">
        <f t="shared" si="76"/>
        <v>307.68851928258727</v>
      </c>
      <c r="FI91" s="59">
        <f t="shared" si="77"/>
        <v>601.02185261592058</v>
      </c>
      <c r="FJ91" s="59">
        <f ca="1">AVERAGE(OFFSET($FI$3,0,0,'Données projet'!$E$16+1,1))-AVERAGE(OFFSET($H$3,0,0,'Données projet'!$E$16+1,1))</f>
        <v>239.26156489359892</v>
      </c>
      <c r="FK91" s="59">
        <f t="shared" si="102"/>
        <v>213.97034450798111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1.5096746992654508</v>
      </c>
      <c r="FR91" s="21">
        <f>EXP(-LN(2)/25)*FR90+(1-EXP(-LN(2)/25))/(LN(2)/25)*Calculateur!FM91*Calculateur!FO91*VLOOKUP('Données projet'!$B$16,Paramètres!$A$1:$I$89,3,0)*0.475*44/12</f>
        <v>14.375182335111747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15.884857034377198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9.2740000000000009</v>
      </c>
      <c r="N92" s="13">
        <f>IF('Données projet'!$A$36&gt;35,N91+M92-V91,IF(A92&lt;'Données projet'!$A$36,$K$205^A92,IF(A92='Données projet'!$A$36,'Données projet'!$B$36,N91+M92-V91)))</f>
        <v>311.77399999999989</v>
      </c>
      <c r="O92" s="13">
        <f>N92*VLOOKUP('Données projet'!$B$9,Paramètres!$A$1:$I$89,3,0)*VLOOKUP('Données projet'!$B$9,Paramètres!$A$1:$I$89,5,0)</f>
        <v>296.68413839999988</v>
      </c>
      <c r="P92" s="13">
        <f t="shared" si="87"/>
        <v>70.480882508102439</v>
      </c>
      <c r="Q92" s="20">
        <f t="shared" si="54"/>
        <v>639.47907808161142</v>
      </c>
      <c r="R92" s="59">
        <f t="shared" si="55"/>
        <v>932.81241141494479</v>
      </c>
      <c r="S92" s="59">
        <f ca="1">AVERAGE(OFFSET($R$3,0,0,'Données projet'!$E$9+1,1))-AVERAGE(OFFSET($H$3,0,0,'Données projet'!$E$9+1,1))</f>
        <v>449.28947235329758</v>
      </c>
      <c r="T92" s="59">
        <f t="shared" si="88"/>
        <v>289.36994109443964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23.637821360340322</v>
      </c>
      <c r="AA92" s="21">
        <f>EXP(-LN(2)/25)*AA91+(1-EXP(-LN(2)/25))/(LN(2)/25)*Calculateur!V92*Calculateur!X92*VLOOKUP('Données projet'!$B$9,Paramètres!$A$1:$I$89,3,0)*0.475*44/12</f>
        <v>22.341186522309695</v>
      </c>
      <c r="AB92" s="21">
        <f>EXP(-LN(2)/2)*AB91+(1-EXP(-LN(2)/2))/(LN(2)/2)*V92*Y92*VLOOKUP('Données projet'!$B$9,Paramètres!$A$1:$I$89,3,0)*0.475*44/12</f>
        <v>0.5934582124282749</v>
      </c>
      <c r="AC92" s="22">
        <f t="shared" si="57"/>
        <v>46.57246609507829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-2.2737367544323206E-13</v>
      </c>
      <c r="AJ92" s="13">
        <f>AI92*VLOOKUP('Données projet'!$B$10,Paramètres!$A$1:$I$89,3,0)*VLOOKUP('Données projet'!$B$10,Paramètres!$A$1:$I$89,5,0)</f>
        <v>-1.3596945791505279E-13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349.71285006949597</v>
      </c>
      <c r="AO92" s="59">
        <f t="shared" si="90"/>
        <v>258.51550516456842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128.24554169440034</v>
      </c>
      <c r="AV92" s="21">
        <f>EXP(-LN(2)/25)*AV91+(1-EXP(-LN(2)/25))/(LN(2)/25)*Calculateur!AQ92*Calculateur!AS92*VLOOKUP('Données projet'!$B$10,Paramètres!$A$1:$I$89,3,0)*0.475*44/12</f>
        <v>40.317382465598691</v>
      </c>
      <c r="AW92" s="21">
        <f>EXP(-LN(2)/2)*AW91+(1-EXP(-LN(2)/2))/(LN(2)/2)*AQ92*AT92*VLOOKUP('Données projet'!$B$10,Paramètres!$A$1:$I$89,3,0)*0.475*44/12</f>
        <v>3.1252636042175954</v>
      </c>
      <c r="AX92" s="21">
        <f t="shared" si="60"/>
        <v>171.68818776421662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1.1368683772161603E-13</v>
      </c>
      <c r="BE92" s="13">
        <f>BD92*VLOOKUP('Données projet'!$B$11,Paramètres!$A$1:$I$89,3,0)*VLOOKUP('Données projet'!$B$11,Paramètres!$A$1:$I$89,5,0)</f>
        <v>6.7984728957526396E-14</v>
      </c>
      <c r="BF92" s="13">
        <f t="shared" si="91"/>
        <v>1.0682447123141398E-12</v>
      </c>
      <c r="BG92" s="20">
        <f t="shared" si="61"/>
        <v>1.978932943548152E-12</v>
      </c>
      <c r="BH92" s="59">
        <f t="shared" si="62"/>
        <v>293.3333333333353</v>
      </c>
      <c r="BI92" s="59">
        <f ca="1">AVERAGE(OFFSET($BH$3,0,0,'Données projet'!$E$11+1,1))-AVERAGE(OFFSET($H$3,0,0,'Données projet'!$E$11+1,1))</f>
        <v>302.00825291248458</v>
      </c>
      <c r="BJ92" s="59">
        <f t="shared" si="92"/>
        <v>307.35115839449355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78.195326116304926</v>
      </c>
      <c r="BQ92" s="21">
        <f>EXP(-LN(2)/25)*BQ91+(1-EXP(-LN(2)/25))/(LN(2)/25)*Calculateur!BL92*Calculateur!BN92*VLOOKUP('Données projet'!$B$11,Paramètres!$A$1:$I$89,3,0)*0.475*44/12</f>
        <v>21.677738923689766</v>
      </c>
      <c r="BR92" s="21">
        <f>EXP(-LN(2)/2)*BR91+(1-EXP(-LN(2)/2))/(LN(2)/2)*BL92*BO92*VLOOKUP('Données projet'!$B$11,Paramètres!$A$1:$I$89,3,0)*0.475*44/12</f>
        <v>2.5878383075026061E-3</v>
      </c>
      <c r="BS92" s="22">
        <f t="shared" si="63"/>
        <v>99.875652878302191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10.192500000000001</v>
      </c>
      <c r="BY92" s="12">
        <f>IF('Données projet'!$A$114&gt;35,BY91+BX92-CG91,IF(A92&lt;'Données projet'!$A$114,$BV$205^A92,IF(A92='Données projet'!$A$114,'Données projet'!$B$114,BY91+BX92-CG91)))</f>
        <v>370.20999999999992</v>
      </c>
      <c r="BZ92" s="13">
        <f>BY92*VLOOKUP('Données projet'!$B$12,Paramètres!$A$1:$I$89,3,0)*VLOOKUP('Données projet'!$B$12,Paramètres!$A$1:$I$89,5,0)</f>
        <v>173.25827999999996</v>
      </c>
      <c r="CA92" s="13">
        <f t="shared" si="93"/>
        <v>43.818961645566453</v>
      </c>
      <c r="CB92" s="20">
        <f t="shared" si="64"/>
        <v>378.07619586602806</v>
      </c>
      <c r="CC92" s="59">
        <f t="shared" si="65"/>
        <v>671.40952919936137</v>
      </c>
      <c r="CD92" s="59">
        <f ca="1">AVERAGE(OFFSET($CC$3,0,0,'Données projet'!$E$12+1,1))-AVERAGE(OFFSET($H$3,0,0,'Données projet'!$E$12+1,1))</f>
        <v>337.10499990421835</v>
      </c>
      <c r="CE92" s="59">
        <f t="shared" si="94"/>
        <v>277.4254079562175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52.446806274420993</v>
      </c>
      <c r="CL92" s="21">
        <f>EXP(-LN(2)/25)*CL91+(1-EXP(-LN(2)/25))/(LN(2)/25)*Calculateur!CG92*Calculateur!CI92*VLOOKUP('Données projet'!$B$12,Paramètres!$A$1:$I$89,3,0)*0.475*44/12</f>
        <v>21.139642094963619</v>
      </c>
      <c r="CM92" s="21">
        <f>EXP(-LN(2)/2)*CM91+(1-EXP(-LN(2)/2))/(LN(2)/2)*CG92*CJ92*VLOOKUP('Données projet'!$B$12,Paramètres!$A$1:$I$89,3,0)*0.475*44/12</f>
        <v>2.5794850646333405</v>
      </c>
      <c r="CN92" s="22">
        <f t="shared" si="66"/>
        <v>76.165933434017958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6.7600000000000007</v>
      </c>
      <c r="CT92" s="12">
        <f>IF('Données projet'!$A$140&gt;35,CT91+CS92-DB91,IF(A92&lt;'Données projet'!$A$140,$CQ$205^A92,IF(A92='Données projet'!$A$140,'Données projet'!$B$140,CT91+CS92-DB91)))</f>
        <v>212.00999999999993</v>
      </c>
      <c r="CU92" s="17">
        <f>CT92*VLOOKUP('Données projet'!$B$13,Paramètres!$A$1:$I$89,3,0)*VLOOKUP('Données projet'!$B$13,Paramètres!$A$1:$I$89,5,0)</f>
        <v>211.67078399999994</v>
      </c>
      <c r="CV92" s="13">
        <f t="shared" si="95"/>
        <v>52.300525475162452</v>
      </c>
      <c r="CW92" s="20">
        <f t="shared" si="67"/>
        <v>459.75003066924114</v>
      </c>
      <c r="CX92" s="59">
        <f t="shared" si="68"/>
        <v>753.0833640025744</v>
      </c>
      <c r="CY92" s="59">
        <f ca="1">AVERAGE(OFFSET($CX$3,0,0,'Données projet'!$E$13+1,1))-AVERAGE(OFFSET($H$3,0,0,'Données projet'!$E$13+1,1))</f>
        <v>525.74725170626471</v>
      </c>
      <c r="CZ92" s="59">
        <f t="shared" si="96"/>
        <v>259.19103598192197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5.8759741952366813</v>
      </c>
      <c r="DG92" s="21">
        <f>EXP(-LN(2)/25)*DG91+(1-EXP(-LN(2)/25))/(LN(2)/25)*Calculateur!DB92*Calculateur!DD92*VLOOKUP('Données projet'!$B$13,Paramètres!$A$1:$I$89,3,0)*0.475*44/12</f>
        <v>33.97426993303079</v>
      </c>
      <c r="DH92" s="21">
        <f>EXP(-LN(2)/2)*DH91+(1-EXP(-LN(2)/2))/(LN(2)/2)*DB92*DE92*VLOOKUP('Données projet'!$B$13,Paramètres!$A$1:$I$89,3,0)*0.475*44/12</f>
        <v>1.3585850921185552</v>
      </c>
      <c r="DI92" s="22">
        <f t="shared" si="69"/>
        <v>41.208829220386022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7.6966666666666681</v>
      </c>
      <c r="DO92" s="12">
        <f>IF('Données projet'!$A$166&gt;35,DO91+DN92-DW91,IF(A92&lt;'Données projet'!$A$166,$DL$205^A92,IF(A92='Données projet'!$A$166,'Données projet'!$B$166,DO91+DN92-DW91)))</f>
        <v>272.58333333333366</v>
      </c>
      <c r="DP92" s="17">
        <f>DO92*VLOOKUP('Données projet'!$B$14,Paramètres!$A$1:$I$89,3,0)*VLOOKUP('Données projet'!$B$14,Paramètres!$A$1:$I$89,5,0)</f>
        <v>246.63340000000028</v>
      </c>
      <c r="DQ92" s="13">
        <f t="shared" si="97"/>
        <v>59.864466273444549</v>
      </c>
      <c r="DR92" s="20">
        <f t="shared" si="70"/>
        <v>533.81711709291642</v>
      </c>
      <c r="DS92" s="59">
        <f t="shared" si="71"/>
        <v>827.15045042624979</v>
      </c>
      <c r="DT92" s="59">
        <f ca="1">AVERAGE(OFFSET($DS$3,0,0,'Données projet'!$E$14+1,1))-AVERAGE(OFFSET($H$3,0,0,'Données projet'!$E$14+1,1))</f>
        <v>490.06222615476065</v>
      </c>
      <c r="DU92" s="59">
        <f t="shared" si="98"/>
        <v>310.43914804089906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20.395208597490665</v>
      </c>
      <c r="EB92" s="21">
        <f>EXP(-LN(2)/25)*EB91+(1-EXP(-LN(2)/25))/(LN(2)/25)*Calculateur!DW92*Calculateur!DY92*VLOOKUP('Données projet'!$B$14,Paramètres!$A$1:$I$89,3,0)*0.475*44/12</f>
        <v>23.619618448098553</v>
      </c>
      <c r="EC92" s="21">
        <f>EXP(-LN(2)/2)*EC91+(1-EXP(-LN(2)/2))/(LN(2)/2)*DW92*DZ92*VLOOKUP('Données projet'!$B$14,Paramètres!$A$1:$I$89,3,0)*0.475*44/12</f>
        <v>0.78046316177565878</v>
      </c>
      <c r="ED92" s="22">
        <f t="shared" si="72"/>
        <v>44.795290207364872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6.7600000000000007</v>
      </c>
      <c r="EJ92" s="12">
        <f>IF('Données projet'!$A$192&gt;35,EJ91+EI92-ER91,IF(A92&lt;'Données projet'!$A$192,$EG$205^A92,IF(A92='Données projet'!$A$192,'Données projet'!$B$192,EJ91+EI92-ER91)))</f>
        <v>212.00999999999993</v>
      </c>
      <c r="EK92" s="17">
        <f>EJ92*VLOOKUP('Données projet'!$B$15,Paramètres!$A$1:$I$89,3,0)*VLOOKUP('Données projet'!$B$15,Paramètres!$A$1:$I$89,5,0)</f>
        <v>214.97813999999997</v>
      </c>
      <c r="EL92" s="13">
        <f t="shared" si="99"/>
        <v>53.021946755647264</v>
      </c>
      <c r="EM92" s="20">
        <f t="shared" si="73"/>
        <v>466.76681776608552</v>
      </c>
      <c r="EN92" s="59">
        <f t="shared" si="74"/>
        <v>760.10015109941878</v>
      </c>
      <c r="EO92" s="59">
        <f ca="1">AVERAGE(OFFSET($EN$3,0,0,'Données projet'!$E$15+1,1))-AVERAGE(OFFSET($H$3,0,0,'Données projet'!$E$15+1,1))</f>
        <v>533.26035274112917</v>
      </c>
      <c r="EP92" s="59">
        <f t="shared" si="100"/>
        <v>262.58149402282521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5.9677862920372542</v>
      </c>
      <c r="EW92" s="21">
        <f>EXP(-LN(2)/25)*EW91+(1-EXP(-LN(2)/25))/(LN(2)/25)*Calculateur!ER92*Calculateur!ET92*VLOOKUP('Données projet'!$B$15,Paramètres!$A$1:$I$89,3,0)*0.475*44/12</f>
        <v>34.505117900734383</v>
      </c>
      <c r="EX92" s="21">
        <f>EXP(-LN(2)/2)*EX91+(1-EXP(-LN(2)/2))/(LN(2)/2)*ER92*EU92*VLOOKUP('Données projet'!$B$15,Paramètres!$A$1:$I$89,3,0)*0.475*44/12</f>
        <v>1.3798129841829077</v>
      </c>
      <c r="EY92" s="22">
        <f t="shared" si="75"/>
        <v>41.852717176954542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1.7948717948717956</v>
      </c>
      <c r="FE92" s="12">
        <f>IF('Données projet'!$A$218&gt;35,FE91+FD92-FM91,IF(A92&lt;'Données projet'!$A$218,$FB$205^A92,IF(A92='Données projet'!$A$218,'Données projet'!$B$218,FE91+FD92-FM91)))</f>
        <v>136.02564102564097</v>
      </c>
      <c r="FF92" s="17">
        <f>FE92*VLOOKUP('Données projet'!$B$16,Paramètres!$A$1:$I$89,3,0)*VLOOKUP('Données projet'!$B$16,Paramètres!$A$1:$I$89,5,0)</f>
        <v>142.17399999999995</v>
      </c>
      <c r="FG92" s="13">
        <f t="shared" si="101"/>
        <v>36.794590842933211</v>
      </c>
      <c r="FH92" s="20">
        <f t="shared" si="76"/>
        <v>311.70362905144191</v>
      </c>
      <c r="FI92" s="59">
        <f t="shared" si="77"/>
        <v>605.03696238477528</v>
      </c>
      <c r="FJ92" s="59">
        <f ca="1">AVERAGE(OFFSET($FI$3,0,0,'Données projet'!$E$16+1,1))-AVERAGE(OFFSET($H$3,0,0,'Données projet'!$E$16+1,1))</f>
        <v>239.26156489359892</v>
      </c>
      <c r="FK92" s="59">
        <f t="shared" si="102"/>
        <v>213.97034450798111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1.4800708992234994</v>
      </c>
      <c r="FR92" s="21">
        <f>EXP(-LN(2)/25)*FR91+(1-EXP(-LN(2)/25))/(LN(2)/25)*Calculateur!FM92*Calculateur!FO92*VLOOKUP('Données projet'!$B$16,Paramètres!$A$1:$I$89,3,0)*0.475*44/12</f>
        <v>13.982092218200131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15.46216311742363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9.2740000000000009</v>
      </c>
      <c r="N93" s="13">
        <f>IF('Données projet'!$A$36&gt;35,N92+M93-V92,IF(A93&lt;'Données projet'!$A$36,$K$205^A93,IF(A93='Données projet'!$A$36,'Données projet'!$B$36,N92+M93-V92)))</f>
        <v>321.04799999999989</v>
      </c>
      <c r="O93" s="13">
        <f>N93*VLOOKUP('Données projet'!$B$9,Paramètres!$A$1:$I$89,3,0)*VLOOKUP('Données projet'!$B$9,Paramètres!$A$1:$I$89,5,0)</f>
        <v>305.5092767999999</v>
      </c>
      <c r="P93" s="13">
        <f t="shared" si="87"/>
        <v>72.330193444868527</v>
      </c>
      <c r="Q93" s="20">
        <f t="shared" si="54"/>
        <v>658.07041067647913</v>
      </c>
      <c r="R93" s="59">
        <f t="shared" si="55"/>
        <v>951.4037440098125</v>
      </c>
      <c r="S93" s="59">
        <f ca="1">AVERAGE(OFFSET($R$3,0,0,'Données projet'!$E$9+1,1))-AVERAGE(OFFSET($H$3,0,0,'Données projet'!$E$9+1,1))</f>
        <v>449.28947235329758</v>
      </c>
      <c r="T93" s="59">
        <f t="shared" si="88"/>
        <v>289.36994109443964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23.174298101111454</v>
      </c>
      <c r="AA93" s="21">
        <f>EXP(-LN(2)/25)*AA92+(1-EXP(-LN(2)/25))/(LN(2)/25)*Calculateur!V93*Calculateur!X93*VLOOKUP('Données projet'!$B$9,Paramètres!$A$1:$I$89,3,0)*0.475*44/12</f>
        <v>21.730265601985199</v>
      </c>
      <c r="AB93" s="21">
        <f>EXP(-LN(2)/2)*AB92+(1-EXP(-LN(2)/2))/(LN(2)/2)*V93*Y93*VLOOKUP('Données projet'!$B$9,Paramètres!$A$1:$I$89,3,0)*0.475*44/12</f>
        <v>0.41963832635887982</v>
      </c>
      <c r="AC93" s="22">
        <f t="shared" si="57"/>
        <v>45.324202029455535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-2.2737367544323206E-13</v>
      </c>
      <c r="AJ93" s="13">
        <f>AI93*VLOOKUP('Données projet'!$B$10,Paramètres!$A$1:$I$89,3,0)*VLOOKUP('Données projet'!$B$10,Paramètres!$A$1:$I$89,5,0)</f>
        <v>-1.3596945791505279E-13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349.71285006949597</v>
      </c>
      <c r="AO93" s="59">
        <f t="shared" si="90"/>
        <v>258.51550516456842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125.7307248438298</v>
      </c>
      <c r="AV93" s="21">
        <f>EXP(-LN(2)/25)*AV92+(1-EXP(-LN(2)/25))/(LN(2)/25)*Calculateur!AQ93*Calculateur!AS93*VLOOKUP('Données projet'!$B$10,Paramètres!$A$1:$I$89,3,0)*0.475*44/12</f>
        <v>39.214901521877898</v>
      </c>
      <c r="AW93" s="21">
        <f>EXP(-LN(2)/2)*AW92+(1-EXP(-LN(2)/2))/(LN(2)/2)*AQ93*AT93*VLOOKUP('Données projet'!$B$10,Paramètres!$A$1:$I$89,3,0)*0.475*44/12</f>
        <v>2.2098950875377721</v>
      </c>
      <c r="AX93" s="21">
        <f t="shared" si="60"/>
        <v>167.15552145324548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1.1368683772161603E-13</v>
      </c>
      <c r="BE93" s="13">
        <f>BD93*VLOOKUP('Données projet'!$B$11,Paramètres!$A$1:$I$89,3,0)*VLOOKUP('Données projet'!$B$11,Paramètres!$A$1:$I$89,5,0)</f>
        <v>6.7984728957526396E-14</v>
      </c>
      <c r="BF93" s="13">
        <f t="shared" si="91"/>
        <v>1.0682447123141398E-12</v>
      </c>
      <c r="BG93" s="20">
        <f t="shared" si="61"/>
        <v>1.978932943548152E-12</v>
      </c>
      <c r="BH93" s="59">
        <f t="shared" si="62"/>
        <v>293.3333333333353</v>
      </c>
      <c r="BI93" s="59">
        <f ca="1">AVERAGE(OFFSET($BH$3,0,0,'Données projet'!$E$11+1,1))-AVERAGE(OFFSET($H$3,0,0,'Données projet'!$E$11+1,1))</f>
        <v>302.00825291248458</v>
      </c>
      <c r="BJ93" s="59">
        <f t="shared" si="92"/>
        <v>307.35115839449355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76.661963465603677</v>
      </c>
      <c r="BQ93" s="21">
        <f>EXP(-LN(2)/25)*BQ92+(1-EXP(-LN(2)/25))/(LN(2)/25)*Calculateur!BL93*Calculateur!BN93*VLOOKUP('Données projet'!$B$11,Paramètres!$A$1:$I$89,3,0)*0.475*44/12</f>
        <v>21.084960012838724</v>
      </c>
      <c r="BR93" s="21">
        <f>EXP(-LN(2)/2)*BR92+(1-EXP(-LN(2)/2))/(LN(2)/2)*BL93*BO93*VLOOKUP('Données projet'!$B$11,Paramètres!$A$1:$I$89,3,0)*0.475*44/12</f>
        <v>1.8298780158494108E-3</v>
      </c>
      <c r="BS93" s="22">
        <f t="shared" si="63"/>
        <v>97.748753356458252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10.192500000000001</v>
      </c>
      <c r="BY93" s="12">
        <f>IF('Données projet'!$A$114&gt;35,BY92+BX93-CG92,IF(A93&lt;'Données projet'!$A$114,$BV$205^A93,IF(A93='Données projet'!$A$114,'Données projet'!$B$114,BY92+BX93-CG92)))</f>
        <v>380.40249999999992</v>
      </c>
      <c r="BZ93" s="13">
        <f>BY93*VLOOKUP('Données projet'!$B$12,Paramètres!$A$1:$I$89,3,0)*VLOOKUP('Données projet'!$B$12,Paramètres!$A$1:$I$89,5,0)</f>
        <v>178.02836999999997</v>
      </c>
      <c r="CA93" s="13">
        <f t="shared" si="93"/>
        <v>44.883254032720146</v>
      </c>
      <c r="CB93" s="20">
        <f t="shared" si="64"/>
        <v>388.23774519032082</v>
      </c>
      <c r="CC93" s="59">
        <f t="shared" si="65"/>
        <v>681.57107852365414</v>
      </c>
      <c r="CD93" s="59">
        <f ca="1">AVERAGE(OFFSET($CC$3,0,0,'Données projet'!$E$12+1,1))-AVERAGE(OFFSET($H$3,0,0,'Données projet'!$E$12+1,1))</f>
        <v>337.10499990421835</v>
      </c>
      <c r="CE93" s="59">
        <f t="shared" si="94"/>
        <v>277.4254079562175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51.418356392772736</v>
      </c>
      <c r="CL93" s="21">
        <f>EXP(-LN(2)/25)*CL92+(1-EXP(-LN(2)/25))/(LN(2)/25)*Calculateur!CG93*Calculateur!CI93*VLOOKUP('Données projet'!$B$12,Paramètres!$A$1:$I$89,3,0)*0.475*44/12</f>
        <v>20.561577470191377</v>
      </c>
      <c r="CM93" s="21">
        <f>EXP(-LN(2)/2)*CM92+(1-EXP(-LN(2)/2))/(LN(2)/2)*CG93*CJ93*VLOOKUP('Données projet'!$B$12,Paramètres!$A$1:$I$89,3,0)*0.475*44/12</f>
        <v>1.8239713811716549</v>
      </c>
      <c r="CN93" s="22">
        <f t="shared" si="66"/>
        <v>73.803905244135777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6.7600000000000007</v>
      </c>
      <c r="CT93" s="12">
        <f>IF('Données projet'!$A$140&gt;35,CT92+CS93-DB92,IF(A93&lt;'Données projet'!$A$140,$CQ$205^A93,IF(A93='Données projet'!$A$140,'Données projet'!$B$140,CT92+CS93-DB92)))</f>
        <v>218.76999999999992</v>
      </c>
      <c r="CU93" s="17">
        <f>CT93*VLOOKUP('Données projet'!$B$13,Paramètres!$A$1:$I$89,3,0)*VLOOKUP('Données projet'!$B$13,Paramètres!$A$1:$I$89,5,0)</f>
        <v>218.41996799999993</v>
      </c>
      <c r="CV93" s="13">
        <f t="shared" si="95"/>
        <v>53.771329643981751</v>
      </c>
      <c r="CW93" s="20">
        <f t="shared" si="67"/>
        <v>474.06651006326803</v>
      </c>
      <c r="CX93" s="59">
        <f t="shared" si="68"/>
        <v>767.39984339660134</v>
      </c>
      <c r="CY93" s="59">
        <f ca="1">AVERAGE(OFFSET($CX$3,0,0,'Données projet'!$E$13+1,1))-AVERAGE(OFFSET($H$3,0,0,'Données projet'!$E$13+1,1))</f>
        <v>525.74725170626471</v>
      </c>
      <c r="CZ93" s="59">
        <f t="shared" si="96"/>
        <v>259.19103598192197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5.7607499252584597</v>
      </c>
      <c r="DG93" s="21">
        <f>EXP(-LN(2)/25)*DG92+(1-EXP(-LN(2)/25))/(LN(2)/25)*Calculateur!DB93*Calculateur!DD93*VLOOKUP('Données projet'!$B$13,Paramètres!$A$1:$I$89,3,0)*0.475*44/12</f>
        <v>33.045241735082854</v>
      </c>
      <c r="DH93" s="21">
        <f>EXP(-LN(2)/2)*DH92+(1-EXP(-LN(2)/2))/(LN(2)/2)*DB93*DE93*VLOOKUP('Données projet'!$B$13,Paramètres!$A$1:$I$89,3,0)*0.475*44/12</f>
        <v>0.96066473145598075</v>
      </c>
      <c r="DI93" s="22">
        <f t="shared" si="69"/>
        <v>39.766656391797291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7.6966666666666681</v>
      </c>
      <c r="DO93" s="12">
        <f>IF('Données projet'!$A$166&gt;35,DO92+DN93-DW92,IF(A93&lt;'Données projet'!$A$166,$DL$205^A93,IF(A93='Données projet'!$A$166,'Données projet'!$B$166,DO92+DN93-DW92)))</f>
        <v>280.28000000000031</v>
      </c>
      <c r="DP93" s="17">
        <f>DO93*VLOOKUP('Données projet'!$B$14,Paramètres!$A$1:$I$89,3,0)*VLOOKUP('Données projet'!$B$14,Paramètres!$A$1:$I$89,5,0)</f>
        <v>253.59734400000028</v>
      </c>
      <c r="DQ93" s="13">
        <f t="shared" si="97"/>
        <v>61.355616244892218</v>
      </c>
      <c r="DR93" s="20">
        <f t="shared" si="70"/>
        <v>548.54307242652112</v>
      </c>
      <c r="DS93" s="59">
        <f t="shared" si="71"/>
        <v>841.87640575985438</v>
      </c>
      <c r="DT93" s="59">
        <f ca="1">AVERAGE(OFFSET($DS$3,0,0,'Données projet'!$E$14+1,1))-AVERAGE(OFFSET($H$3,0,0,'Données projet'!$E$14+1,1))</f>
        <v>490.06222615476065</v>
      </c>
      <c r="DU93" s="59">
        <f t="shared" si="98"/>
        <v>310.43914804089906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19.995270996742786</v>
      </c>
      <c r="EB93" s="21">
        <f>EXP(-LN(2)/25)*EB92+(1-EXP(-LN(2)/25))/(LN(2)/25)*Calculateur!DW93*Calculateur!DY93*VLOOKUP('Données projet'!$B$14,Paramètres!$A$1:$I$89,3,0)*0.475*44/12</f>
        <v>22.973738739533548</v>
      </c>
      <c r="EC93" s="21">
        <f>EXP(-LN(2)/2)*EC92+(1-EXP(-LN(2)/2))/(LN(2)/2)*DW93*DZ93*VLOOKUP('Données projet'!$B$14,Paramètres!$A$1:$I$89,3,0)*0.475*44/12</f>
        <v>0.55187079415786178</v>
      </c>
      <c r="ED93" s="22">
        <f t="shared" si="72"/>
        <v>43.520880530434198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6.7600000000000007</v>
      </c>
      <c r="EJ93" s="12">
        <f>IF('Données projet'!$A$192&gt;35,EJ92+EI93-ER92,IF(A93&lt;'Données projet'!$A$192,$EG$205^A93,IF(A93='Données projet'!$A$192,'Données projet'!$B$192,EJ92+EI93-ER92)))</f>
        <v>218.76999999999992</v>
      </c>
      <c r="EK93" s="17">
        <f>EJ93*VLOOKUP('Données projet'!$B$15,Paramètres!$A$1:$I$89,3,0)*VLOOKUP('Données projet'!$B$15,Paramètres!$A$1:$I$89,5,0)</f>
        <v>221.83277999999993</v>
      </c>
      <c r="EL93" s="13">
        <f t="shared" si="99"/>
        <v>54.513038854982973</v>
      </c>
      <c r="EM93" s="20">
        <f t="shared" si="73"/>
        <v>481.30230117242854</v>
      </c>
      <c r="EN93" s="59">
        <f t="shared" si="74"/>
        <v>774.6356345057618</v>
      </c>
      <c r="EO93" s="59">
        <f ca="1">AVERAGE(OFFSET($EN$3,0,0,'Données projet'!$E$15+1,1))-AVERAGE(OFFSET($H$3,0,0,'Données projet'!$E$15+1,1))</f>
        <v>533.26035274112917</v>
      </c>
      <c r="EP93" s="59">
        <f t="shared" si="100"/>
        <v>262.58149402282521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5.8507616428406228</v>
      </c>
      <c r="EW93" s="21">
        <f>EXP(-LN(2)/25)*EW92+(1-EXP(-LN(2)/25))/(LN(2)/25)*Calculateur!ER93*Calculateur!ET93*VLOOKUP('Données projet'!$B$15,Paramètres!$A$1:$I$89,3,0)*0.475*44/12</f>
        <v>33.561573637193511</v>
      </c>
      <c r="EX93" s="21">
        <f>EXP(-LN(2)/2)*EX92+(1-EXP(-LN(2)/2))/(LN(2)/2)*ER93*EU93*VLOOKUP('Données projet'!$B$15,Paramètres!$A$1:$I$89,3,0)*0.475*44/12</f>
        <v>0.97567511788498051</v>
      </c>
      <c r="EY93" s="22">
        <f t="shared" si="75"/>
        <v>40.388010397919118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137.82051282051282</v>
      </c>
      <c r="FC93" s="12">
        <f>VLOOKUP(A93,'Données projet'!$A$217:$I$237,9,0)</f>
        <v>1.7948717948717956</v>
      </c>
      <c r="FD93" s="12">
        <f t="array" ref="FD93">INDEX(FC:FC,MIN(IF(ISNUMBER(FC93:FC289),ROW(FC93:FC289),"")))</f>
        <v>1.7948717948717956</v>
      </c>
      <c r="FE93" s="12">
        <f>IF('Données projet'!$A$218&gt;35,FE92+FD93-FM92,IF(A93&lt;'Données projet'!$A$218,$FB$205^A93,IF(A93='Données projet'!$A$218,'Données projet'!$B$218,FE92+FD93-FM92)))</f>
        <v>137.82051282051276</v>
      </c>
      <c r="FF93" s="17">
        <f>FE93*VLOOKUP('Données projet'!$B$16,Paramètres!$A$1:$I$89,3,0)*VLOOKUP('Données projet'!$B$16,Paramètres!$A$1:$I$89,5,0)</f>
        <v>144.04999999999995</v>
      </c>
      <c r="FG93" s="13">
        <f t="shared" si="101"/>
        <v>37.223258105752187</v>
      </c>
      <c r="FH93" s="20">
        <f t="shared" si="76"/>
        <v>315.71759120085159</v>
      </c>
      <c r="FI93" s="59">
        <f t="shared" si="77"/>
        <v>609.0509245341849</v>
      </c>
      <c r="FJ93" s="59">
        <f ca="1">AVERAGE(OFFSET($FI$3,0,0,'Données projet'!$E$16+1,1))-AVERAGE(OFFSET($H$3,0,0,'Données projet'!$E$16+1,1))</f>
        <v>239.26156489359892</v>
      </c>
      <c r="FK93" s="59">
        <f t="shared" si="102"/>
        <v>213.97034450798111</v>
      </c>
      <c r="FL93" s="15">
        <f>IF(ISNA(VLOOKUP(A93,'Données projet'!$A$217:$I$237,3,0)),0,VLOOKUP(A93,'Données projet'!$A$217:$I$237,3,0))</f>
        <v>15</v>
      </c>
      <c r="FM93" s="15">
        <f>IF(ISNA(VLOOKUP(A93,'Données projet'!$A$217:$I$237,4,0)),0,VLOOKUP(A93,'Données projet'!$A$217:$I$237,4,0))</f>
        <v>6.4102564102564097</v>
      </c>
      <c r="FN93" s="16">
        <f>IF(ISNA(VLOOKUP(A93,'Données projet'!$A$217:$I$237,5,0)),0%,VLOOKUP(A93,'Données projet'!$A$217:$I$237,5,0)*VLOOKUP('Données projet'!$B$16,Paramètres!$A$1:$I$89,7,0))</f>
        <v>4.3000000000000003E-2</v>
      </c>
      <c r="FO93" s="16">
        <f>IF(ISNA(VLOOKUP(A93,'Données projet'!$A$217:$I$237,6,0)),0%,VLOOKUP(A93,'Données projet'!$A$217:$I$237,6,0)*VLOOKUP('Données projet'!$B$16,Paramètres!$A$1:$I$89,7,0))</f>
        <v>0.215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1.7695336279872784</v>
      </c>
      <c r="FR93" s="21">
        <f>EXP(-LN(2)/25)*FR92+(1-EXP(-LN(2)/25))/(LN(2)/25)*Calculateur!FM93*Calculateur!FO93*VLOOKUP('Données projet'!$B$16,Paramètres!$A$1:$I$89,3,0)*0.475*44/12</f>
        <v>15.185911248929239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16.955444876916516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9.2740000000000009</v>
      </c>
      <c r="N94" s="13">
        <f>IF('Données projet'!$A$36&gt;35,N93+M94-V93,IF(A94&lt;'Données projet'!$A$36,$K$205^A94,IF(A94='Données projet'!$A$36,'Données projet'!$B$36,N93+M94-V93)))</f>
        <v>330.32199999999989</v>
      </c>
      <c r="O94" s="13">
        <f>N94*VLOOKUP('Données projet'!$B$9,Paramètres!$A$1:$I$89,3,0)*VLOOKUP('Données projet'!$B$9,Paramètres!$A$1:$I$89,5,0)</f>
        <v>314.33441519999985</v>
      </c>
      <c r="P94" s="13">
        <f t="shared" si="87"/>
        <v>74.173295778029868</v>
      </c>
      <c r="Q94" s="20">
        <f t="shared" si="54"/>
        <v>676.65092995340171</v>
      </c>
      <c r="R94" s="59">
        <f t="shared" si="55"/>
        <v>969.98426328673509</v>
      </c>
      <c r="S94" s="59">
        <f ca="1">AVERAGE(OFFSET($R$3,0,0,'Données projet'!$E$9+1,1))-AVERAGE(OFFSET($H$3,0,0,'Données projet'!$E$9+1,1))</f>
        <v>449.28947235329758</v>
      </c>
      <c r="T94" s="59">
        <f t="shared" si="88"/>
        <v>289.36994109443964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22.719864250274792</v>
      </c>
      <c r="AA94" s="21">
        <f>EXP(-LN(2)/25)*AA93+(1-EXP(-LN(2)/25))/(LN(2)/25)*Calculateur!V94*Calculateur!X94*VLOOKUP('Données projet'!$B$9,Paramètres!$A$1:$I$89,3,0)*0.475*44/12</f>
        <v>21.136050346353912</v>
      </c>
      <c r="AB94" s="21">
        <f>EXP(-LN(2)/2)*AB93+(1-EXP(-LN(2)/2))/(LN(2)/2)*V94*Y94*VLOOKUP('Données projet'!$B$9,Paramètres!$A$1:$I$89,3,0)*0.475*44/12</f>
        <v>0.29672910621413745</v>
      </c>
      <c r="AC94" s="22">
        <f t="shared" si="57"/>
        <v>44.152643702842845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-2.2737367544323206E-13</v>
      </c>
      <c r="AJ94" s="13">
        <f>AI94*VLOOKUP('Données projet'!$B$10,Paramètres!$A$1:$I$89,3,0)*VLOOKUP('Données projet'!$B$10,Paramètres!$A$1:$I$89,5,0)</f>
        <v>-1.3596945791505279E-13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349.71285006949597</v>
      </c>
      <c r="AO94" s="59">
        <f t="shared" si="90"/>
        <v>258.51550516456842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123.26522201781214</v>
      </c>
      <c r="AV94" s="21">
        <f>EXP(-LN(2)/25)*AV93+(1-EXP(-LN(2)/25))/(LN(2)/25)*Calculateur!AQ94*Calculateur!AS94*VLOOKUP('Données projet'!$B$10,Paramètres!$A$1:$I$89,3,0)*0.475*44/12</f>
        <v>38.142567977540104</v>
      </c>
      <c r="AW94" s="21">
        <f>EXP(-LN(2)/2)*AW93+(1-EXP(-LN(2)/2))/(LN(2)/2)*AQ94*AT94*VLOOKUP('Données projet'!$B$10,Paramètres!$A$1:$I$89,3,0)*0.475*44/12</f>
        <v>1.5626318021087977</v>
      </c>
      <c r="AX94" s="21">
        <f t="shared" si="60"/>
        <v>162.97042179746103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1.1368683772161603E-13</v>
      </c>
      <c r="BE94" s="13">
        <f>BD94*VLOOKUP('Données projet'!$B$11,Paramètres!$A$1:$I$89,3,0)*VLOOKUP('Données projet'!$B$11,Paramètres!$A$1:$I$89,5,0)</f>
        <v>6.7984728957526396E-14</v>
      </c>
      <c r="BF94" s="13">
        <f t="shared" si="91"/>
        <v>1.0682447123141398E-12</v>
      </c>
      <c r="BG94" s="20">
        <f t="shared" si="61"/>
        <v>1.978932943548152E-12</v>
      </c>
      <c r="BH94" s="59">
        <f t="shared" si="62"/>
        <v>293.3333333333353</v>
      </c>
      <c r="BI94" s="59">
        <f ca="1">AVERAGE(OFFSET($BH$3,0,0,'Données projet'!$E$11+1,1))-AVERAGE(OFFSET($H$3,0,0,'Données projet'!$E$11+1,1))</f>
        <v>302.00825291248458</v>
      </c>
      <c r="BJ94" s="59">
        <f t="shared" si="92"/>
        <v>307.35115839449355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75.158669121223824</v>
      </c>
      <c r="BQ94" s="21">
        <f>EXP(-LN(2)/25)*BQ93+(1-EXP(-LN(2)/25))/(LN(2)/25)*Calculateur!BL94*Calculateur!BN94*VLOOKUP('Données projet'!$B$11,Paramètres!$A$1:$I$89,3,0)*0.475*44/12</f>
        <v>20.508390672477791</v>
      </c>
      <c r="BR94" s="21">
        <f>EXP(-LN(2)/2)*BR93+(1-EXP(-LN(2)/2))/(LN(2)/2)*BL94*BO94*VLOOKUP('Données projet'!$B$11,Paramètres!$A$1:$I$89,3,0)*0.475*44/12</f>
        <v>1.2939191537513031E-3</v>
      </c>
      <c r="BS94" s="22">
        <f t="shared" si="63"/>
        <v>95.668353712855364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10.192500000000001</v>
      </c>
      <c r="BY94" s="12">
        <f>IF('Données projet'!$A$114&gt;35,BY93+BX94-CG93,IF(A94&lt;'Données projet'!$A$114,$BV$205^A94,IF(A94='Données projet'!$A$114,'Données projet'!$B$114,BY93+BX94-CG93)))</f>
        <v>390.59499999999991</v>
      </c>
      <c r="BZ94" s="13">
        <f>BY94*VLOOKUP('Données projet'!$B$12,Paramètres!$A$1:$I$89,3,0)*VLOOKUP('Données projet'!$B$12,Paramètres!$A$1:$I$89,5,0)</f>
        <v>182.79845999999995</v>
      </c>
      <c r="CA94" s="13">
        <f t="shared" si="93"/>
        <v>45.944231835010378</v>
      </c>
      <c r="CB94" s="20">
        <f t="shared" si="64"/>
        <v>398.39352161264304</v>
      </c>
      <c r="CC94" s="59">
        <f t="shared" si="65"/>
        <v>691.72685494597636</v>
      </c>
      <c r="CD94" s="59">
        <f ca="1">AVERAGE(OFFSET($CC$3,0,0,'Données projet'!$E$12+1,1))-AVERAGE(OFFSET($H$3,0,0,'Données projet'!$E$12+1,1))</f>
        <v>337.10499990421835</v>
      </c>
      <c r="CE94" s="59">
        <f t="shared" si="94"/>
        <v>277.4254079562175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50.410073786011111</v>
      </c>
      <c r="CL94" s="21">
        <f>EXP(-LN(2)/25)*CL93+(1-EXP(-LN(2)/25))/(LN(2)/25)*Calculateur!CG94*Calculateur!CI94*VLOOKUP('Données projet'!$B$12,Paramètres!$A$1:$I$89,3,0)*0.475*44/12</f>
        <v>19.999320052982629</v>
      </c>
      <c r="CM94" s="21">
        <f>EXP(-LN(2)/2)*CM93+(1-EXP(-LN(2)/2))/(LN(2)/2)*CG94*CJ94*VLOOKUP('Données projet'!$B$12,Paramètres!$A$1:$I$89,3,0)*0.475*44/12</f>
        <v>1.2897425323166702</v>
      </c>
      <c r="CN94" s="22">
        <f t="shared" si="66"/>
        <v>71.699136371310402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6.7600000000000007</v>
      </c>
      <c r="CT94" s="12">
        <f>IF('Données projet'!$A$140&gt;35,CT93+CS94-DB93,IF(A94&lt;'Données projet'!$A$140,$CQ$205^A94,IF(A94='Données projet'!$A$140,'Données projet'!$B$140,CT93+CS94-DB93)))</f>
        <v>225.52999999999992</v>
      </c>
      <c r="CU94" s="17">
        <f>CT94*VLOOKUP('Données projet'!$B$13,Paramètres!$A$1:$I$89,3,0)*VLOOKUP('Données projet'!$B$13,Paramètres!$A$1:$I$89,5,0)</f>
        <v>225.16915199999994</v>
      </c>
      <c r="CV94" s="13">
        <f t="shared" si="95"/>
        <v>55.236852292008642</v>
      </c>
      <c r="CW94" s="20">
        <f t="shared" si="67"/>
        <v>488.37379080858153</v>
      </c>
      <c r="CX94" s="59">
        <f t="shared" si="68"/>
        <v>781.70712414191485</v>
      </c>
      <c r="CY94" s="59">
        <f ca="1">AVERAGE(OFFSET($CX$3,0,0,'Données projet'!$E$13+1,1))-AVERAGE(OFFSET($H$3,0,0,'Données projet'!$E$13+1,1))</f>
        <v>525.74725170626471</v>
      </c>
      <c r="CZ94" s="59">
        <f t="shared" si="96"/>
        <v>259.19103598192197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5.6477851329346453</v>
      </c>
      <c r="DG94" s="21">
        <f>EXP(-LN(2)/25)*DG93+(1-EXP(-LN(2)/25))/(LN(2)/25)*Calculateur!DB94*Calculateur!DD94*VLOOKUP('Données projet'!$B$13,Paramètres!$A$1:$I$89,3,0)*0.475*44/12</f>
        <v>32.141617862063278</v>
      </c>
      <c r="DH94" s="21">
        <f>EXP(-LN(2)/2)*DH93+(1-EXP(-LN(2)/2))/(LN(2)/2)*DB94*DE94*VLOOKUP('Données projet'!$B$13,Paramètres!$A$1:$I$89,3,0)*0.475*44/12</f>
        <v>0.67929254605927769</v>
      </c>
      <c r="DI94" s="22">
        <f t="shared" si="69"/>
        <v>38.468695541057201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7.6966666666666681</v>
      </c>
      <c r="DO94" s="12">
        <f>IF('Données projet'!$A$166&gt;35,DO93+DN94-DW93,IF(A94&lt;'Données projet'!$A$166,$DL$205^A94,IF(A94='Données projet'!$A$166,'Données projet'!$B$166,DO93+DN94-DW93)))</f>
        <v>287.97666666666697</v>
      </c>
      <c r="DP94" s="17">
        <f>DO94*VLOOKUP('Données projet'!$B$14,Paramètres!$A$1:$I$89,3,0)*VLOOKUP('Données projet'!$B$14,Paramètres!$A$1:$I$89,5,0)</f>
        <v>260.56128800000027</v>
      </c>
      <c r="DQ94" s="13">
        <f t="shared" si="97"/>
        <v>62.842006855343143</v>
      </c>
      <c r="DR94" s="20">
        <f t="shared" si="70"/>
        <v>563.26073853972309</v>
      </c>
      <c r="DS94" s="59">
        <f t="shared" si="71"/>
        <v>856.59407187305646</v>
      </c>
      <c r="DT94" s="59">
        <f ca="1">AVERAGE(OFFSET($DS$3,0,0,'Données projet'!$E$14+1,1))-AVERAGE(OFFSET($H$3,0,0,'Données projet'!$E$14+1,1))</f>
        <v>490.06222615476065</v>
      </c>
      <c r="DU94" s="59">
        <f t="shared" si="98"/>
        <v>310.43914804089906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19.603175928407722</v>
      </c>
      <c r="EB94" s="21">
        <f>EXP(-LN(2)/25)*EB93+(1-EXP(-LN(2)/25))/(LN(2)/25)*Calculateur!DW94*Calculateur!DY94*VLOOKUP('Données projet'!$B$14,Paramètres!$A$1:$I$89,3,0)*0.475*44/12</f>
        <v>22.345520645564591</v>
      </c>
      <c r="EC94" s="21">
        <f>EXP(-LN(2)/2)*EC93+(1-EXP(-LN(2)/2))/(LN(2)/2)*DW94*DZ94*VLOOKUP('Données projet'!$B$14,Paramètres!$A$1:$I$89,3,0)*0.475*44/12</f>
        <v>0.39023158088782939</v>
      </c>
      <c r="ED94" s="22">
        <f t="shared" si="72"/>
        <v>42.338928154860142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6.7600000000000007</v>
      </c>
      <c r="EJ94" s="12">
        <f>IF('Données projet'!$A$192&gt;35,EJ93+EI94-ER93,IF(A94&lt;'Données projet'!$A$192,$EG$205^A94,IF(A94='Données projet'!$A$192,'Données projet'!$B$192,EJ93+EI94-ER93)))</f>
        <v>225.52999999999992</v>
      </c>
      <c r="EK94" s="17">
        <f>EJ94*VLOOKUP('Données projet'!$B$15,Paramètres!$A$1:$I$89,3,0)*VLOOKUP('Données projet'!$B$15,Paramètres!$A$1:$I$89,5,0)</f>
        <v>228.68741999999995</v>
      </c>
      <c r="EL94" s="13">
        <f t="shared" si="99"/>
        <v>55.998776581457236</v>
      </c>
      <c r="EM94" s="20">
        <f t="shared" si="73"/>
        <v>495.82845904603795</v>
      </c>
      <c r="EN94" s="59">
        <f t="shared" si="74"/>
        <v>789.16179237937126</v>
      </c>
      <c r="EO94" s="59">
        <f ca="1">AVERAGE(OFFSET($EN$3,0,0,'Données projet'!$E$15+1,1))-AVERAGE(OFFSET($H$3,0,0,'Données projet'!$E$15+1,1))</f>
        <v>533.26035274112917</v>
      </c>
      <c r="EP94" s="59">
        <f t="shared" si="100"/>
        <v>262.58149402282521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5.7360317756367492</v>
      </c>
      <c r="EW94" s="21">
        <f>EXP(-LN(2)/25)*EW93+(1-EXP(-LN(2)/25))/(LN(2)/25)*Calculateur!ER94*Calculateur!ET94*VLOOKUP('Données projet'!$B$15,Paramètres!$A$1:$I$89,3,0)*0.475*44/12</f>
        <v>32.643830641158004</v>
      </c>
      <c r="EX94" s="21">
        <f>EXP(-LN(2)/2)*EX93+(1-EXP(-LN(2)/2))/(LN(2)/2)*ER94*EU94*VLOOKUP('Données projet'!$B$15,Paramètres!$A$1:$I$89,3,0)*0.475*44/12</f>
        <v>0.68990649209145394</v>
      </c>
      <c r="EY94" s="22">
        <f t="shared" si="75"/>
        <v>39.069768908886203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1.7948717948717956</v>
      </c>
      <c r="FE94" s="12">
        <f>IF('Données projet'!$A$218&gt;35,FE93+FD94-FM93,IF(A94&lt;'Données projet'!$A$218,$FB$205^A94,IF(A94='Données projet'!$A$218,'Données projet'!$B$218,FE93+FD94-FM93)))</f>
        <v>133.20512820512815</v>
      </c>
      <c r="FF94" s="17">
        <f>FE94*VLOOKUP('Données projet'!$B$16,Paramètres!$A$1:$I$89,3,0)*VLOOKUP('Données projet'!$B$16,Paramètres!$A$1:$I$89,5,0)</f>
        <v>139.22599999999994</v>
      </c>
      <c r="FG94" s="13">
        <f t="shared" si="101"/>
        <v>36.119635793564001</v>
      </c>
      <c r="FH94" s="20">
        <f t="shared" si="76"/>
        <v>305.39364900712383</v>
      </c>
      <c r="FI94" s="59">
        <f t="shared" si="77"/>
        <v>598.7269823404572</v>
      </c>
      <c r="FJ94" s="59">
        <f ca="1">AVERAGE(OFFSET($FI$3,0,0,'Données projet'!$E$16+1,1))-AVERAGE(OFFSET($H$3,0,0,'Données projet'!$E$16+1,1))</f>
        <v>239.26156489359892</v>
      </c>
      <c r="FK94" s="59">
        <f t="shared" si="102"/>
        <v>213.97034450798111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1.734834152851388</v>
      </c>
      <c r="FR94" s="21">
        <f>EXP(-LN(2)/25)*FR93+(1-EXP(-LN(2)/25))/(LN(2)/25)*Calculateur!FM94*Calculateur!FO94*VLOOKUP('Données projet'!$B$16,Paramètres!$A$1:$I$89,3,0)*0.475*44/12</f>
        <v>14.770651707234904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16.505485860086292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9.2740000000000009</v>
      </c>
      <c r="N95" s="13">
        <f>IF('Données projet'!$A$36&gt;35,N94+M95-V94,IF(A95&lt;'Données projet'!$A$36,$K$205^A95,IF(A95='Données projet'!$A$36,'Données projet'!$B$36,N94+M95-V94)))</f>
        <v>339.59599999999989</v>
      </c>
      <c r="O95" s="13">
        <f>N95*VLOOKUP('Données projet'!$B$9,Paramètres!$A$1:$I$89,3,0)*VLOOKUP('Données projet'!$B$9,Paramètres!$A$1:$I$89,5,0)</f>
        <v>323.15955359999992</v>
      </c>
      <c r="P95" s="13">
        <f t="shared" si="87"/>
        <v>76.010383841911221</v>
      </c>
      <c r="Q95" s="20">
        <f t="shared" si="54"/>
        <v>695.22097437799528</v>
      </c>
      <c r="R95" s="59">
        <f t="shared" si="55"/>
        <v>988.55430771132865</v>
      </c>
      <c r="S95" s="59">
        <f ca="1">AVERAGE(OFFSET($R$3,0,0,'Données projet'!$E$9+1,1))-AVERAGE(OFFSET($H$3,0,0,'Données projet'!$E$9+1,1))</f>
        <v>449.28947235329758</v>
      </c>
      <c r="T95" s="59">
        <f t="shared" si="88"/>
        <v>289.36994109443964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22.274341570075759</v>
      </c>
      <c r="AA95" s="21">
        <f>EXP(-LN(2)/25)*AA94+(1-EXP(-LN(2)/25))/(LN(2)/25)*Calculateur!V95*Calculateur!X95*VLOOKUP('Données projet'!$B$9,Paramètres!$A$1:$I$89,3,0)*0.475*44/12</f>
        <v>20.558083938136285</v>
      </c>
      <c r="AB95" s="21">
        <f>EXP(-LN(2)/2)*AB94+(1-EXP(-LN(2)/2))/(LN(2)/2)*V95*Y95*VLOOKUP('Données projet'!$B$9,Paramètres!$A$1:$I$89,3,0)*0.475*44/12</f>
        <v>0.20981916317943991</v>
      </c>
      <c r="AC95" s="22">
        <f t="shared" si="57"/>
        <v>43.042244671391479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-2.2737367544323206E-13</v>
      </c>
      <c r="AJ95" s="13">
        <f>AI95*VLOOKUP('Données projet'!$B$10,Paramètres!$A$1:$I$89,3,0)*VLOOKUP('Données projet'!$B$10,Paramètres!$A$1:$I$89,5,0)</f>
        <v>-1.3596945791505279E-13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349.71285006949597</v>
      </c>
      <c r="AO95" s="59">
        <f t="shared" si="90"/>
        <v>258.51550516456842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120.84806619840442</v>
      </c>
      <c r="AV95" s="21">
        <f>EXP(-LN(2)/25)*AV94+(1-EXP(-LN(2)/25))/(LN(2)/25)*Calculateur!AQ95*Calculateur!AS95*VLOOKUP('Données projet'!$B$10,Paramètres!$A$1:$I$89,3,0)*0.475*44/12</f>
        <v>37.099557450363797</v>
      </c>
      <c r="AW95" s="21">
        <f>EXP(-LN(2)/2)*AW94+(1-EXP(-LN(2)/2))/(LN(2)/2)*AQ95*AT95*VLOOKUP('Données projet'!$B$10,Paramètres!$A$1:$I$89,3,0)*0.475*44/12</f>
        <v>1.104947543768886</v>
      </c>
      <c r="AX95" s="21">
        <f t="shared" si="60"/>
        <v>159.0525711925371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1.1368683772161603E-13</v>
      </c>
      <c r="BE95" s="13">
        <f>BD95*VLOOKUP('Données projet'!$B$11,Paramètres!$A$1:$I$89,3,0)*VLOOKUP('Données projet'!$B$11,Paramètres!$A$1:$I$89,5,0)</f>
        <v>6.7984728957526396E-14</v>
      </c>
      <c r="BF95" s="13">
        <f t="shared" si="91"/>
        <v>1.0682447123141398E-12</v>
      </c>
      <c r="BG95" s="20">
        <f t="shared" si="61"/>
        <v>1.978932943548152E-12</v>
      </c>
      <c r="BH95" s="59">
        <f t="shared" si="62"/>
        <v>293.3333333333353</v>
      </c>
      <c r="BI95" s="59">
        <f ca="1">AVERAGE(OFFSET($BH$3,0,0,'Données projet'!$E$11+1,1))-AVERAGE(OFFSET($H$3,0,0,'Données projet'!$E$11+1,1))</f>
        <v>302.00825291248458</v>
      </c>
      <c r="BJ95" s="59">
        <f t="shared" si="92"/>
        <v>307.35115839449355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73.684853462018239</v>
      </c>
      <c r="BQ95" s="21">
        <f>EXP(-LN(2)/25)*BQ94+(1-EXP(-LN(2)/25))/(LN(2)/25)*Calculateur!BL95*Calculateur!BN95*VLOOKUP('Données projet'!$B$11,Paramètres!$A$1:$I$89,3,0)*0.475*44/12</f>
        <v>19.947587651049492</v>
      </c>
      <c r="BR95" s="21">
        <f>EXP(-LN(2)/2)*BR94+(1-EXP(-LN(2)/2))/(LN(2)/2)*BL95*BO95*VLOOKUP('Données projet'!$B$11,Paramètres!$A$1:$I$89,3,0)*0.475*44/12</f>
        <v>9.1493900792470541E-4</v>
      </c>
      <c r="BS95" s="22">
        <f t="shared" si="63"/>
        <v>93.633356052075655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10.192500000000001</v>
      </c>
      <c r="BY95" s="12">
        <f>IF('Données projet'!$A$114&gt;35,BY94+BX95-CG94,IF(A95&lt;'Données projet'!$A$114,$BV$205^A95,IF(A95='Données projet'!$A$114,'Données projet'!$B$114,BY94+BX95-CG94)))</f>
        <v>400.78749999999991</v>
      </c>
      <c r="BZ95" s="13">
        <f>BY95*VLOOKUP('Données projet'!$B$12,Paramètres!$A$1:$I$89,3,0)*VLOOKUP('Données projet'!$B$12,Paramètres!$A$1:$I$89,5,0)</f>
        <v>187.56854999999999</v>
      </c>
      <c r="CA95" s="13">
        <f t="shared" si="93"/>
        <v>47.00199148936823</v>
      </c>
      <c r="CB95" s="20">
        <f t="shared" si="64"/>
        <v>408.54369309398299</v>
      </c>
      <c r="CC95" s="59">
        <f t="shared" si="65"/>
        <v>701.87702642731631</v>
      </c>
      <c r="CD95" s="59">
        <f ca="1">AVERAGE(OFFSET($CC$3,0,0,'Données projet'!$E$12+1,1))-AVERAGE(OFFSET($H$3,0,0,'Données projet'!$E$12+1,1))</f>
        <v>337.10499990421835</v>
      </c>
      <c r="CE95" s="59">
        <f t="shared" si="94"/>
        <v>277.4254079562175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49.421562986176419</v>
      </c>
      <c r="CL95" s="21">
        <f>EXP(-LN(2)/25)*CL94+(1-EXP(-LN(2)/25))/(LN(2)/25)*Calculateur!CG95*Calculateur!CI95*VLOOKUP('Données projet'!$B$12,Paramètres!$A$1:$I$89,3,0)*0.475*44/12</f>
        <v>19.452437594415287</v>
      </c>
      <c r="CM95" s="21">
        <f>EXP(-LN(2)/2)*CM94+(1-EXP(-LN(2)/2))/(LN(2)/2)*CG95*CJ95*VLOOKUP('Données projet'!$B$12,Paramètres!$A$1:$I$89,3,0)*0.475*44/12</f>
        <v>0.91198569058582746</v>
      </c>
      <c r="CN95" s="22">
        <f t="shared" si="66"/>
        <v>69.785986271177535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6.7600000000000007</v>
      </c>
      <c r="CT95" s="12">
        <f>IF('Données projet'!$A$140&gt;35,CT94+CS95-DB94,IF(A95&lt;'Données projet'!$A$140,$CQ$205^A95,IF(A95='Données projet'!$A$140,'Données projet'!$B$140,CT94+CS95-DB94)))</f>
        <v>232.28999999999991</v>
      </c>
      <c r="CU95" s="17">
        <f>CT95*VLOOKUP('Données projet'!$B$13,Paramètres!$A$1:$I$89,3,0)*VLOOKUP('Données projet'!$B$13,Paramètres!$A$1:$I$89,5,0)</f>
        <v>231.91833599999993</v>
      </c>
      <c r="CV95" s="13">
        <f t="shared" si="95"/>
        <v>56.697269899323551</v>
      </c>
      <c r="CW95" s="20">
        <f t="shared" si="67"/>
        <v>502.67218027465498</v>
      </c>
      <c r="CX95" s="59">
        <f t="shared" si="68"/>
        <v>796.00551360798829</v>
      </c>
      <c r="CY95" s="59">
        <f ca="1">AVERAGE(OFFSET($CX$3,0,0,'Données projet'!$E$13+1,1))-AVERAGE(OFFSET($H$3,0,0,'Données projet'!$E$13+1,1))</f>
        <v>525.74725170626471</v>
      </c>
      <c r="CZ95" s="59">
        <f t="shared" si="96"/>
        <v>259.19103598192197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5.5370355112865814</v>
      </c>
      <c r="DG95" s="21">
        <f>EXP(-LN(2)/25)*DG94+(1-EXP(-LN(2)/25))/(LN(2)/25)*Calculateur!DB95*Calculateur!DD95*VLOOKUP('Données projet'!$B$13,Paramètres!$A$1:$I$89,3,0)*0.475*44/12</f>
        <v>31.262703631370936</v>
      </c>
      <c r="DH95" s="21">
        <f>EXP(-LN(2)/2)*DH94+(1-EXP(-LN(2)/2))/(LN(2)/2)*DB95*DE95*VLOOKUP('Données projet'!$B$13,Paramètres!$A$1:$I$89,3,0)*0.475*44/12</f>
        <v>0.48033236572799048</v>
      </c>
      <c r="DI95" s="22">
        <f t="shared" si="69"/>
        <v>37.280071508385504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7.6966666666666681</v>
      </c>
      <c r="DO95" s="12">
        <f>IF('Données projet'!$A$166&gt;35,DO94+DN95-DW94,IF(A95&lt;'Données projet'!$A$166,$DL$205^A95,IF(A95='Données projet'!$A$166,'Données projet'!$B$166,DO94+DN95-DW94)))</f>
        <v>295.67333333333363</v>
      </c>
      <c r="DP95" s="17">
        <f>DO95*VLOOKUP('Données projet'!$B$14,Paramètres!$A$1:$I$89,3,0)*VLOOKUP('Données projet'!$B$14,Paramètres!$A$1:$I$89,5,0)</f>
        <v>267.5252320000003</v>
      </c>
      <c r="DQ95" s="13">
        <f t="shared" si="97"/>
        <v>64.323779926659213</v>
      </c>
      <c r="DR95" s="20">
        <f t="shared" si="70"/>
        <v>577.97036243893194</v>
      </c>
      <c r="DS95" s="59">
        <f t="shared" si="71"/>
        <v>871.3036957722652</v>
      </c>
      <c r="DT95" s="59">
        <f ca="1">AVERAGE(OFFSET($DS$3,0,0,'Données projet'!$E$14+1,1))-AVERAGE(OFFSET($H$3,0,0,'Données projet'!$E$14+1,1))</f>
        <v>490.06222615476065</v>
      </c>
      <c r="DU95" s="59">
        <f t="shared" si="98"/>
        <v>310.43914804089906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19.218769605208333</v>
      </c>
      <c r="EB95" s="21">
        <f>EXP(-LN(2)/25)*EB94+(1-EXP(-LN(2)/25))/(LN(2)/25)*Calculateur!DW95*Calculateur!DY95*VLOOKUP('Données projet'!$B$14,Paramètres!$A$1:$I$89,3,0)*0.475*44/12</f>
        <v>21.734481208411768</v>
      </c>
      <c r="EC95" s="21">
        <f>EXP(-LN(2)/2)*EC94+(1-EXP(-LN(2)/2))/(LN(2)/2)*DW95*DZ95*VLOOKUP('Données projet'!$B$14,Paramètres!$A$1:$I$89,3,0)*0.475*44/12</f>
        <v>0.27593539707893089</v>
      </c>
      <c r="ED95" s="22">
        <f t="shared" si="72"/>
        <v>41.229186210699034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6.7600000000000007</v>
      </c>
      <c r="EJ95" s="12">
        <f>IF('Données projet'!$A$192&gt;35,EJ94+EI95-ER94,IF(A95&lt;'Données projet'!$A$192,$EG$205^A95,IF(A95='Données projet'!$A$192,'Données projet'!$B$192,EJ94+EI95-ER94)))</f>
        <v>232.28999999999991</v>
      </c>
      <c r="EK95" s="17">
        <f>EJ95*VLOOKUP('Données projet'!$B$15,Paramètres!$A$1:$I$89,3,0)*VLOOKUP('Données projet'!$B$15,Paramètres!$A$1:$I$89,5,0)</f>
        <v>235.54205999999991</v>
      </c>
      <c r="EL95" s="13">
        <f t="shared" si="99"/>
        <v>57.479338849475639</v>
      </c>
      <c r="EM95" s="20">
        <f t="shared" si="73"/>
        <v>510.34560299616987</v>
      </c>
      <c r="EN95" s="59">
        <f t="shared" si="74"/>
        <v>803.67893632950313</v>
      </c>
      <c r="EO95" s="59">
        <f ca="1">AVERAGE(OFFSET($EN$3,0,0,'Données projet'!$E$15+1,1))-AVERAGE(OFFSET($H$3,0,0,'Données projet'!$E$15+1,1))</f>
        <v>533.26035274112917</v>
      </c>
      <c r="EP95" s="59">
        <f t="shared" si="100"/>
        <v>262.58149402282521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5.6235516911504346</v>
      </c>
      <c r="EW95" s="21">
        <f>EXP(-LN(2)/25)*EW94+(1-EXP(-LN(2)/25))/(LN(2)/25)*Calculateur!ER95*Calculateur!ET95*VLOOKUP('Données projet'!$B$15,Paramètres!$A$1:$I$89,3,0)*0.475*44/12</f>
        <v>31.751183375611095</v>
      </c>
      <c r="EX95" s="21">
        <f>EXP(-LN(2)/2)*EX94+(1-EXP(-LN(2)/2))/(LN(2)/2)*ER95*EU95*VLOOKUP('Données projet'!$B$15,Paramètres!$A$1:$I$89,3,0)*0.475*44/12</f>
        <v>0.48783755894249031</v>
      </c>
      <c r="EY95" s="22">
        <f t="shared" si="75"/>
        <v>37.862572625704018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1.7948717948717956</v>
      </c>
      <c r="FE95" s="12">
        <f>IF('Données projet'!$A$218&gt;35,FE94+FD95-FM94,IF(A95&lt;'Données projet'!$A$218,$FB$205^A95,IF(A95='Données projet'!$A$218,'Données projet'!$B$218,FE94+FD95-FM94)))</f>
        <v>134.99999999999994</v>
      </c>
      <c r="FF95" s="17">
        <f>FE95*VLOOKUP('Données projet'!$B$16,Paramètres!$A$1:$I$89,3,0)*VLOOKUP('Données projet'!$B$16,Paramètres!$A$1:$I$89,5,0)</f>
        <v>141.10199999999995</v>
      </c>
      <c r="FG95" s="13">
        <f t="shared" si="101"/>
        <v>36.549342904663185</v>
      </c>
      <c r="FH95" s="20">
        <f t="shared" si="76"/>
        <v>309.4094222256216</v>
      </c>
      <c r="FI95" s="59">
        <f t="shared" si="77"/>
        <v>602.74275555895497</v>
      </c>
      <c r="FJ95" s="59">
        <f ca="1">AVERAGE(OFFSET($FI$3,0,0,'Données projet'!$E$16+1,1))-AVERAGE(OFFSET($H$3,0,0,'Données projet'!$E$16+1,1))</f>
        <v>239.26156489359892</v>
      </c>
      <c r="FK95" s="59">
        <f t="shared" si="102"/>
        <v>213.97034450798111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1.7008151132583225</v>
      </c>
      <c r="FR95" s="21">
        <f>EXP(-LN(2)/25)*FR94+(1-EXP(-LN(2)/25))/(LN(2)/25)*Calculateur!FM95*Calculateur!FO95*VLOOKUP('Données projet'!$B$16,Paramètres!$A$1:$I$89,3,0)*0.475*44/12</f>
        <v>14.366747459545751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16.067562572804075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>
        <f>VLOOKUP(A96,'Données projet'!$A$35:$I$55,2,0)</f>
        <v>348.87</v>
      </c>
      <c r="L96" s="12">
        <f>VLOOKUP(A96,'Données projet'!$A$35:$I$55,9,0)</f>
        <v>9.2740000000000009</v>
      </c>
      <c r="M96" s="12">
        <f t="array" ref="M96">INDEX(L:L,MIN(IF(ISNUMBER(L96:L292),ROW(L96:L292),"")))</f>
        <v>9.2740000000000009</v>
      </c>
      <c r="N96" s="13">
        <f>IF('Données projet'!$A$36&gt;35,N95+M96-V95,IF(A96&lt;'Données projet'!$A$36,$K$205^A96,IF(A96='Données projet'!$A$36,'Données projet'!$B$36,N95+M96-V95)))</f>
        <v>348.86999999999989</v>
      </c>
      <c r="O96" s="13">
        <f>N96*VLOOKUP('Données projet'!$B$9,Paramètres!$A$1:$I$89,3,0)*VLOOKUP('Données projet'!$B$9,Paramètres!$A$1:$I$89,5,0)</f>
        <v>331.98469199999994</v>
      </c>
      <c r="P96" s="13">
        <f t="shared" si="87"/>
        <v>77.841640752593847</v>
      </c>
      <c r="Q96" s="20">
        <f t="shared" si="54"/>
        <v>713.78086287743406</v>
      </c>
      <c r="R96" s="59">
        <f t="shared" si="55"/>
        <v>1007.1141962107674</v>
      </c>
      <c r="S96" s="59">
        <f ca="1">AVERAGE(OFFSET($R$3,0,0,'Données projet'!$E$9+1,1))-AVERAGE(OFFSET($H$3,0,0,'Données projet'!$E$9+1,1))</f>
        <v>449.28947235329758</v>
      </c>
      <c r="T96" s="59">
        <f t="shared" si="88"/>
        <v>289.36994109443964</v>
      </c>
      <c r="U96" s="15">
        <f>IF(ISNA(VLOOKUP(A96,'Données projet'!$A$35:$I$55,3,0)),0,VLOOKUP(A96,'Données projet'!$A$35:$I$55,3,0))</f>
        <v>8</v>
      </c>
      <c r="V96" s="15">
        <f>IF(ISNA(VLOOKUP(A96,'Données projet'!$A$35:$I$55,4,0)),0,VLOOKUP(A96,'Données projet'!$A$35:$I$55,4,0))</f>
        <v>67.45999999999998</v>
      </c>
      <c r="W96" s="16">
        <f>IF(ISNA(VLOOKUP(A96,'Données projet'!$A$35:$I$55,5,0)),0%,VLOOKUP(A96,'Données projet'!$A$35:$I$55,5,0)*VLOOKUP('Données projet'!$B$9,Paramètres!$A$1:$I$89,7,0))</f>
        <v>0.215</v>
      </c>
      <c r="X96" s="16">
        <f>IF(ISNA(VLOOKUP(A96,'Données projet'!$A$35:$I$55,6,0)),0%,VLOOKUP(A96,'Données projet'!$A$35:$I$55,6,0)*VLOOKUP('Données projet'!$B$9,Paramètres!$A$1:$I$89,7,0))</f>
        <v>8.6000000000000007E-2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37.095159374656312</v>
      </c>
      <c r="AA96" s="21">
        <f>EXP(-LN(2)/25)*AA95+(1-EXP(-LN(2)/25))/(LN(2)/25)*Calculateur!V96*Calculateur!X96*VLOOKUP('Données projet'!$B$9,Paramètres!$A$1:$I$89,3,0)*0.475*44/12</f>
        <v>26.074933674140695</v>
      </c>
      <c r="AB96" s="21">
        <f>EXP(-LN(2)/2)*AB95+(1-EXP(-LN(2)/2))/(LN(2)/2)*V96*Y96*VLOOKUP('Données projet'!$B$9,Paramètres!$A$1:$I$89,3,0)*0.475*44/12</f>
        <v>0.14836455310706873</v>
      </c>
      <c r="AC96" s="22">
        <f t="shared" si="57"/>
        <v>63.318457601904079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-2.2737367544323206E-13</v>
      </c>
      <c r="AJ96" s="13">
        <f>AI96*VLOOKUP('Données projet'!$B$10,Paramètres!$A$1:$I$89,3,0)*VLOOKUP('Données projet'!$B$10,Paramètres!$A$1:$I$89,5,0)</f>
        <v>-1.3596945791505279E-13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349.71285006949597</v>
      </c>
      <c r="AO96" s="59">
        <f t="shared" si="90"/>
        <v>258.51550516456842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118.47830933029583</v>
      </c>
      <c r="AV96" s="21">
        <f>EXP(-LN(2)/25)*AV95+(1-EXP(-LN(2)/25))/(LN(2)/25)*Calculateur!AQ96*Calculateur!AS96*VLOOKUP('Données projet'!$B$10,Paramètres!$A$1:$I$89,3,0)*0.475*44/12</f>
        <v>36.085068100902667</v>
      </c>
      <c r="AW96" s="21">
        <f>EXP(-LN(2)/2)*AW95+(1-EXP(-LN(2)/2))/(LN(2)/2)*AQ96*AT96*VLOOKUP('Données projet'!$B$10,Paramètres!$A$1:$I$89,3,0)*0.475*44/12</f>
        <v>0.78131590105439885</v>
      </c>
      <c r="AX96" s="21">
        <f t="shared" si="60"/>
        <v>155.34469333225289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1.1368683772161603E-13</v>
      </c>
      <c r="BE96" s="13">
        <f>BD96*VLOOKUP('Données projet'!$B$11,Paramètres!$A$1:$I$89,3,0)*VLOOKUP('Données projet'!$B$11,Paramètres!$A$1:$I$89,5,0)</f>
        <v>6.7984728957526396E-14</v>
      </c>
      <c r="BF96" s="13">
        <f t="shared" si="91"/>
        <v>1.0682447123141398E-12</v>
      </c>
      <c r="BG96" s="20">
        <f t="shared" si="61"/>
        <v>1.978932943548152E-12</v>
      </c>
      <c r="BH96" s="59">
        <f t="shared" si="62"/>
        <v>293.3333333333353</v>
      </c>
      <c r="BI96" s="59">
        <f ca="1">AVERAGE(OFFSET($BH$3,0,0,'Données projet'!$E$11+1,1))-AVERAGE(OFFSET($H$3,0,0,'Données projet'!$E$11+1,1))</f>
        <v>302.00825291248458</v>
      </c>
      <c r="BJ96" s="59">
        <f t="shared" si="92"/>
        <v>307.35115839449355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72.239938428950893</v>
      </c>
      <c r="BQ96" s="21">
        <f>EXP(-LN(2)/25)*BQ95+(1-EXP(-LN(2)/25))/(LN(2)/25)*Calculateur!BL96*Calculateur!BN96*VLOOKUP('Données projet'!$B$11,Paramètres!$A$1:$I$89,3,0)*0.475*44/12</f>
        <v>19.402119817733499</v>
      </c>
      <c r="BR96" s="21">
        <f>EXP(-LN(2)/2)*BR95+(1-EXP(-LN(2)/2))/(LN(2)/2)*BL96*BO96*VLOOKUP('Données projet'!$B$11,Paramètres!$A$1:$I$89,3,0)*0.475*44/12</f>
        <v>6.4695957687565153E-4</v>
      </c>
      <c r="BS96" s="22">
        <f t="shared" si="63"/>
        <v>91.642705206261269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10.192500000000001</v>
      </c>
      <c r="BY96" s="12">
        <f>IF('Données projet'!$A$114&gt;35,BY95+BX96-CG95,IF(A96&lt;'Données projet'!$A$114,$BV$205^A96,IF(A96='Données projet'!$A$114,'Données projet'!$B$114,BY95+BX96-CG95)))</f>
        <v>410.9799999999999</v>
      </c>
      <c r="BZ96" s="13">
        <f>BY96*VLOOKUP('Données projet'!$B$12,Paramètres!$A$1:$I$89,3,0)*VLOOKUP('Données projet'!$B$12,Paramètres!$A$1:$I$89,5,0)</f>
        <v>192.33863999999997</v>
      </c>
      <c r="CA96" s="13">
        <f t="shared" si="93"/>
        <v>48.056624248232239</v>
      </c>
      <c r="CB96" s="20">
        <f t="shared" si="64"/>
        <v>418.68841856567104</v>
      </c>
      <c r="CC96" s="59">
        <f t="shared" si="65"/>
        <v>712.02175189900436</v>
      </c>
      <c r="CD96" s="59">
        <f ca="1">AVERAGE(OFFSET($CC$3,0,0,'Données projet'!$E$12+1,1))-AVERAGE(OFFSET($H$3,0,0,'Données projet'!$E$12+1,1))</f>
        <v>337.10499990421835</v>
      </c>
      <c r="CE96" s="59">
        <f t="shared" si="94"/>
        <v>277.4254079562175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48.452436280194433</v>
      </c>
      <c r="CL96" s="21">
        <f>EXP(-LN(2)/25)*CL95+(1-EXP(-LN(2)/25))/(LN(2)/25)*Calculateur!CG96*Calculateur!CI96*VLOOKUP('Données projet'!$B$12,Paramètres!$A$1:$I$89,3,0)*0.475*44/12</f>
        <v>18.920509665436768</v>
      </c>
      <c r="CM96" s="21">
        <f>EXP(-LN(2)/2)*CM95+(1-EXP(-LN(2)/2))/(LN(2)/2)*CG96*CJ96*VLOOKUP('Données projet'!$B$12,Paramètres!$A$1:$I$89,3,0)*0.475*44/12</f>
        <v>0.64487126615833512</v>
      </c>
      <c r="CN96" s="22">
        <f t="shared" si="66"/>
        <v>68.017817211789534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6.7600000000000007</v>
      </c>
      <c r="CT96" s="12">
        <f>IF('Données projet'!$A$140&gt;35,CT95+CS96-DB95,IF(A96&lt;'Données projet'!$A$140,$CQ$205^A96,IF(A96='Données projet'!$A$140,'Données projet'!$B$140,CT95+CS96-DB95)))</f>
        <v>239.0499999999999</v>
      </c>
      <c r="CU96" s="17">
        <f>CT96*VLOOKUP('Données projet'!$B$13,Paramètres!$A$1:$I$89,3,0)*VLOOKUP('Données projet'!$B$13,Paramètres!$A$1:$I$89,5,0)</f>
        <v>238.66751999999991</v>
      </c>
      <c r="CV96" s="13">
        <f t="shared" si="95"/>
        <v>58.152748090255663</v>
      </c>
      <c r="CW96" s="20">
        <f t="shared" si="67"/>
        <v>516.96196692386172</v>
      </c>
      <c r="CX96" s="59">
        <f t="shared" si="68"/>
        <v>810.29530025719509</v>
      </c>
      <c r="CY96" s="59">
        <f ca="1">AVERAGE(OFFSET($CX$3,0,0,'Données projet'!$E$13+1,1))-AVERAGE(OFFSET($H$3,0,0,'Données projet'!$E$13+1,1))</f>
        <v>525.74725170626471</v>
      </c>
      <c r="CZ96" s="59">
        <f t="shared" si="96"/>
        <v>259.19103598192197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5.4284576221684366</v>
      </c>
      <c r="DG96" s="21">
        <f>EXP(-LN(2)/25)*DG95+(1-EXP(-LN(2)/25))/(LN(2)/25)*Calculateur!DB96*Calculateur!DD96*VLOOKUP('Données projet'!$B$13,Paramètres!$A$1:$I$89,3,0)*0.475*44/12</f>
        <v>30.407823356536966</v>
      </c>
      <c r="DH96" s="21">
        <f>EXP(-LN(2)/2)*DH95+(1-EXP(-LN(2)/2))/(LN(2)/2)*DB96*DE96*VLOOKUP('Données projet'!$B$13,Paramètres!$A$1:$I$89,3,0)*0.475*44/12</f>
        <v>0.3396462730296389</v>
      </c>
      <c r="DI96" s="22">
        <f t="shared" si="69"/>
        <v>36.17592725173504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>
        <f>VLOOKUP(A96,'Données projet'!$A$165:$I$185,2,0)</f>
        <v>303.37</v>
      </c>
      <c r="DM96" s="12">
        <f>VLOOKUP(A96,'Données projet'!$A$165:$I$185,9,0)</f>
        <v>7.6966666666666681</v>
      </c>
      <c r="DN96" s="12">
        <f t="array" ref="DN96">INDEX(DM:DM,MIN(IF(ISNUMBER(DM96:DM292),ROW(DM96:DM292),"")))</f>
        <v>7.6966666666666681</v>
      </c>
      <c r="DO96" s="12">
        <f>IF('Données projet'!$A$166&gt;35,DO95+DN96-DW95,IF(A96&lt;'Données projet'!$A$166,$DL$205^A96,IF(A96='Données projet'!$A$166,'Données projet'!$B$166,DO95+DN96-DW95)))</f>
        <v>303.37000000000029</v>
      </c>
      <c r="DP96" s="17">
        <f>DO96*VLOOKUP('Données projet'!$B$14,Paramètres!$A$1:$I$89,3,0)*VLOOKUP('Données projet'!$B$14,Paramètres!$A$1:$I$89,5,0)</f>
        <v>274.48917600000021</v>
      </c>
      <c r="DQ96" s="13">
        <f t="shared" si="97"/>
        <v>65.801069476622146</v>
      </c>
      <c r="DR96" s="20">
        <f t="shared" si="70"/>
        <v>592.67217753845057</v>
      </c>
      <c r="DS96" s="59">
        <f t="shared" si="71"/>
        <v>886.00551087178383</v>
      </c>
      <c r="DT96" s="59">
        <f ca="1">AVERAGE(OFFSET($DS$3,0,0,'Données projet'!$E$14+1,1))-AVERAGE(OFFSET($H$3,0,0,'Données projet'!$E$14+1,1))</f>
        <v>490.06222615476065</v>
      </c>
      <c r="DU96" s="59">
        <f t="shared" si="98"/>
        <v>310.43914804089906</v>
      </c>
      <c r="DV96" s="15">
        <f>IF(ISNA(VLOOKUP(A96,'Données projet'!$A$165:$I$185,3,0)),0,VLOOKUP(A96,'Données projet'!$A$165:$I$185,3,0))</f>
        <v>7</v>
      </c>
      <c r="DW96" s="15">
        <f>IF(ISNA(VLOOKUP(A96,'Données projet'!$A$165:$I$185,4,0)),0,VLOOKUP(A96,'Données projet'!$A$165:$I$185,4,0))</f>
        <v>42.910000000000025</v>
      </c>
      <c r="DX96" s="16">
        <f>IF(ISNA(VLOOKUP(A96,'Données projet'!$A$165:$I$185,5,0)),0%,VLOOKUP(A96,'Données projet'!$A$165:$I$185,5,0)*VLOOKUP('Données projet'!$B$14,Paramètres!$A$1:$I$89,7,0))</f>
        <v>0.15049999999999999</v>
      </c>
      <c r="DY96" s="16">
        <f>IF(ISNA(VLOOKUP(A96,'Données projet'!$A$165:$I$185,6,0)),0%,VLOOKUP(A96,'Données projet'!$A$165:$I$185,6,0)*VLOOKUP('Données projet'!$B$14,Paramètres!$A$1:$I$89,7,0))</f>
        <v>8.6000000000000007E-2</v>
      </c>
      <c r="DZ96" s="16">
        <f>IF(ISNA(VLOOKUP(A96,'Données projet'!$A$165:$I$185,7,0)),0%,VLOOKUP(A96,'Données projet'!$A$165:$I$185,7,0))</f>
        <v>0.1</v>
      </c>
      <c r="EA96" s="21">
        <f>EXP(-LN(2)/35)*EA95+(1-EXP(-LN(2)/35))/(LN(2)/35)*DW96*DX96*VLOOKUP('Données projet'!$B$14,Paramètres!$A$1:$I$89,3,0)*0.475*44/12</f>
        <v>25.301338998144534</v>
      </c>
      <c r="EB96" s="21">
        <f>EXP(-LN(2)/25)*EB95+(1-EXP(-LN(2)/25))/(LN(2)/25)*Calculateur!DW96*Calculateur!DY96*VLOOKUP('Données projet'!$B$14,Paramètres!$A$1:$I$89,3,0)*0.475*44/12</f>
        <v>24.816724662498768</v>
      </c>
      <c r="EC96" s="21">
        <f>EXP(-LN(2)/2)*EC95+(1-EXP(-LN(2)/2))/(LN(2)/2)*DW96*DZ96*VLOOKUP('Données projet'!$B$14,Paramètres!$A$1:$I$89,3,0)*0.475*44/12</f>
        <v>3.8583560171132096</v>
      </c>
      <c r="ED96" s="22">
        <f t="shared" si="72"/>
        <v>53.97641967775651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6.7600000000000007</v>
      </c>
      <c r="EJ96" s="12">
        <f>IF('Données projet'!$A$192&gt;35,EJ95+EI96-ER95,IF(A96&lt;'Données projet'!$A$192,$EG$205^A96,IF(A96='Données projet'!$A$192,'Données projet'!$B$192,EJ95+EI96-ER95)))</f>
        <v>239.0499999999999</v>
      </c>
      <c r="EK96" s="17">
        <f>EJ96*VLOOKUP('Données projet'!$B$15,Paramètres!$A$1:$I$89,3,0)*VLOOKUP('Données projet'!$B$15,Paramètres!$A$1:$I$89,5,0)</f>
        <v>242.3966999999999</v>
      </c>
      <c r="EL96" s="13">
        <f t="shared" si="99"/>
        <v>58.954893567950833</v>
      </c>
      <c r="EM96" s="20">
        <f t="shared" si="73"/>
        <v>524.85402546418084</v>
      </c>
      <c r="EN96" s="59">
        <f t="shared" si="74"/>
        <v>818.18735879751421</v>
      </c>
      <c r="EO96" s="59">
        <f ca="1">AVERAGE(OFFSET($EN$3,0,0,'Données projet'!$E$15+1,1))-AVERAGE(OFFSET($H$3,0,0,'Données projet'!$E$15+1,1))</f>
        <v>533.26035274112917</v>
      </c>
      <c r="EP96" s="59">
        <f t="shared" si="100"/>
        <v>262.58149402282521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5.5132772725148191</v>
      </c>
      <c r="EW96" s="21">
        <f>EXP(-LN(2)/25)*EW95+(1-EXP(-LN(2)/25))/(LN(2)/25)*Calculateur!ER96*Calculateur!ET96*VLOOKUP('Données projet'!$B$15,Paramètres!$A$1:$I$89,3,0)*0.475*44/12</f>
        <v>30.882945596482845</v>
      </c>
      <c r="EX96" s="21">
        <f>EXP(-LN(2)/2)*EX95+(1-EXP(-LN(2)/2))/(LN(2)/2)*ER96*EU96*VLOOKUP('Données projet'!$B$15,Paramètres!$A$1:$I$89,3,0)*0.475*44/12</f>
        <v>0.34495324604572702</v>
      </c>
      <c r="EY96" s="22">
        <f t="shared" si="75"/>
        <v>36.741176115043388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1.7948717948717956</v>
      </c>
      <c r="FE96" s="12">
        <f>IF('Données projet'!$A$218&gt;35,FE95+FD96-FM95,IF(A96&lt;'Données projet'!$A$218,$FB$205^A96,IF(A96='Données projet'!$A$218,'Données projet'!$B$218,FE95+FD96-FM95)))</f>
        <v>136.79487179487174</v>
      </c>
      <c r="FF96" s="17">
        <f>FE96*VLOOKUP('Données projet'!$B$16,Paramètres!$A$1:$I$89,3,0)*VLOOKUP('Données projet'!$B$16,Paramètres!$A$1:$I$89,5,0)</f>
        <v>142.97799999999995</v>
      </c>
      <c r="FG96" s="13">
        <f t="shared" si="101"/>
        <v>36.978385503948552</v>
      </c>
      <c r="FH96" s="20">
        <f t="shared" si="76"/>
        <v>313.42403808604359</v>
      </c>
      <c r="FI96" s="59">
        <f t="shared" si="77"/>
        <v>606.75737141937691</v>
      </c>
      <c r="FJ96" s="59">
        <f ca="1">AVERAGE(OFFSET($FI$3,0,0,'Données projet'!$E$16+1,1))-AVERAGE(OFFSET($H$3,0,0,'Données projet'!$E$16+1,1))</f>
        <v>239.26156489359892</v>
      </c>
      <c r="FK96" s="59">
        <f t="shared" si="102"/>
        <v>213.97034450798111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1.6674631662821116</v>
      </c>
      <c r="FR96" s="21">
        <f>EXP(-LN(2)/25)*FR95+(1-EXP(-LN(2)/25))/(LN(2)/25)*Calculateur!FM96*Calculateur!FO96*VLOOKUP('Données projet'!$B$16,Paramètres!$A$1:$I$89,3,0)*0.475*44/12</f>
        <v>13.97388799475006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15.641351161032171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8.9989999999999952</v>
      </c>
      <c r="N97" s="13">
        <f>IF('Données projet'!$A$36&gt;35,N96+M97-V96,IF(A97&lt;'Données projet'!$A$36,$K$205^A97,IF(A97='Données projet'!$A$36,'Données projet'!$B$36,N96+M97-V96)))</f>
        <v>290.40899999999993</v>
      </c>
      <c r="O97" s="13">
        <f>N97*VLOOKUP('Données projet'!$B$9,Paramètres!$A$1:$I$89,3,0)*VLOOKUP('Données projet'!$B$9,Paramètres!$A$1:$I$89,5,0)</f>
        <v>276.35320439999992</v>
      </c>
      <c r="P97" s="13">
        <f t="shared" si="87"/>
        <v>66.195749107226092</v>
      </c>
      <c r="Q97" s="20">
        <f t="shared" si="54"/>
        <v>596.60609402508533</v>
      </c>
      <c r="R97" s="59">
        <f t="shared" si="55"/>
        <v>889.9394273584187</v>
      </c>
      <c r="S97" s="59">
        <f ca="1">AVERAGE(OFFSET($R$3,0,0,'Données projet'!$E$9+1,1))-AVERAGE(OFFSET($H$3,0,0,'Données projet'!$E$9+1,1))</f>
        <v>449.28947235329758</v>
      </c>
      <c r="T97" s="59">
        <f t="shared" si="88"/>
        <v>289.36994109443964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36.367745925132404</v>
      </c>
      <c r="AA97" s="21">
        <f>EXP(-LN(2)/25)*AA96+(1-EXP(-LN(2)/25))/(LN(2)/25)*Calculateur!V97*Calculateur!X97*VLOOKUP('Données projet'!$B$9,Paramètres!$A$1:$I$89,3,0)*0.475*44/12</f>
        <v>25.361913241600149</v>
      </c>
      <c r="AB97" s="21">
        <f>EXP(-LN(2)/2)*AB96+(1-EXP(-LN(2)/2))/(LN(2)/2)*V97*Y97*VLOOKUP('Données projet'!$B$9,Paramètres!$A$1:$I$89,3,0)*0.475*44/12</f>
        <v>0.10490958158971996</v>
      </c>
      <c r="AC97" s="22">
        <f t="shared" si="57"/>
        <v>61.834568748322276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-2.2737367544323206E-13</v>
      </c>
      <c r="AJ97" s="13">
        <f>AI97*VLOOKUP('Données projet'!$B$10,Paramètres!$A$1:$I$89,3,0)*VLOOKUP('Données projet'!$B$10,Paramètres!$A$1:$I$89,5,0)</f>
        <v>-1.3596945791505279E-13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349.71285006949597</v>
      </c>
      <c r="AO97" s="59">
        <f t="shared" si="90"/>
        <v>258.51550516456842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116.15502194896187</v>
      </c>
      <c r="AV97" s="21">
        <f>EXP(-LN(2)/25)*AV96+(1-EXP(-LN(2)/25))/(LN(2)/25)*Calculateur!AQ97*Calculateur!AS97*VLOOKUP('Données projet'!$B$10,Paramètres!$A$1:$I$89,3,0)*0.475*44/12</f>
        <v>35.098320016052227</v>
      </c>
      <c r="AW97" s="21">
        <f>EXP(-LN(2)/2)*AW96+(1-EXP(-LN(2)/2))/(LN(2)/2)*AQ97*AT97*VLOOKUP('Données projet'!$B$10,Paramètres!$A$1:$I$89,3,0)*0.475*44/12</f>
        <v>0.55247377188444302</v>
      </c>
      <c r="AX97" s="21">
        <f t="shared" si="60"/>
        <v>151.80581573689855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1.1368683772161603E-13</v>
      </c>
      <c r="BE97" s="13">
        <f>BD97*VLOOKUP('Données projet'!$B$11,Paramètres!$A$1:$I$89,3,0)*VLOOKUP('Données projet'!$B$11,Paramètres!$A$1:$I$89,5,0)</f>
        <v>6.7984728957526396E-14</v>
      </c>
      <c r="BF97" s="13">
        <f t="shared" si="91"/>
        <v>1.0682447123141398E-12</v>
      </c>
      <c r="BG97" s="20">
        <f t="shared" si="61"/>
        <v>1.978932943548152E-12</v>
      </c>
      <c r="BH97" s="59">
        <f t="shared" si="62"/>
        <v>293.3333333333353</v>
      </c>
      <c r="BI97" s="59">
        <f ca="1">AVERAGE(OFFSET($BH$3,0,0,'Données projet'!$E$11+1,1))-AVERAGE(OFFSET($H$3,0,0,'Données projet'!$E$11+1,1))</f>
        <v>302.00825291248458</v>
      </c>
      <c r="BJ97" s="59">
        <f t="shared" si="92"/>
        <v>307.35115839449355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70.823357298370851</v>
      </c>
      <c r="BQ97" s="21">
        <f>EXP(-LN(2)/25)*BQ96+(1-EXP(-LN(2)/25))/(LN(2)/25)*Calculateur!BL97*Calculateur!BN97*VLOOKUP('Données projet'!$B$11,Paramètres!$A$1:$I$89,3,0)*0.475*44/12</f>
        <v>18.871567831004441</v>
      </c>
      <c r="BR97" s="21">
        <f>EXP(-LN(2)/2)*BR96+(1-EXP(-LN(2)/2))/(LN(2)/2)*BL97*BO97*VLOOKUP('Données projet'!$B$11,Paramètres!$A$1:$I$89,3,0)*0.475*44/12</f>
        <v>4.574695039623527E-4</v>
      </c>
      <c r="BS97" s="22">
        <f t="shared" si="63"/>
        <v>89.695382598879249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10.192500000000001</v>
      </c>
      <c r="BY97" s="12">
        <f>IF('Données projet'!$A$114&gt;35,BY96+BX97-CG96,IF(A97&lt;'Données projet'!$A$114,$BV$205^A97,IF(A97='Données projet'!$A$114,'Données projet'!$B$114,BY96+BX97-CG96)))</f>
        <v>421.1724999999999</v>
      </c>
      <c r="BZ97" s="13">
        <f>BY97*VLOOKUP('Données projet'!$B$12,Paramètres!$A$1:$I$89,3,0)*VLOOKUP('Données projet'!$B$12,Paramètres!$A$1:$I$89,5,0)</f>
        <v>197.10872999999995</v>
      </c>
      <c r="CA97" s="13">
        <f t="shared" si="93"/>
        <v>49.108216579835904</v>
      </c>
      <c r="CB97" s="20">
        <f t="shared" si="64"/>
        <v>428.82784862654739</v>
      </c>
      <c r="CC97" s="59">
        <f t="shared" si="65"/>
        <v>722.16118195988065</v>
      </c>
      <c r="CD97" s="59">
        <f ca="1">AVERAGE(OFFSET($CC$3,0,0,'Données projet'!$E$12+1,1))-AVERAGE(OFFSET($H$3,0,0,'Données projet'!$E$12+1,1))</f>
        <v>337.10499990421835</v>
      </c>
      <c r="CE97" s="59">
        <f t="shared" si="94"/>
        <v>277.4254079562175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47.502313557807831</v>
      </c>
      <c r="CL97" s="21">
        <f>EXP(-LN(2)/25)*CL96+(1-EXP(-LN(2)/25))/(LN(2)/25)*Calculateur!CG97*Calculateur!CI97*VLOOKUP('Données projet'!$B$12,Paramètres!$A$1:$I$89,3,0)*0.475*44/12</f>
        <v>18.403127333649039</v>
      </c>
      <c r="CM97" s="21">
        <f>EXP(-LN(2)/2)*CM96+(1-EXP(-LN(2)/2))/(LN(2)/2)*CG97*CJ97*VLOOKUP('Données projet'!$B$12,Paramètres!$A$1:$I$89,3,0)*0.475*44/12</f>
        <v>0.45599284529291373</v>
      </c>
      <c r="CN97" s="22">
        <f t="shared" si="66"/>
        <v>66.361433736749774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6.7600000000000007</v>
      </c>
      <c r="CT97" s="12">
        <f>IF('Données projet'!$A$140&gt;35,CT96+CS97-DB96,IF(A97&lt;'Données projet'!$A$140,$CQ$205^A97,IF(A97='Données projet'!$A$140,'Données projet'!$B$140,CT96+CS97-DB96)))</f>
        <v>245.80999999999989</v>
      </c>
      <c r="CU97" s="17">
        <f>CT97*VLOOKUP('Données projet'!$B$13,Paramètres!$A$1:$I$89,3,0)*VLOOKUP('Données projet'!$B$13,Paramètres!$A$1:$I$89,5,0)</f>
        <v>245.41670399999992</v>
      </c>
      <c r="CV97" s="13">
        <f t="shared" si="95"/>
        <v>59.603442589015842</v>
      </c>
      <c r="CW97" s="20">
        <f t="shared" si="67"/>
        <v>531.24342197586907</v>
      </c>
      <c r="CX97" s="59">
        <f t="shared" si="68"/>
        <v>824.57675530920233</v>
      </c>
      <c r="CY97" s="59">
        <f ca="1">AVERAGE(OFFSET($CX$3,0,0,'Données projet'!$E$13+1,1))-AVERAGE(OFFSET($H$3,0,0,'Données projet'!$E$13+1,1))</f>
        <v>525.74725170626471</v>
      </c>
      <c r="CZ97" s="59">
        <f t="shared" si="96"/>
        <v>259.19103598192197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5.3220088792299256</v>
      </c>
      <c r="DG97" s="21">
        <f>EXP(-LN(2)/25)*DG96+(1-EXP(-LN(2)/25))/(LN(2)/25)*Calculateur!DB97*Calculateur!DD97*VLOOKUP('Données projet'!$B$13,Paramètres!$A$1:$I$89,3,0)*0.475*44/12</f>
        <v>29.57631982777453</v>
      </c>
      <c r="DH97" s="21">
        <f>EXP(-LN(2)/2)*DH96+(1-EXP(-LN(2)/2))/(LN(2)/2)*DB97*DE97*VLOOKUP('Données projet'!$B$13,Paramètres!$A$1:$I$89,3,0)*0.475*44/12</f>
        <v>0.24016618286399527</v>
      </c>
      <c r="DI97" s="22">
        <f t="shared" si="69"/>
        <v>35.138494889868447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7.7249999999999996</v>
      </c>
      <c r="DO97" s="12">
        <f>IF('Données projet'!$A$166&gt;35,DO96+DN97-DW96,IF(A97&lt;'Données projet'!$A$166,$DL$205^A97,IF(A97='Données projet'!$A$166,'Données projet'!$B$166,DO96+DN97-DW96)))</f>
        <v>268.18500000000029</v>
      </c>
      <c r="DP97" s="17">
        <f>DO97*VLOOKUP('Données projet'!$B$14,Paramètres!$A$1:$I$89,3,0)*VLOOKUP('Données projet'!$B$14,Paramètres!$A$1:$I$89,5,0)</f>
        <v>242.65378800000025</v>
      </c>
      <c r="DQ97" s="13">
        <f t="shared" si="97"/>
        <v>59.010139953692004</v>
      </c>
      <c r="DR97" s="20">
        <f t="shared" si="70"/>
        <v>525.39800785268062</v>
      </c>
      <c r="DS97" s="59">
        <f t="shared" si="71"/>
        <v>818.73134118601388</v>
      </c>
      <c r="DT97" s="59">
        <f ca="1">AVERAGE(OFFSET($DS$3,0,0,'Données projet'!$E$14+1,1))-AVERAGE(OFFSET($H$3,0,0,'Données projet'!$E$14+1,1))</f>
        <v>490.06222615476065</v>
      </c>
      <c r="DU97" s="59">
        <f t="shared" si="98"/>
        <v>310.43914804089906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24.805195172683895</v>
      </c>
      <c r="EB97" s="21">
        <f>EXP(-LN(2)/25)*EB96+(1-EXP(-LN(2)/25))/(LN(2)/25)*Calculateur!DW97*Calculateur!DY97*VLOOKUP('Données projet'!$B$14,Paramètres!$A$1:$I$89,3,0)*0.475*44/12</f>
        <v>24.138110021547909</v>
      </c>
      <c r="EC97" s="21">
        <f>EXP(-LN(2)/2)*EC96+(1-EXP(-LN(2)/2))/(LN(2)/2)*DW97*DZ97*VLOOKUP('Données projet'!$B$14,Paramètres!$A$1:$I$89,3,0)*0.475*44/12</f>
        <v>2.7282697039326695</v>
      </c>
      <c r="ED97" s="22">
        <f t="shared" si="72"/>
        <v>51.671574898164472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6.7600000000000007</v>
      </c>
      <c r="EJ97" s="12">
        <f>IF('Données projet'!$A$192&gt;35,EJ96+EI97-ER96,IF(A97&lt;'Données projet'!$A$192,$EG$205^A97,IF(A97='Données projet'!$A$192,'Données projet'!$B$192,EJ96+EI97-ER96)))</f>
        <v>245.80999999999989</v>
      </c>
      <c r="EK97" s="17">
        <f>EJ97*VLOOKUP('Données projet'!$B$15,Paramètres!$A$1:$I$89,3,0)*VLOOKUP('Données projet'!$B$15,Paramètres!$A$1:$I$89,5,0)</f>
        <v>249.25133999999991</v>
      </c>
      <c r="EL97" s="13">
        <f t="shared" si="99"/>
        <v>60.42559860911723</v>
      </c>
      <c r="EM97" s="20">
        <f t="shared" si="73"/>
        <v>539.35400141087905</v>
      </c>
      <c r="EN97" s="59">
        <f t="shared" si="74"/>
        <v>832.68733474421242</v>
      </c>
      <c r="EO97" s="59">
        <f ca="1">AVERAGE(OFFSET($EN$3,0,0,'Données projet'!$E$15+1,1))-AVERAGE(OFFSET($H$3,0,0,'Données projet'!$E$15+1,1))</f>
        <v>533.26035274112917</v>
      </c>
      <c r="EP97" s="59">
        <f t="shared" si="100"/>
        <v>262.58149402282521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5.4051652679678943</v>
      </c>
      <c r="EW97" s="21">
        <f>EXP(-LN(2)/25)*EW96+(1-EXP(-LN(2)/25))/(LN(2)/25)*Calculateur!ER97*Calculateur!ET97*VLOOKUP('Données projet'!$B$15,Paramètres!$A$1:$I$89,3,0)*0.475*44/12</f>
        <v>30.038449825083497</v>
      </c>
      <c r="EX97" s="21">
        <f>EXP(-LN(2)/2)*EX96+(1-EXP(-LN(2)/2))/(LN(2)/2)*ER97*EU97*VLOOKUP('Données projet'!$B$15,Paramètres!$A$1:$I$89,3,0)*0.475*44/12</f>
        <v>0.24391877947124521</v>
      </c>
      <c r="EY97" s="22">
        <f t="shared" si="75"/>
        <v>35.687533872522636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1.7948717948717956</v>
      </c>
      <c r="FE97" s="12">
        <f>IF('Données projet'!$A$218&gt;35,FE96+FD97-FM96,IF(A97&lt;'Données projet'!$A$218,$FB$205^A97,IF(A97='Données projet'!$A$218,'Données projet'!$B$218,FE96+FD97-FM96)))</f>
        <v>138.58974358974353</v>
      </c>
      <c r="FF97" s="17">
        <f>FE97*VLOOKUP('Données projet'!$B$16,Paramètres!$A$1:$I$89,3,0)*VLOOKUP('Données projet'!$B$16,Paramètres!$A$1:$I$89,5,0)</f>
        <v>144.85399999999996</v>
      </c>
      <c r="FG97" s="13">
        <f t="shared" si="101"/>
        <v>37.406773318436002</v>
      </c>
      <c r="FH97" s="20">
        <f t="shared" si="76"/>
        <v>317.43751352960925</v>
      </c>
      <c r="FI97" s="59">
        <f t="shared" si="77"/>
        <v>610.77084686294256</v>
      </c>
      <c r="FJ97" s="59">
        <f ca="1">AVERAGE(OFFSET($FI$3,0,0,'Données projet'!$E$16+1,1))-AVERAGE(OFFSET($H$3,0,0,'Données projet'!$E$16+1,1))</f>
        <v>239.26156489359892</v>
      </c>
      <c r="FK97" s="59">
        <f t="shared" si="102"/>
        <v>213.97034450798111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1.6347652306434253</v>
      </c>
      <c r="FR97" s="21">
        <f>EXP(-LN(2)/25)*FR96+(1-EXP(-LN(2)/25))/(LN(2)/25)*Calculateur!FM97*Calculateur!FO97*VLOOKUP('Données projet'!$B$16,Paramètres!$A$1:$I$89,3,0)*0.475*44/12</f>
        <v>13.591771292678787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15.226536523322213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8.9989999999999952</v>
      </c>
      <c r="N98" s="13">
        <f>IF('Données projet'!$A$36&gt;35,N97+M98-V97,IF(A98&lt;'Données projet'!$A$36,$K$205^A98,IF(A98='Données projet'!$A$36,'Données projet'!$B$36,N97+M98-V97)))</f>
        <v>299.4079999999999</v>
      </c>
      <c r="O98" s="13">
        <f>N98*VLOOKUP('Données projet'!$B$9,Paramètres!$A$1:$I$89,3,0)*VLOOKUP('Données projet'!$B$9,Paramètres!$A$1:$I$89,5,0)</f>
        <v>284.91665279999989</v>
      </c>
      <c r="P98" s="13">
        <f t="shared" si="87"/>
        <v>68.004983981001502</v>
      </c>
      <c r="Q98" s="20">
        <f t="shared" si="54"/>
        <v>614.67185072691063</v>
      </c>
      <c r="R98" s="59">
        <f t="shared" si="55"/>
        <v>908.00518406024389</v>
      </c>
      <c r="S98" s="59">
        <f ca="1">AVERAGE(OFFSET($R$3,0,0,'Données projet'!$E$9+1,1))-AVERAGE(OFFSET($H$3,0,0,'Données projet'!$E$9+1,1))</f>
        <v>449.28947235329758</v>
      </c>
      <c r="T98" s="59">
        <f t="shared" si="88"/>
        <v>289.36994109443964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35.654596609675266</v>
      </c>
      <c r="AA98" s="21">
        <f>EXP(-LN(2)/25)*AA97+(1-EXP(-LN(2)/25))/(LN(2)/25)*Calculateur!V98*Calculateur!X98*VLOOKUP('Données projet'!$B$9,Paramètres!$A$1:$I$89,3,0)*0.475*44/12</f>
        <v>24.668390390283541</v>
      </c>
      <c r="AB98" s="21">
        <f>EXP(-LN(2)/2)*AB97+(1-EXP(-LN(2)/2))/(LN(2)/2)*V98*Y98*VLOOKUP('Données projet'!$B$9,Paramètres!$A$1:$I$89,3,0)*0.475*44/12</f>
        <v>7.4182276553534363E-2</v>
      </c>
      <c r="AC98" s="22">
        <f t="shared" si="57"/>
        <v>60.397169276512344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-2.2737367544323206E-13</v>
      </c>
      <c r="AJ98" s="13">
        <f>AI98*VLOOKUP('Données projet'!$B$10,Paramètres!$A$1:$I$89,3,0)*VLOOKUP('Données projet'!$B$10,Paramètres!$A$1:$I$89,5,0)</f>
        <v>-1.3596945791505279E-13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349.71285006949597</v>
      </c>
      <c r="AO98" s="59">
        <f t="shared" si="90"/>
        <v>258.51550516456842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113.87729281611051</v>
      </c>
      <c r="AV98" s="21">
        <f>EXP(-LN(2)/25)*AV97+(1-EXP(-LN(2)/25))/(LN(2)/25)*Calculateur!AQ98*Calculateur!AS98*VLOOKUP('Données projet'!$B$10,Paramètres!$A$1:$I$89,3,0)*0.475*44/12</f>
        <v>34.138554609472848</v>
      </c>
      <c r="AW98" s="21">
        <f>EXP(-LN(2)/2)*AW97+(1-EXP(-LN(2)/2))/(LN(2)/2)*AQ98*AT98*VLOOKUP('Données projet'!$B$10,Paramètres!$A$1:$I$89,3,0)*0.475*44/12</f>
        <v>0.39065795052719943</v>
      </c>
      <c r="AX98" s="21">
        <f t="shared" si="60"/>
        <v>148.40650537611057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1.1368683772161603E-13</v>
      </c>
      <c r="BE98" s="13">
        <f>BD98*VLOOKUP('Données projet'!$B$11,Paramètres!$A$1:$I$89,3,0)*VLOOKUP('Données projet'!$B$11,Paramètres!$A$1:$I$89,5,0)</f>
        <v>6.7984728957526396E-14</v>
      </c>
      <c r="BF98" s="13">
        <f t="shared" si="91"/>
        <v>1.0682447123141398E-12</v>
      </c>
      <c r="BG98" s="20">
        <f t="shared" si="61"/>
        <v>1.978932943548152E-12</v>
      </c>
      <c r="BH98" s="59">
        <f t="shared" si="62"/>
        <v>293.3333333333353</v>
      </c>
      <c r="BI98" s="59">
        <f ca="1">AVERAGE(OFFSET($BH$3,0,0,'Données projet'!$E$11+1,1))-AVERAGE(OFFSET($H$3,0,0,'Données projet'!$E$11+1,1))</f>
        <v>302.00825291248458</v>
      </c>
      <c r="BJ98" s="59">
        <f t="shared" si="92"/>
        <v>307.35115839449355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69.434554459732311</v>
      </c>
      <c r="BQ98" s="21">
        <f>EXP(-LN(2)/25)*BQ97+(1-EXP(-LN(2)/25))/(LN(2)/25)*Calculateur!BL98*Calculateur!BN98*VLOOKUP('Données projet'!$B$11,Paramètres!$A$1:$I$89,3,0)*0.475*44/12</f>
        <v>18.355523816253005</v>
      </c>
      <c r="BR98" s="21">
        <f>EXP(-LN(2)/2)*BR97+(1-EXP(-LN(2)/2))/(LN(2)/2)*BL98*BO98*VLOOKUP('Données projet'!$B$11,Paramètres!$A$1:$I$89,3,0)*0.475*44/12</f>
        <v>3.2347978843782577E-4</v>
      </c>
      <c r="BS98" s="22">
        <f t="shared" si="63"/>
        <v>87.790401755773743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10.192500000000001</v>
      </c>
      <c r="BY98" s="12">
        <f>IF('Données projet'!$A$114&gt;35,BY97+BX98-CG97,IF(A98&lt;'Données projet'!$A$114,$BV$205^A98,IF(A98='Données projet'!$A$114,'Données projet'!$B$114,BY97+BX98-CG97)))</f>
        <v>431.3649999999999</v>
      </c>
      <c r="BZ98" s="13">
        <f>BY98*VLOOKUP('Données projet'!$B$12,Paramètres!$A$1:$I$89,3,0)*VLOOKUP('Données projet'!$B$12,Paramètres!$A$1:$I$89,5,0)</f>
        <v>201.87881999999993</v>
      </c>
      <c r="CA98" s="13">
        <f t="shared" si="93"/>
        <v>50.156850528656342</v>
      </c>
      <c r="CB98" s="20">
        <f t="shared" si="64"/>
        <v>438.96212617074298</v>
      </c>
      <c r="CC98" s="59">
        <f t="shared" si="65"/>
        <v>732.29545950407623</v>
      </c>
      <c r="CD98" s="59">
        <f ca="1">AVERAGE(OFFSET($CC$3,0,0,'Données projet'!$E$12+1,1))-AVERAGE(OFFSET($H$3,0,0,'Données projet'!$E$12+1,1))</f>
        <v>337.10499990421835</v>
      </c>
      <c r="CE98" s="59">
        <f t="shared" si="94"/>
        <v>277.4254079562175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46.570822162489591</v>
      </c>
      <c r="CL98" s="21">
        <f>EXP(-LN(2)/25)*CL97+(1-EXP(-LN(2)/25))/(LN(2)/25)*Calculateur!CG98*Calculateur!CI98*VLOOKUP('Données projet'!$B$12,Paramètres!$A$1:$I$89,3,0)*0.475*44/12</f>
        <v>17.899892848932001</v>
      </c>
      <c r="CM98" s="21">
        <f>EXP(-LN(2)/2)*CM97+(1-EXP(-LN(2)/2))/(LN(2)/2)*CG98*CJ98*VLOOKUP('Données projet'!$B$12,Paramètres!$A$1:$I$89,3,0)*0.475*44/12</f>
        <v>0.32243563307916756</v>
      </c>
      <c r="CN98" s="22">
        <f t="shared" si="66"/>
        <v>64.793150644500756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252.57</v>
      </c>
      <c r="CR98" s="12">
        <f>VLOOKUP(A98,'Données projet'!$A$139:$I$159,9,0)</f>
        <v>6.7600000000000007</v>
      </c>
      <c r="CS98" s="12">
        <f t="array" ref="CS98">INDEX(CR:CR,MIN(IF(ISNUMBER(CR98:CR294),ROW(CR98:CR294),"")))</f>
        <v>6.7600000000000007</v>
      </c>
      <c r="CT98" s="12">
        <f>IF('Données projet'!$A$140&gt;35,CT97+CS98-DB97,IF(A98&lt;'Données projet'!$A$140,$CQ$205^A98,IF(A98='Données projet'!$A$140,'Données projet'!$B$140,CT97+CS98-DB97)))</f>
        <v>252.56999999999988</v>
      </c>
      <c r="CU98" s="17">
        <f>CT98*VLOOKUP('Données projet'!$B$13,Paramètres!$A$1:$I$89,3,0)*VLOOKUP('Données projet'!$B$13,Paramètres!$A$1:$I$89,5,0)</f>
        <v>252.16588799999988</v>
      </c>
      <c r="CV98" s="13">
        <f t="shared" si="95"/>
        <v>61.049500067250946</v>
      </c>
      <c r="CW98" s="20">
        <f t="shared" si="67"/>
        <v>545.5168008837951</v>
      </c>
      <c r="CX98" s="59">
        <f t="shared" si="68"/>
        <v>838.85013421712847</v>
      </c>
      <c r="CY98" s="59">
        <f ca="1">AVERAGE(OFFSET($CX$3,0,0,'Données projet'!$E$13+1,1))-AVERAGE(OFFSET($H$3,0,0,'Données projet'!$E$13+1,1))</f>
        <v>525.74725170626471</v>
      </c>
      <c r="CZ98" s="59">
        <f t="shared" si="96"/>
        <v>259.19103598192197</v>
      </c>
      <c r="DA98" s="15">
        <f>IF(ISNA(VLOOKUP(A98,'Données projet'!$A$139:$I$159,3,0)),0,VLOOKUP(A98,'Données projet'!$A$139:$I$159,3,0))</f>
        <v>5</v>
      </c>
      <c r="DB98" s="15">
        <f>IF(ISNA(VLOOKUP(A98,'Données projet'!$A$139:$I$159,4,0)),0,VLOOKUP(A98,'Données projet'!$A$139:$I$159,4,0))</f>
        <v>42.199999999999989</v>
      </c>
      <c r="DC98" s="16">
        <f>IF(ISNA(VLOOKUP(A98,'Données projet'!$A$139:$I$159,5,0)),0%,VLOOKUP(A98,'Données projet'!$A$139:$I$159,5,0)*VLOOKUP('Données projet'!$B$13,Paramètres!$A$1:$I$89,7,0))</f>
        <v>0.15049999999999999</v>
      </c>
      <c r="DD98" s="16">
        <f>IF(ISNA(VLOOKUP(A98,'Données projet'!$A$139:$I$159,6,0)),0%,VLOOKUP(A98,'Données projet'!$A$139:$I$159,6,0)*VLOOKUP('Données projet'!$B$13,Paramètres!$A$1:$I$89,7,0))</f>
        <v>8.6000000000000007E-2</v>
      </c>
      <c r="DE98" s="16">
        <f>IF(ISNA(VLOOKUP(A98,'Données projet'!$A$139:$I$159,7,0)),0%,VLOOKUP(A98,'Données projet'!$A$139:$I$159,7,0))</f>
        <v>0.1</v>
      </c>
      <c r="DF98" s="21">
        <f>EXP(-LN(2)/35)*DF97+(1-EXP(-LN(2)/35))/(LN(2)/35)*DB98*DC98*VLOOKUP('Données projet'!$B$13,Paramètres!$A$1:$I$89,3,0)*0.475*44/12</f>
        <v>12.227366933980912</v>
      </c>
      <c r="DG98" s="21">
        <f>EXP(-LN(2)/25)*DG97+(1-EXP(-LN(2)/25))/(LN(2)/25)*Calculateur!DB98*Calculateur!DD98*VLOOKUP('Données projet'!$B$13,Paramètres!$A$1:$I$89,3,0)*0.475*44/12</f>
        <v>32.757336359056751</v>
      </c>
      <c r="DH98" s="21">
        <f>EXP(-LN(2)/2)*DH97+(1-EXP(-LN(2)/2))/(LN(2)/2)*DB98*DE98*VLOOKUP('Données projet'!$B$13,Paramètres!$A$1:$I$89,3,0)*0.475*44/12</f>
        <v>4.1451360224221414</v>
      </c>
      <c r="DI98" s="22">
        <f t="shared" si="69"/>
        <v>49.129839315459805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7.7249999999999996</v>
      </c>
      <c r="DO98" s="12">
        <f>IF('Données projet'!$A$166&gt;35,DO97+DN98-DW97,IF(A98&lt;'Données projet'!$A$166,$DL$205^A98,IF(A98='Données projet'!$A$166,'Données projet'!$B$166,DO97+DN98-DW97)))</f>
        <v>275.91000000000031</v>
      </c>
      <c r="DP98" s="17">
        <f>DO98*VLOOKUP('Données projet'!$B$14,Paramètres!$A$1:$I$89,3,0)*VLOOKUP('Données projet'!$B$14,Paramètres!$A$1:$I$89,5,0)</f>
        <v>249.64336800000024</v>
      </c>
      <c r="DQ98" s="13">
        <f t="shared" si="97"/>
        <v>60.5095671334008</v>
      </c>
      <c r="DR98" s="20">
        <f t="shared" si="70"/>
        <v>540.1830286906735</v>
      </c>
      <c r="DS98" s="59">
        <f t="shared" si="71"/>
        <v>833.51636202400687</v>
      </c>
      <c r="DT98" s="59">
        <f ca="1">AVERAGE(OFFSET($DS$3,0,0,'Données projet'!$E$14+1,1))-AVERAGE(OFFSET($H$3,0,0,'Données projet'!$E$14+1,1))</f>
        <v>490.06222615476065</v>
      </c>
      <c r="DU98" s="59">
        <f t="shared" si="98"/>
        <v>310.43914804089906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24.318780425022688</v>
      </c>
      <c r="EB98" s="21">
        <f>EXP(-LN(2)/25)*EB97+(1-EXP(-LN(2)/25))/(LN(2)/25)*Calculateur!DW98*Calculateur!DY98*VLOOKUP('Données projet'!$B$14,Paramètres!$A$1:$I$89,3,0)*0.475*44/12</f>
        <v>23.478052133640645</v>
      </c>
      <c r="EC98" s="21">
        <f>EXP(-LN(2)/2)*EC97+(1-EXP(-LN(2)/2))/(LN(2)/2)*DW98*DZ98*VLOOKUP('Données projet'!$B$14,Paramètres!$A$1:$I$89,3,0)*0.475*44/12</f>
        <v>1.929178008556605</v>
      </c>
      <c r="ED98" s="22">
        <f t="shared" si="72"/>
        <v>49.726010567219937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252.57</v>
      </c>
      <c r="EH98" s="12">
        <f>VLOOKUP(A98,'Données projet'!$A$191:$I$211,9,0)</f>
        <v>6.7600000000000007</v>
      </c>
      <c r="EI98" s="12">
        <f t="array" ref="EI98">INDEX(EH:EH,MIN(IF(ISNUMBER(EH98:EH294),ROW(EH98:EH294),"")))</f>
        <v>6.7600000000000007</v>
      </c>
      <c r="EJ98" s="12">
        <f>IF('Données projet'!$A$192&gt;35,EJ97+EI98-ER97,IF(A98&lt;'Données projet'!$A$192,$EG$205^A98,IF(A98='Données projet'!$A$192,'Données projet'!$B$192,EJ97+EI98-ER97)))</f>
        <v>252.56999999999988</v>
      </c>
      <c r="EK98" s="17">
        <f>EJ98*VLOOKUP('Données projet'!$B$15,Paramètres!$A$1:$I$89,3,0)*VLOOKUP('Données projet'!$B$15,Paramètres!$A$1:$I$89,5,0)</f>
        <v>256.10597999999987</v>
      </c>
      <c r="EL98" s="13">
        <f t="shared" si="99"/>
        <v>61.89160266777624</v>
      </c>
      <c r="EM98" s="20">
        <f t="shared" si="73"/>
        <v>553.84578981304333</v>
      </c>
      <c r="EN98" s="59">
        <f t="shared" si="74"/>
        <v>847.1791231463767</v>
      </c>
      <c r="EO98" s="59">
        <f ca="1">AVERAGE(OFFSET($EN$3,0,0,'Données projet'!$E$15+1,1))-AVERAGE(OFFSET($H$3,0,0,'Données projet'!$E$15+1,1))</f>
        <v>533.26035274112917</v>
      </c>
      <c r="EP98" s="59">
        <f t="shared" si="100"/>
        <v>262.58149402282521</v>
      </c>
      <c r="EQ98" s="15">
        <f>IF(ISNA(VLOOKUP(A98,'Données projet'!$A$191:$I$211,3,0)),0,VLOOKUP(A98,'Données projet'!$A$191:$I$211,3,0))</f>
        <v>5</v>
      </c>
      <c r="ER98" s="15">
        <f>IF(ISNA(VLOOKUP(A98,'Données projet'!$A$191:$I$211,4,0)),0,VLOOKUP(A98,'Données projet'!$A$191:$I$211,4,0))</f>
        <v>42.199999999999989</v>
      </c>
      <c r="ES98" s="16">
        <f>IF(ISNA(VLOOKUP(A98,'Données projet'!$A$191:$I$211,5,0)),0%,VLOOKUP(A98,'Données projet'!$A$191:$I$211,5,0)*VLOOKUP('Données projet'!$B$15,Paramètres!$A$1:$I$89,7,0))</f>
        <v>0.15049999999999999</v>
      </c>
      <c r="ET98" s="16">
        <f>IF(ISNA(VLOOKUP(A98,'Données projet'!$A$191:$I$211,6,0)),0%,VLOOKUP(A98,'Données projet'!$A$191:$I$211,6,0)*VLOOKUP('Données projet'!$B$15,Paramètres!$A$1:$I$89,7,0))</f>
        <v>8.6000000000000007E-2</v>
      </c>
      <c r="EU98" s="16">
        <f>IF(ISNA(VLOOKUP(A98,'Données projet'!$A$191:$I$211,7,0)),0%,VLOOKUP(A98,'Données projet'!$A$191:$I$211,7,0))</f>
        <v>0.1</v>
      </c>
      <c r="EV98" s="21">
        <f>EXP(-LN(2)/35)*EV97+(1-EXP(-LN(2)/35))/(LN(2)/35)*ER98*ES98*VLOOKUP('Données projet'!$B$15,Paramètres!$A$1:$I$89,3,0)*0.475*44/12</f>
        <v>12.418419542324367</v>
      </c>
      <c r="EW98" s="21">
        <f>EXP(-LN(2)/25)*EW97+(1-EXP(-LN(2)/25))/(LN(2)/25)*Calculateur!ER98*Calculateur!ET98*VLOOKUP('Données projet'!$B$15,Paramètres!$A$1:$I$89,3,0)*0.475*44/12</f>
        <v>33.269169739667007</v>
      </c>
      <c r="EX98" s="21">
        <f>EXP(-LN(2)/2)*EX97+(1-EXP(-LN(2)/2))/(LN(2)/2)*ER98*EU98*VLOOKUP('Données projet'!$B$15,Paramètres!$A$1:$I$89,3,0)*0.475*44/12</f>
        <v>4.2099037727724866</v>
      </c>
      <c r="EY98" s="22">
        <f t="shared" si="75"/>
        <v>49.897493054763856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>
        <f>VLOOKUP(A98,'Données projet'!$A$217:$I$237,2,0)</f>
        <v>140.38461538461539</v>
      </c>
      <c r="FC98" s="12">
        <f>VLOOKUP(A98,'Données projet'!$A$217:$I$237,9,0)</f>
        <v>1.7948717948717956</v>
      </c>
      <c r="FD98" s="12">
        <f t="array" ref="FD98">INDEX(FC:FC,MIN(IF(ISNUMBER(FC98:FC294),ROW(FC98:FC294),"")))</f>
        <v>1.7948717948717956</v>
      </c>
      <c r="FE98" s="12">
        <f>IF('Données projet'!$A$218&gt;35,FE97+FD98-FM97,IF(A98&lt;'Données projet'!$A$218,$FB$205^A98,IF(A98='Données projet'!$A$218,'Données projet'!$B$218,FE97+FD98-FM97)))</f>
        <v>140.38461538461533</v>
      </c>
      <c r="FF98" s="17">
        <f>FE98*VLOOKUP('Données projet'!$B$16,Paramètres!$A$1:$I$89,3,0)*VLOOKUP('Données projet'!$B$16,Paramètres!$A$1:$I$89,5,0)</f>
        <v>146.72999999999996</v>
      </c>
      <c r="FG98" s="13">
        <f t="shared" si="101"/>
        <v>37.834515808707891</v>
      </c>
      <c r="FH98" s="20">
        <f t="shared" si="76"/>
        <v>321.44986503349952</v>
      </c>
      <c r="FI98" s="59">
        <f t="shared" si="77"/>
        <v>614.78319836683283</v>
      </c>
      <c r="FJ98" s="59">
        <f ca="1">AVERAGE(OFFSET($FI$3,0,0,'Données projet'!$E$16+1,1))-AVERAGE(OFFSET($H$3,0,0,'Données projet'!$E$16+1,1))</f>
        <v>239.26156489359892</v>
      </c>
      <c r="FK98" s="59">
        <f t="shared" si="102"/>
        <v>213.97034450798111</v>
      </c>
      <c r="FL98" s="15">
        <f>IF(ISNA(VLOOKUP(A98,'Données projet'!$A$217:$I$237,3,0)),0,VLOOKUP(A98,'Données projet'!$A$217:$I$237,3,0))</f>
        <v>16</v>
      </c>
      <c r="FM98" s="15">
        <f>IF(ISNA(VLOOKUP(A98,'Données projet'!$A$217:$I$237,4,0)),0,VLOOKUP(A98,'Données projet'!$A$217:$I$237,4,0))</f>
        <v>7.0512820512820511</v>
      </c>
      <c r="FN98" s="16">
        <f>IF(ISNA(VLOOKUP(A98,'Données projet'!$A$217:$I$237,5,0)),0%,VLOOKUP(A98,'Données projet'!$A$217:$I$237,5,0)*VLOOKUP('Données projet'!$B$16,Paramètres!$A$1:$I$89,7,0))</f>
        <v>4.3000000000000003E-2</v>
      </c>
      <c r="FO98" s="16">
        <f>IF(ISNA(VLOOKUP(A98,'Données projet'!$A$217:$I$237,6,0)),0%,VLOOKUP(A98,'Données projet'!$A$217:$I$237,6,0)*VLOOKUP('Données projet'!$B$16,Paramètres!$A$1:$I$89,7,0))</f>
        <v>0.215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1.9530430995566295</v>
      </c>
      <c r="FR98" s="21">
        <f>EXP(-LN(2)/25)*FR97+(1-EXP(-LN(2)/25))/(LN(2)/25)*Calculateur!FM98*Calculateur!FO98*VLOOKUP('Données projet'!$B$16,Paramètres!$A$1:$I$89,3,0)*0.475*44/12</f>
        <v>14.964879677414567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16.917922776971196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8.9989999999999952</v>
      </c>
      <c r="N99" s="13">
        <f>IF('Données projet'!$A$36&gt;35,N98+M99-V98,IF(A99&lt;'Données projet'!$A$36,$K$205^A99,IF(A99='Données projet'!$A$36,'Données projet'!$B$36,N98+M99-V98)))</f>
        <v>308.40699999999993</v>
      </c>
      <c r="O99" s="13">
        <f>N99*VLOOKUP('Données projet'!$B$9,Paramètres!$A$1:$I$89,3,0)*VLOOKUP('Données projet'!$B$9,Paramètres!$A$1:$I$89,5,0)</f>
        <v>293.48010119999992</v>
      </c>
      <c r="P99" s="13">
        <f t="shared" si="87"/>
        <v>69.807899272049525</v>
      </c>
      <c r="Q99" s="20">
        <f t="shared" ref="Q99:Q130" si="107">(O99+P99)*0.475*44/12</f>
        <v>632.72660082215282</v>
      </c>
      <c r="R99" s="59">
        <f t="shared" si="55"/>
        <v>926.05993415548619</v>
      </c>
      <c r="S99" s="59">
        <f ca="1">AVERAGE(OFFSET($R$3,0,0,'Données projet'!$E$9+1,1))-AVERAGE(OFFSET($H$3,0,0,'Données projet'!$E$9+1,1))</f>
        <v>449.28947235329758</v>
      </c>
      <c r="T99" s="59">
        <f t="shared" si="88"/>
        <v>289.36994109443964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34.95543171731611</v>
      </c>
      <c r="AA99" s="21">
        <f>EXP(-LN(2)/25)*AA98+(1-EXP(-LN(2)/25))/(LN(2)/25)*Calculateur!V99*Calculateur!X99*VLOOKUP('Données projet'!$B$9,Paramètres!$A$1:$I$89,3,0)*0.475*44/12</f>
        <v>23.993831957806968</v>
      </c>
      <c r="AB99" s="21">
        <f>EXP(-LN(2)/2)*AB98+(1-EXP(-LN(2)/2))/(LN(2)/2)*V99*Y99*VLOOKUP('Données projet'!$B$9,Paramètres!$A$1:$I$89,3,0)*0.475*44/12</f>
        <v>5.2454790794859978E-2</v>
      </c>
      <c r="AC99" s="22">
        <f t="shared" si="57"/>
        <v>59.001718465917939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-2.2737367544323206E-13</v>
      </c>
      <c r="AJ99" s="13">
        <f>AI99*VLOOKUP('Données projet'!$B$10,Paramètres!$A$1:$I$89,3,0)*VLOOKUP('Données projet'!$B$10,Paramètres!$A$1:$I$89,5,0)</f>
        <v>-1.3596945791505279E-13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349.71285006949597</v>
      </c>
      <c r="AO99" s="59">
        <f t="shared" si="90"/>
        <v>258.51550516456842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111.64422856227677</v>
      </c>
      <c r="AV99" s="21">
        <f>EXP(-LN(2)/25)*AV98+(1-EXP(-LN(2)/25))/(LN(2)/25)*Calculateur!AQ99*Calculateur!AS99*VLOOKUP('Données projet'!$B$10,Paramètres!$A$1:$I$89,3,0)*0.475*44/12</f>
        <v>33.20503403840825</v>
      </c>
      <c r="AW99" s="21">
        <f>EXP(-LN(2)/2)*AW98+(1-EXP(-LN(2)/2))/(LN(2)/2)*AQ99*AT99*VLOOKUP('Données projet'!$B$10,Paramètres!$A$1:$I$89,3,0)*0.475*44/12</f>
        <v>0.27623688594222151</v>
      </c>
      <c r="AX99" s="21">
        <f t="shared" si="60"/>
        <v>145.12549948662723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1.1368683772161603E-13</v>
      </c>
      <c r="BE99" s="13">
        <f>BD99*VLOOKUP('Données projet'!$B$11,Paramètres!$A$1:$I$89,3,0)*VLOOKUP('Données projet'!$B$11,Paramètres!$A$1:$I$89,5,0)</f>
        <v>6.7984728957526396E-14</v>
      </c>
      <c r="BF99" s="13">
        <f t="shared" si="91"/>
        <v>1.0682447123141398E-12</v>
      </c>
      <c r="BG99" s="20">
        <f t="shared" si="61"/>
        <v>1.978932943548152E-12</v>
      </c>
      <c r="BH99" s="59">
        <f t="shared" si="62"/>
        <v>293.3333333333353</v>
      </c>
      <c r="BI99" s="59">
        <f ca="1">AVERAGE(OFFSET($BH$3,0,0,'Données projet'!$E$11+1,1))-AVERAGE(OFFSET($H$3,0,0,'Données projet'!$E$11+1,1))</f>
        <v>302.00825291248458</v>
      </c>
      <c r="BJ99" s="59">
        <f t="shared" si="92"/>
        <v>307.35115839449355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68.072985197673376</v>
      </c>
      <c r="BQ99" s="21">
        <f>EXP(-LN(2)/25)*BQ98+(1-EXP(-LN(2)/25))/(LN(2)/25)*Calculateur!BL99*Calculateur!BN99*VLOOKUP('Données projet'!$B$11,Paramètres!$A$1:$I$89,3,0)*0.475*44/12</f>
        <v>17.853591052222519</v>
      </c>
      <c r="BR99" s="21">
        <f>EXP(-LN(2)/2)*BR98+(1-EXP(-LN(2)/2))/(LN(2)/2)*BL99*BO99*VLOOKUP('Données projet'!$B$11,Paramètres!$A$1:$I$89,3,0)*0.475*44/12</f>
        <v>2.2873475198117635E-4</v>
      </c>
      <c r="BS99" s="22">
        <f t="shared" si="63"/>
        <v>85.926804984647887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10.192500000000001</v>
      </c>
      <c r="BY99" s="12">
        <f>IF('Données projet'!$A$114&gt;35,BY98+BX99-CG98,IF(A99&lt;'Données projet'!$A$114,$BV$205^A99,IF(A99='Données projet'!$A$114,'Données projet'!$B$114,BY98+BX99-CG98)))</f>
        <v>441.55749999999989</v>
      </c>
      <c r="BZ99" s="13">
        <f>BY99*VLOOKUP('Données projet'!$B$12,Paramètres!$A$1:$I$89,3,0)*VLOOKUP('Données projet'!$B$12,Paramètres!$A$1:$I$89,5,0)</f>
        <v>206.64890999999994</v>
      </c>
      <c r="CA99" s="13">
        <f t="shared" si="93"/>
        <v>51.202604040835197</v>
      </c>
      <c r="CB99" s="20">
        <f t="shared" si="64"/>
        <v>449.09138695445449</v>
      </c>
      <c r="CC99" s="59">
        <f t="shared" si="65"/>
        <v>742.42472028778775</v>
      </c>
      <c r="CD99" s="59">
        <f ca="1">AVERAGE(OFFSET($CC$3,0,0,'Données projet'!$E$12+1,1))-AVERAGE(OFFSET($H$3,0,0,'Données projet'!$E$12+1,1))</f>
        <v>337.10499990421835</v>
      </c>
      <c r="CE99" s="59">
        <f t="shared" si="94"/>
        <v>277.4254079562175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45.657596745279889</v>
      </c>
      <c r="CL99" s="21">
        <f>EXP(-LN(2)/25)*CL98+(1-EXP(-LN(2)/25))/(LN(2)/25)*Calculateur!CG99*Calculateur!CI99*VLOOKUP('Données projet'!$B$12,Paramètres!$A$1:$I$89,3,0)*0.475*44/12</f>
        <v>17.410419337663502</v>
      </c>
      <c r="CM99" s="21">
        <f>EXP(-LN(2)/2)*CM98+(1-EXP(-LN(2)/2))/(LN(2)/2)*CG99*CJ99*VLOOKUP('Données projet'!$B$12,Paramètres!$A$1:$I$89,3,0)*0.475*44/12</f>
        <v>0.22799642264645686</v>
      </c>
      <c r="CN99" s="22">
        <f t="shared" si="66"/>
        <v>63.296012505589843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6.7777777777777777</v>
      </c>
      <c r="CT99" s="12">
        <f>IF('Données projet'!$A$140&gt;35,CT98+CS99-DB98,IF(A99&lt;'Données projet'!$A$140,$CQ$205^A99,IF(A99='Données projet'!$A$140,'Données projet'!$B$140,CT98+CS99-DB98)))</f>
        <v>217.14777777777766</v>
      </c>
      <c r="CU99" s="17">
        <f>CT99*VLOOKUP('Données projet'!$B$13,Paramètres!$A$1:$I$89,3,0)*VLOOKUP('Données projet'!$B$13,Paramètres!$A$1:$I$89,5,0)</f>
        <v>216.80034133333325</v>
      </c>
      <c r="CV99" s="13">
        <f t="shared" si="95"/>
        <v>53.418863857300941</v>
      </c>
      <c r="CW99" s="20">
        <f t="shared" si="67"/>
        <v>470.63178237368783</v>
      </c>
      <c r="CX99" s="59">
        <f t="shared" si="68"/>
        <v>763.96511570702114</v>
      </c>
      <c r="CY99" s="59">
        <f ca="1">AVERAGE(OFFSET($CX$3,0,0,'Données projet'!$E$13+1,1))-AVERAGE(OFFSET($H$3,0,0,'Données projet'!$E$13+1,1))</f>
        <v>525.74725170626471</v>
      </c>
      <c r="CZ99" s="59">
        <f t="shared" si="96"/>
        <v>259.19103598192197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11.987595726362963</v>
      </c>
      <c r="DG99" s="21">
        <f>EXP(-LN(2)/25)*DG98+(1-EXP(-LN(2)/25))/(LN(2)/25)*Calculateur!DB99*Calculateur!DD99*VLOOKUP('Données projet'!$B$13,Paramètres!$A$1:$I$89,3,0)*0.475*44/12</f>
        <v>31.861585273684891</v>
      </c>
      <c r="DH99" s="21">
        <f>EXP(-LN(2)/2)*DH98+(1-EXP(-LN(2)/2))/(LN(2)/2)*DB99*DE99*VLOOKUP('Données projet'!$B$13,Paramètres!$A$1:$I$89,3,0)*0.475*44/12</f>
        <v>2.9310537903953291</v>
      </c>
      <c r="DI99" s="22">
        <f t="shared" si="69"/>
        <v>46.780234790443188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7.7249999999999996</v>
      </c>
      <c r="DO99" s="12">
        <f>IF('Données projet'!$A$166&gt;35,DO98+DN99-DW98,IF(A99&lt;'Données projet'!$A$166,$DL$205^A99,IF(A99='Données projet'!$A$166,'Données projet'!$B$166,DO98+DN99-DW98)))</f>
        <v>283.63500000000033</v>
      </c>
      <c r="DP99" s="17">
        <f>DO99*VLOOKUP('Données projet'!$B$14,Paramètres!$A$1:$I$89,3,0)*VLOOKUP('Données projet'!$B$14,Paramètres!$A$1:$I$89,5,0)</f>
        <v>256.63294800000028</v>
      </c>
      <c r="DQ99" s="13">
        <f t="shared" si="97"/>
        <v>62.00411496417383</v>
      </c>
      <c r="DR99" s="20">
        <f t="shared" si="70"/>
        <v>554.95955132926986</v>
      </c>
      <c r="DS99" s="59">
        <f t="shared" si="71"/>
        <v>848.29288466260323</v>
      </c>
      <c r="DT99" s="59">
        <f ca="1">AVERAGE(OFFSET($DS$3,0,0,'Données projet'!$E$14+1,1))-AVERAGE(OFFSET($H$3,0,0,'Données projet'!$E$14+1,1))</f>
        <v>490.06222615476065</v>
      </c>
      <c r="DU99" s="59">
        <f t="shared" si="98"/>
        <v>310.43914804089906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23.841903973879415</v>
      </c>
      <c r="EB99" s="21">
        <f>EXP(-LN(2)/25)*EB98+(1-EXP(-LN(2)/25))/(LN(2)/25)*Calculateur!DW99*Calculateur!DY99*VLOOKUP('Données projet'!$B$14,Paramètres!$A$1:$I$89,3,0)*0.475*44/12</f>
        <v>22.83604356338914</v>
      </c>
      <c r="EC99" s="21">
        <f>EXP(-LN(2)/2)*EC98+(1-EXP(-LN(2)/2))/(LN(2)/2)*DW99*DZ99*VLOOKUP('Données projet'!$B$14,Paramètres!$A$1:$I$89,3,0)*0.475*44/12</f>
        <v>1.364134851966335</v>
      </c>
      <c r="ED99" s="22">
        <f t="shared" si="72"/>
        <v>48.042082389234885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6.7777777777777777</v>
      </c>
      <c r="EJ99" s="12">
        <f>IF('Données projet'!$A$192&gt;35,EJ98+EI99-ER98,IF(A99&lt;'Données projet'!$A$192,$EG$205^A99,IF(A99='Données projet'!$A$192,'Données projet'!$B$192,EJ98+EI99-ER98)))</f>
        <v>217.14777777777766</v>
      </c>
      <c r="EK99" s="17">
        <f>EJ99*VLOOKUP('Données projet'!$B$15,Paramètres!$A$1:$I$89,3,0)*VLOOKUP('Données projet'!$B$15,Paramètres!$A$1:$I$89,5,0)</f>
        <v>220.18784666666656</v>
      </c>
      <c r="EL99" s="13">
        <f t="shared" si="99"/>
        <v>54.155711237243175</v>
      </c>
      <c r="EM99" s="20">
        <f t="shared" si="73"/>
        <v>477.81503001597611</v>
      </c>
      <c r="EN99" s="59">
        <f t="shared" si="74"/>
        <v>771.14836334930942</v>
      </c>
      <c r="EO99" s="59">
        <f ca="1">AVERAGE(OFFSET($EN$3,0,0,'Données projet'!$E$15+1,1))-AVERAGE(OFFSET($H$3,0,0,'Données projet'!$E$15+1,1))</f>
        <v>533.26035274112917</v>
      </c>
      <c r="EP99" s="59">
        <f t="shared" si="100"/>
        <v>262.58149402282521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12.174901909587389</v>
      </c>
      <c r="EW99" s="21">
        <f>EXP(-LN(2)/25)*EW98+(1-EXP(-LN(2)/25))/(LN(2)/25)*Calculateur!ER99*Calculateur!ET99*VLOOKUP('Données projet'!$B$15,Paramètres!$A$1:$I$89,3,0)*0.475*44/12</f>
        <v>32.359422543586213</v>
      </c>
      <c r="EX99" s="21">
        <f>EXP(-LN(2)/2)*EX98+(1-EXP(-LN(2)/2))/(LN(2)/2)*ER99*EU99*VLOOKUP('Données projet'!$B$15,Paramètres!$A$1:$I$89,3,0)*0.475*44/12</f>
        <v>2.9768515058702558</v>
      </c>
      <c r="EY99" s="22">
        <f t="shared" si="75"/>
        <v>47.511175959043861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1.9230769230769227</v>
      </c>
      <c r="FE99" s="12">
        <f>IF('Données projet'!$A$218&gt;35,FE98+FD99-FM98,IF(A99&lt;'Données projet'!$A$218,$FB$205^A99,IF(A99='Données projet'!$A$218,'Données projet'!$B$218,FE98+FD99-FM98)))</f>
        <v>135.25641025641022</v>
      </c>
      <c r="FF99" s="17">
        <f>FE99*VLOOKUP('Données projet'!$B$16,Paramètres!$A$1:$I$89,3,0)*VLOOKUP('Données projet'!$B$16,Paramètres!$A$1:$I$89,5,0)</f>
        <v>141.36999999999998</v>
      </c>
      <c r="FG99" s="13">
        <f t="shared" si="101"/>
        <v>36.610675159135589</v>
      </c>
      <c r="FH99" s="20">
        <f t="shared" si="76"/>
        <v>309.98300923549442</v>
      </c>
      <c r="FI99" s="59">
        <f t="shared" si="77"/>
        <v>603.31634256882774</v>
      </c>
      <c r="FJ99" s="59">
        <f ca="1">AVERAGE(OFFSET($FI$3,0,0,'Données projet'!$E$16+1,1))-AVERAGE(OFFSET($H$3,0,0,'Données projet'!$E$16+1,1))</f>
        <v>239.26156489359892</v>
      </c>
      <c r="FK99" s="59">
        <f t="shared" si="102"/>
        <v>213.97034450798111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1.9147451156129895</v>
      </c>
      <c r="FR99" s="21">
        <f>EXP(-LN(2)/25)*FR98+(1-EXP(-LN(2)/25))/(LN(2)/25)*Calculateur!FM99*Calculateur!FO99*VLOOKUP('Données projet'!$B$16,Paramètres!$A$1:$I$89,3,0)*0.475*44/12</f>
        <v>14.555664255666846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16.470409371279835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8.9989999999999952</v>
      </c>
      <c r="N100" s="13">
        <f>IF('Données projet'!$A$36&gt;35,N99+M100-V99,IF(A100&lt;'Données projet'!$A$36,$K$205^A100,IF(A100='Données projet'!$A$36,'Données projet'!$B$36,N99+M100-V99)))</f>
        <v>317.40599999999995</v>
      </c>
      <c r="O100" s="13">
        <f>N100*VLOOKUP('Données projet'!$B$9,Paramètres!$A$1:$I$89,3,0)*VLOOKUP('Données projet'!$B$9,Paramètres!$A$1:$I$89,5,0)</f>
        <v>302.04354959999995</v>
      </c>
      <c r="P100" s="13">
        <f t="shared" si="87"/>
        <v>71.604700553278462</v>
      </c>
      <c r="Q100" s="20">
        <f t="shared" si="107"/>
        <v>650.77070235029328</v>
      </c>
      <c r="R100" s="59">
        <f t="shared" si="55"/>
        <v>944.10403568362653</v>
      </c>
      <c r="S100" s="59">
        <f ca="1">AVERAGE(OFFSET($R$3,0,0,'Données projet'!$E$9+1,1))-AVERAGE(OFFSET($H$3,0,0,'Données projet'!$E$9+1,1))</f>
        <v>449.28947235329758</v>
      </c>
      <c r="T100" s="59">
        <f t="shared" si="88"/>
        <v>289.36994109443964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34.269977022047641</v>
      </c>
      <c r="AA100" s="21">
        <f>EXP(-LN(2)/25)*AA99+(1-EXP(-LN(2)/25))/(LN(2)/25)*Calculateur!V100*Calculateur!X100*VLOOKUP('Données projet'!$B$9,Paramètres!$A$1:$I$89,3,0)*0.475*44/12</f>
        <v>23.337719361139953</v>
      </c>
      <c r="AB100" s="21">
        <f>EXP(-LN(2)/2)*AB99+(1-EXP(-LN(2)/2))/(LN(2)/2)*V100*Y100*VLOOKUP('Données projet'!$B$9,Paramètres!$A$1:$I$89,3,0)*0.475*44/12</f>
        <v>3.7091138276767181E-2</v>
      </c>
      <c r="AC100" s="22">
        <f t="shared" si="57"/>
        <v>57.644787521464359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-2.2737367544323206E-13</v>
      </c>
      <c r="AJ100" s="13">
        <f>AI100*VLOOKUP('Données projet'!$B$10,Paramètres!$A$1:$I$89,3,0)*VLOOKUP('Données projet'!$B$10,Paramètres!$A$1:$I$89,5,0)</f>
        <v>-1.3596945791505279E-13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349.71285006949597</v>
      </c>
      <c r="AO100" s="59">
        <f t="shared" si="90"/>
        <v>258.51550516456842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109.454953336426</v>
      </c>
      <c r="AV100" s="21">
        <f>EXP(-LN(2)/25)*AV99+(1-EXP(-LN(2)/25))/(LN(2)/25)*Calculateur!AQ100*Calculateur!AS100*VLOOKUP('Données projet'!$B$10,Paramètres!$A$1:$I$89,3,0)*0.475*44/12</f>
        <v>32.297040636451129</v>
      </c>
      <c r="AW100" s="21">
        <f>EXP(-LN(2)/2)*AW99+(1-EXP(-LN(2)/2))/(LN(2)/2)*AQ100*AT100*VLOOKUP('Données projet'!$B$10,Paramètres!$A$1:$I$89,3,0)*0.475*44/12</f>
        <v>0.19532897526359971</v>
      </c>
      <c r="AX100" s="21">
        <f t="shared" si="60"/>
        <v>141.94732294814074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1.1368683772161603E-13</v>
      </c>
      <c r="BE100" s="13">
        <f>BD100*VLOOKUP('Données projet'!$B$11,Paramètres!$A$1:$I$89,3,0)*VLOOKUP('Données projet'!$B$11,Paramètres!$A$1:$I$89,5,0)</f>
        <v>6.7984728957526396E-14</v>
      </c>
      <c r="BF100" s="13">
        <f t="shared" si="91"/>
        <v>1.0682447123141398E-12</v>
      </c>
      <c r="BG100" s="20">
        <f t="shared" si="61"/>
        <v>1.978932943548152E-12</v>
      </c>
      <c r="BH100" s="59">
        <f t="shared" si="62"/>
        <v>293.3333333333353</v>
      </c>
      <c r="BI100" s="59">
        <f ca="1">AVERAGE(OFFSET($BH$3,0,0,'Données projet'!$E$11+1,1))-AVERAGE(OFFSET($H$3,0,0,'Données projet'!$E$11+1,1))</f>
        <v>302.00825291248458</v>
      </c>
      <c r="BJ100" s="59">
        <f t="shared" si="92"/>
        <v>307.35115839449355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66.738115478368172</v>
      </c>
      <c r="BQ100" s="21">
        <f>EXP(-LN(2)/25)*BQ99+(1-EXP(-LN(2)/25))/(LN(2)/25)*Calculateur!BL100*Calculateur!BN100*VLOOKUP('Données projet'!$B$11,Paramètres!$A$1:$I$89,3,0)*0.475*44/12</f>
        <v>17.365383666019945</v>
      </c>
      <c r="BR100" s="21">
        <f>EXP(-LN(2)/2)*BR99+(1-EXP(-LN(2)/2))/(LN(2)/2)*BL100*BO100*VLOOKUP('Données projet'!$B$11,Paramètres!$A$1:$I$89,3,0)*0.475*44/12</f>
        <v>1.6173989421891288E-4</v>
      </c>
      <c r="BS100" s="22">
        <f t="shared" si="63"/>
        <v>84.103660884282334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>
        <f>VLOOKUP(A100,'Données projet'!$A$113:$I$133,2,0)</f>
        <v>451.75</v>
      </c>
      <c r="BW100" s="12">
        <f>VLOOKUP(A100,'Données projet'!$A$113:$I$133,9,0)</f>
        <v>10.192500000000001</v>
      </c>
      <c r="BX100" s="12">
        <f t="array" ref="BX100">INDEX(BW:BW,MIN(IF(ISNUMBER(BW100:BW296),ROW(BW100:BW296),"")))</f>
        <v>10.192500000000001</v>
      </c>
      <c r="BY100" s="12">
        <f>IF('Données projet'!$A$114&gt;35,BY99+BX100-CG99,IF(A100&lt;'Données projet'!$A$114,$BV$205^A100,IF(A100='Données projet'!$A$114,'Données projet'!$B$114,BY99+BX100-CG99)))</f>
        <v>451.74999999999989</v>
      </c>
      <c r="BZ100" s="13">
        <f>BY100*VLOOKUP('Données projet'!$B$12,Paramètres!$A$1:$I$89,3,0)*VLOOKUP('Données projet'!$B$12,Paramètres!$A$1:$I$89,5,0)</f>
        <v>211.41899999999995</v>
      </c>
      <c r="CA100" s="13">
        <f t="shared" si="93"/>
        <v>52.245551258706243</v>
      </c>
      <c r="CB100" s="20">
        <f t="shared" si="64"/>
        <v>459.21576010891323</v>
      </c>
      <c r="CC100" s="59">
        <f t="shared" si="65"/>
        <v>752.54909344224654</v>
      </c>
      <c r="CD100" s="59">
        <f ca="1">AVERAGE(OFFSET($CC$3,0,0,'Données projet'!$E$12+1,1))-AVERAGE(OFFSET($H$3,0,0,'Données projet'!$E$12+1,1))</f>
        <v>337.10499990421835</v>
      </c>
      <c r="CE100" s="59">
        <f t="shared" si="94"/>
        <v>277.4254079562175</v>
      </c>
      <c r="CF100" s="15">
        <f>IF(ISNA(VLOOKUP(A100,'Données projet'!$A$113:$I$133,3,0)),0,VLOOKUP(A100,'Données projet'!$A$113:$I$133,3,0))</f>
        <v>5</v>
      </c>
      <c r="CG100" s="15">
        <f>IF(ISNA(VLOOKUP(A100,'Données projet'!$A$113:$I$133,4,0)),0,VLOOKUP(A100,'Données projet'!$A$113:$I$133,4,0))</f>
        <v>90.589999999999975</v>
      </c>
      <c r="CH100" s="16">
        <f>IF(ISNA(VLOOKUP(A100,'Données projet'!$A$113:$I$133,5,0)),0%,VLOOKUP(A100,'Données projet'!$A$113:$I$133,5,0)*VLOOKUP('Données projet'!$B$12,Paramètres!$A$1:$I$89,7,0))</f>
        <v>0.33</v>
      </c>
      <c r="CI100" s="16">
        <f>IF(ISNA(VLOOKUP(A100,'Données projet'!$A$113:$I$133,6,0)),0%,VLOOKUP(A100,'Données projet'!$A$113:$I$133,6,0)*VLOOKUP('Données projet'!$B$12,Paramètres!$A$1:$I$89,7,0))</f>
        <v>0.11000000000000001</v>
      </c>
      <c r="CJ100" s="16">
        <f>IF(ISNA(VLOOKUP(A100,'Données projet'!$A$113:$I$133,7,0)),0%,VLOOKUP(A100,'Données projet'!$A$113:$I$133,7,0))</f>
        <v>0.2</v>
      </c>
      <c r="CK100" s="21">
        <f>EXP(-LN(2)/35)*CK99+(1-EXP(-LN(2)/35))/(LN(2)/35)*CG100*CH100*VLOOKUP('Données projet'!$B$12,Paramètres!$A$1:$I$89,3,0)*0.475*44/12</f>
        <v>63.321870448870456</v>
      </c>
      <c r="CL100" s="21">
        <f>EXP(-LN(2)/25)*CL99+(1-EXP(-LN(2)/25))/(LN(2)/25)*Calculateur!CG100*Calculateur!CI100*VLOOKUP('Données projet'!$B$12,Paramètres!$A$1:$I$89,3,0)*0.475*44/12</f>
        <v>23.096502220156491</v>
      </c>
      <c r="CM100" s="21">
        <f>EXP(-LN(2)/2)*CM99+(1-EXP(-LN(2)/2))/(LN(2)/2)*CG100*CJ100*VLOOKUP('Données projet'!$B$12,Paramètres!$A$1:$I$89,3,0)*0.475*44/12</f>
        <v>9.7616690873011311</v>
      </c>
      <c r="CN100" s="22">
        <f t="shared" si="66"/>
        <v>96.18004175632808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6.7777777777777777</v>
      </c>
      <c r="CT100" s="12">
        <f>IF('Données projet'!$A$140&gt;35,CT99+CS100-DB99,IF(A100&lt;'Données projet'!$A$140,$CQ$205^A100,IF(A100='Données projet'!$A$140,'Données projet'!$B$140,CT99+CS100-DB99)))</f>
        <v>223.92555555555543</v>
      </c>
      <c r="CU100" s="17">
        <f>CT100*VLOOKUP('Données projet'!$B$13,Paramètres!$A$1:$I$89,3,0)*VLOOKUP('Données projet'!$B$13,Paramètres!$A$1:$I$89,5,0)</f>
        <v>223.56727466666658</v>
      </c>
      <c r="CV100" s="13">
        <f t="shared" si="95"/>
        <v>54.889487938380462</v>
      </c>
      <c r="CW100" s="20">
        <f t="shared" si="67"/>
        <v>484.97886153712358</v>
      </c>
      <c r="CX100" s="59">
        <f t="shared" si="68"/>
        <v>778.31219487045689</v>
      </c>
      <c r="CY100" s="59">
        <f ca="1">AVERAGE(OFFSET($CX$3,0,0,'Données projet'!$E$13+1,1))-AVERAGE(OFFSET($H$3,0,0,'Données projet'!$E$13+1,1))</f>
        <v>525.74725170626471</v>
      </c>
      <c r="CZ100" s="59">
        <f t="shared" si="96"/>
        <v>259.19103598192197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11.752526285880407</v>
      </c>
      <c r="DG100" s="21">
        <f>EXP(-LN(2)/25)*DG99+(1-EXP(-LN(2)/25))/(LN(2)/25)*Calculateur!DB100*Calculateur!DD100*VLOOKUP('Données projet'!$B$13,Paramètres!$A$1:$I$89,3,0)*0.475*44/12</f>
        <v>30.99032854884803</v>
      </c>
      <c r="DH100" s="21">
        <f>EXP(-LN(2)/2)*DH99+(1-EXP(-LN(2)/2))/(LN(2)/2)*DB100*DE100*VLOOKUP('Données projet'!$B$13,Paramètres!$A$1:$I$89,3,0)*0.475*44/12</f>
        <v>2.0725680112110707</v>
      </c>
      <c r="DI100" s="22">
        <f t="shared" si="69"/>
        <v>44.815422845939501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7.7249999999999996</v>
      </c>
      <c r="DO100" s="12">
        <f>IF('Données projet'!$A$166&gt;35,DO99+DN100-DW99,IF(A100&lt;'Données projet'!$A$166,$DL$205^A100,IF(A100='Données projet'!$A$166,'Données projet'!$B$166,DO99+DN100-DW99)))</f>
        <v>291.36000000000035</v>
      </c>
      <c r="DP100" s="17">
        <f>DO100*VLOOKUP('Données projet'!$B$14,Paramètres!$A$1:$I$89,3,0)*VLOOKUP('Données projet'!$B$14,Paramètres!$A$1:$I$89,5,0)</f>
        <v>263.62252800000033</v>
      </c>
      <c r="DQ100" s="13">
        <f t="shared" si="97"/>
        <v>63.493931609397407</v>
      </c>
      <c r="DR100" s="20">
        <f t="shared" si="70"/>
        <v>569.727833819701</v>
      </c>
      <c r="DS100" s="59">
        <f t="shared" si="71"/>
        <v>863.06116715303438</v>
      </c>
      <c r="DT100" s="59">
        <f ca="1">AVERAGE(OFFSET($DS$3,0,0,'Données projet'!$E$14+1,1))-AVERAGE(OFFSET($H$3,0,0,'Données projet'!$E$14+1,1))</f>
        <v>490.06222615476065</v>
      </c>
      <c r="DU100" s="59">
        <f t="shared" si="98"/>
        <v>310.43914804089906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23.374378779077148</v>
      </c>
      <c r="EB100" s="21">
        <f>EXP(-LN(2)/25)*EB99+(1-EXP(-LN(2)/25))/(LN(2)/25)*Calculateur!DW100*Calculateur!DY100*VLOOKUP('Données projet'!$B$14,Paramètres!$A$1:$I$89,3,0)*0.475*44/12</f>
        <v>22.211590751252924</v>
      </c>
      <c r="EC100" s="21">
        <f>EXP(-LN(2)/2)*EC99+(1-EXP(-LN(2)/2))/(LN(2)/2)*DW100*DZ100*VLOOKUP('Données projet'!$B$14,Paramètres!$A$1:$I$89,3,0)*0.475*44/12</f>
        <v>0.96458900427830274</v>
      </c>
      <c r="ED100" s="22">
        <f t="shared" si="72"/>
        <v>46.550558534608378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6.7777777777777777</v>
      </c>
      <c r="EJ100" s="12">
        <f>IF('Données projet'!$A$192&gt;35,EJ99+EI100-ER99,IF(A100&lt;'Données projet'!$A$192,$EG$205^A100,IF(A100='Données projet'!$A$192,'Données projet'!$B$192,EJ99+EI100-ER99)))</f>
        <v>223.92555555555543</v>
      </c>
      <c r="EK100" s="17">
        <f>EJ100*VLOOKUP('Données projet'!$B$15,Paramètres!$A$1:$I$89,3,0)*VLOOKUP('Données projet'!$B$15,Paramètres!$A$1:$I$89,5,0)</f>
        <v>227.06051333333323</v>
      </c>
      <c r="EL100" s="13">
        <f t="shared" si="99"/>
        <v>55.646620764750722</v>
      </c>
      <c r="EM100" s="20">
        <f t="shared" si="73"/>
        <v>492.38159188749614</v>
      </c>
      <c r="EN100" s="59">
        <f t="shared" si="74"/>
        <v>785.7149252208294</v>
      </c>
      <c r="EO100" s="59">
        <f ca="1">AVERAGE(OFFSET($EN$3,0,0,'Données projet'!$E$15+1,1))-AVERAGE(OFFSET($H$3,0,0,'Données projet'!$E$15+1,1))</f>
        <v>533.26035274112917</v>
      </c>
      <c r="EP100" s="59">
        <f t="shared" si="100"/>
        <v>262.58149402282521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11.936159509097292</v>
      </c>
      <c r="EW100" s="21">
        <f>EXP(-LN(2)/25)*EW99+(1-EXP(-LN(2)/25))/(LN(2)/25)*Calculateur!ER100*Calculateur!ET100*VLOOKUP('Données projet'!$B$15,Paramètres!$A$1:$I$89,3,0)*0.475*44/12</f>
        <v>31.474552432423774</v>
      </c>
      <c r="EX100" s="21">
        <f>EXP(-LN(2)/2)*EX99+(1-EXP(-LN(2)/2))/(LN(2)/2)*ER100*EU100*VLOOKUP('Données projet'!$B$15,Paramètres!$A$1:$I$89,3,0)*0.475*44/12</f>
        <v>2.1049518863862438</v>
      </c>
      <c r="EY100" s="22">
        <f t="shared" si="75"/>
        <v>45.515663827907311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1.9230769230769227</v>
      </c>
      <c r="FE100" s="12">
        <f>IF('Données projet'!$A$218&gt;35,FE99+FD100-FM99,IF(A100&lt;'Données projet'!$A$218,$FB$205^A100,IF(A100='Données projet'!$A$218,'Données projet'!$B$218,FE99+FD100-FM99)))</f>
        <v>137.17948717948715</v>
      </c>
      <c r="FF100" s="17">
        <f>FE100*VLOOKUP('Données projet'!$B$16,Paramètres!$A$1:$I$89,3,0)*VLOOKUP('Données projet'!$B$16,Paramètres!$A$1:$I$89,5,0)</f>
        <v>143.37999999999997</v>
      </c>
      <c r="FG100" s="13">
        <f t="shared" si="101"/>
        <v>37.070237688614135</v>
      </c>
      <c r="FH100" s="20">
        <f t="shared" si="76"/>
        <v>314.2841639743362</v>
      </c>
      <c r="FI100" s="59">
        <f t="shared" si="77"/>
        <v>607.61749730766951</v>
      </c>
      <c r="FJ100" s="59">
        <f ca="1">AVERAGE(OFFSET($FI$3,0,0,'Données projet'!$E$16+1,1))-AVERAGE(OFFSET($H$3,0,0,'Données projet'!$E$16+1,1))</f>
        <v>239.26156489359892</v>
      </c>
      <c r="FK100" s="59">
        <f t="shared" si="102"/>
        <v>213.97034450798111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1.8771981317750208</v>
      </c>
      <c r="FR100" s="21">
        <f>EXP(-LN(2)/25)*FR99+(1-EXP(-LN(2)/25))/(LN(2)/25)*Calculateur!FM100*Calculateur!FO100*VLOOKUP('Données projet'!$B$16,Paramètres!$A$1:$I$89,3,0)*0.475*44/12</f>
        <v>14.157638851146521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16.03483698292154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8.9989999999999952</v>
      </c>
      <c r="N101" s="13">
        <f>IF('Données projet'!$A$36&gt;35,N100+M101-V100,IF(A101&lt;'Données projet'!$A$36,$K$205^A101,IF(A101='Données projet'!$A$36,'Données projet'!$B$36,N100+M101-V100)))</f>
        <v>326.40499999999997</v>
      </c>
      <c r="O101" s="13">
        <f>N101*VLOOKUP('Données projet'!$B$9,Paramètres!$A$1:$I$89,3,0)*VLOOKUP('Données projet'!$B$9,Paramètres!$A$1:$I$89,5,0)</f>
        <v>310.60699799999998</v>
      </c>
      <c r="P101" s="13">
        <f t="shared" si="87"/>
        <v>73.395581077832844</v>
      </c>
      <c r="Q101" s="20">
        <f t="shared" si="107"/>
        <v>668.80449189389219</v>
      </c>
      <c r="R101" s="59">
        <f t="shared" si="55"/>
        <v>962.13782522722545</v>
      </c>
      <c r="S101" s="59">
        <f ca="1">AVERAGE(OFFSET($R$3,0,0,'Données projet'!$E$9+1,1))-AVERAGE(OFFSET($H$3,0,0,'Données projet'!$E$9+1,1))</f>
        <v>449.28947235329758</v>
      </c>
      <c r="T101" s="59">
        <f t="shared" si="88"/>
        <v>289.36994109443964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33.597963675267309</v>
      </c>
      <c r="AA101" s="21">
        <f>EXP(-LN(2)/25)*AA100+(1-EXP(-LN(2)/25))/(LN(2)/25)*Calculateur!V101*Calculateur!X101*VLOOKUP('Données projet'!$B$9,Paramètres!$A$1:$I$89,3,0)*0.475*44/12</f>
        <v>22.699548197932259</v>
      </c>
      <c r="AB101" s="21">
        <f>EXP(-LN(2)/2)*AB100+(1-EXP(-LN(2)/2))/(LN(2)/2)*V101*Y101*VLOOKUP('Données projet'!$B$9,Paramètres!$A$1:$I$89,3,0)*0.475*44/12</f>
        <v>2.6227395397429989E-2</v>
      </c>
      <c r="AC101" s="22">
        <f t="shared" si="57"/>
        <v>56.323739268596995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-2.2737367544323206E-13</v>
      </c>
      <c r="AJ101" s="13">
        <f>AI101*VLOOKUP('Données projet'!$B$10,Paramètres!$A$1:$I$89,3,0)*VLOOKUP('Données projet'!$B$10,Paramètres!$A$1:$I$89,5,0)</f>
        <v>-1.3596945791505279E-13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349.71285006949597</v>
      </c>
      <c r="AO101" s="59">
        <f t="shared" si="90"/>
        <v>258.51550516456842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107.30860846242813</v>
      </c>
      <c r="AV101" s="21">
        <f>EXP(-LN(2)/25)*AV100+(1-EXP(-LN(2)/25))/(LN(2)/25)*Calculateur!AQ101*Calculateur!AS101*VLOOKUP('Données projet'!$B$10,Paramètres!$A$1:$I$89,3,0)*0.475*44/12</f>
        <v>31.41387636181982</v>
      </c>
      <c r="AW101" s="21">
        <f>EXP(-LN(2)/2)*AW100+(1-EXP(-LN(2)/2))/(LN(2)/2)*AQ101*AT101*VLOOKUP('Données projet'!$B$10,Paramètres!$A$1:$I$89,3,0)*0.475*44/12</f>
        <v>0.13811844297111076</v>
      </c>
      <c r="AX101" s="21">
        <f t="shared" si="60"/>
        <v>138.86060326721906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1.1368683772161603E-13</v>
      </c>
      <c r="BE101" s="13">
        <f>BD101*VLOOKUP('Données projet'!$B$11,Paramètres!$A$1:$I$89,3,0)*VLOOKUP('Données projet'!$B$11,Paramètres!$A$1:$I$89,5,0)</f>
        <v>6.7984728957526396E-14</v>
      </c>
      <c r="BF101" s="13">
        <f t="shared" si="91"/>
        <v>1.0682447123141398E-12</v>
      </c>
      <c r="BG101" s="20">
        <f t="shared" si="61"/>
        <v>1.978932943548152E-12</v>
      </c>
      <c r="BH101" s="59">
        <f t="shared" si="62"/>
        <v>293.3333333333353</v>
      </c>
      <c r="BI101" s="59">
        <f ca="1">AVERAGE(OFFSET($BH$3,0,0,'Données projet'!$E$11+1,1))-AVERAGE(OFFSET($H$3,0,0,'Données projet'!$E$11+1,1))</f>
        <v>302.00825291248458</v>
      </c>
      <c r="BJ101" s="59">
        <f t="shared" si="92"/>
        <v>307.35115839449355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65.429421740068406</v>
      </c>
      <c r="BQ101" s="21">
        <f>EXP(-LN(2)/25)*BQ100+(1-EXP(-LN(2)/25))/(LN(2)/25)*Calculateur!BL101*Calculateur!BN101*VLOOKUP('Données projet'!$B$11,Paramètres!$A$1:$I$89,3,0)*0.475*44/12</f>
        <v>16.890526336466792</v>
      </c>
      <c r="BR101" s="21">
        <f>EXP(-LN(2)/2)*BR100+(1-EXP(-LN(2)/2))/(LN(2)/2)*BL101*BO101*VLOOKUP('Données projet'!$B$11,Paramètres!$A$1:$I$89,3,0)*0.475*44/12</f>
        <v>1.1436737599058818E-4</v>
      </c>
      <c r="BS101" s="22">
        <f t="shared" si="63"/>
        <v>82.320062443911183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9.1833333333333318</v>
      </c>
      <c r="BY101" s="12">
        <f>IF('Données projet'!$A$114&gt;35,BY100+BX101-CG100,IF(A101&lt;'Données projet'!$A$114,$BV$205^A101,IF(A101='Données projet'!$A$114,'Données projet'!$B$114,BY100+BX101-CG100)))</f>
        <v>370.34333333333325</v>
      </c>
      <c r="BZ101" s="13">
        <f>BY101*VLOOKUP('Données projet'!$B$12,Paramètres!$A$1:$I$89,3,0)*VLOOKUP('Données projet'!$B$12,Paramètres!$A$1:$I$89,5,0)</f>
        <v>173.32067999999998</v>
      </c>
      <c r="CA101" s="13">
        <f t="shared" si="93"/>
        <v>43.832906027777845</v>
      </c>
      <c r="CB101" s="20">
        <f t="shared" si="64"/>
        <v>378.209162331713</v>
      </c>
      <c r="CC101" s="59">
        <f t="shared" si="65"/>
        <v>671.54249566504632</v>
      </c>
      <c r="CD101" s="59">
        <f ca="1">AVERAGE(OFFSET($CC$3,0,0,'Données projet'!$E$12+1,1))-AVERAGE(OFFSET($H$3,0,0,'Données projet'!$E$12+1,1))</f>
        <v>337.10499990421835</v>
      </c>
      <c r="CE101" s="59">
        <f t="shared" si="94"/>
        <v>277.4254079562175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62.08016719189542</v>
      </c>
      <c r="CL101" s="21">
        <f>EXP(-LN(2)/25)*CL100+(1-EXP(-LN(2)/25))/(LN(2)/25)*Calculateur!CG101*Calculateur!CI101*VLOOKUP('Données projet'!$B$12,Paramètres!$A$1:$I$89,3,0)*0.475*44/12</f>
        <v>22.464927152354047</v>
      </c>
      <c r="CM101" s="21">
        <f>EXP(-LN(2)/2)*CM100+(1-EXP(-LN(2)/2))/(LN(2)/2)*CG101*CJ101*VLOOKUP('Données projet'!$B$12,Paramètres!$A$1:$I$89,3,0)*0.475*44/12</f>
        <v>6.9025424073297268</v>
      </c>
      <c r="CN101" s="22">
        <f t="shared" si="66"/>
        <v>91.447636751579196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6.7777777777777777</v>
      </c>
      <c r="CT101" s="12">
        <f>IF('Données projet'!$A$140&gt;35,CT100+CS101-DB100,IF(A101&lt;'Données projet'!$A$140,$CQ$205^A101,IF(A101='Données projet'!$A$140,'Données projet'!$B$140,CT100+CS101-DB100)))</f>
        <v>230.70333333333321</v>
      </c>
      <c r="CU101" s="17">
        <f>CT101*VLOOKUP('Données projet'!$B$13,Paramètres!$A$1:$I$89,3,0)*VLOOKUP('Données projet'!$B$13,Paramètres!$A$1:$I$89,5,0)</f>
        <v>230.3342079999999</v>
      </c>
      <c r="CV101" s="13">
        <f t="shared" si="95"/>
        <v>56.354939006557252</v>
      </c>
      <c r="CW101" s="20">
        <f t="shared" si="67"/>
        <v>499.31693103642039</v>
      </c>
      <c r="CX101" s="59">
        <f t="shared" si="68"/>
        <v>792.6502643697537</v>
      </c>
      <c r="CY101" s="59">
        <f ca="1">AVERAGE(OFFSET($CX$3,0,0,'Données projet'!$E$13+1,1))-AVERAGE(OFFSET($H$3,0,0,'Données projet'!$E$13+1,1))</f>
        <v>525.74725170626471</v>
      </c>
      <c r="CZ101" s="59">
        <f t="shared" si="96"/>
        <v>259.19103598192197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11.522066413747513</v>
      </c>
      <c r="DG101" s="21">
        <f>EXP(-LN(2)/25)*DG100+(1-EXP(-LN(2)/25))/(LN(2)/25)*Calculateur!DB101*Calculateur!DD101*VLOOKUP('Données projet'!$B$13,Paramètres!$A$1:$I$89,3,0)*0.475*44/12</f>
        <v>30.14289638496923</v>
      </c>
      <c r="DH101" s="21">
        <f>EXP(-LN(2)/2)*DH100+(1-EXP(-LN(2)/2))/(LN(2)/2)*DB101*DE101*VLOOKUP('Données projet'!$B$13,Paramètres!$A$1:$I$89,3,0)*0.475*44/12</f>
        <v>1.4655268951976645</v>
      </c>
      <c r="DI101" s="22">
        <f t="shared" si="69"/>
        <v>43.130489693914406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7.7249999999999996</v>
      </c>
      <c r="DO101" s="12">
        <f>IF('Données projet'!$A$166&gt;35,DO100+DN101-DW100,IF(A101&lt;'Données projet'!$A$166,$DL$205^A101,IF(A101='Données projet'!$A$166,'Données projet'!$B$166,DO100+DN101-DW100)))</f>
        <v>299.08500000000038</v>
      </c>
      <c r="DP101" s="17">
        <f>DO101*VLOOKUP('Données projet'!$B$14,Paramètres!$A$1:$I$89,3,0)*VLOOKUP('Données projet'!$B$14,Paramètres!$A$1:$I$89,5,0)</f>
        <v>270.61210800000032</v>
      </c>
      <c r="DQ101" s="13">
        <f t="shared" si="97"/>
        <v>64.979156928389983</v>
      </c>
      <c r="DR101" s="20">
        <f t="shared" si="70"/>
        <v>584.48811975027968</v>
      </c>
      <c r="DS101" s="59">
        <f t="shared" si="71"/>
        <v>877.82145308361305</v>
      </c>
      <c r="DT101" s="59">
        <f ca="1">AVERAGE(OFFSET($DS$3,0,0,'Données projet'!$E$14+1,1))-AVERAGE(OFFSET($H$3,0,0,'Données projet'!$E$14+1,1))</f>
        <v>490.06222615476065</v>
      </c>
      <c r="DU101" s="59">
        <f t="shared" si="98"/>
        <v>310.43914804089906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22.916021468182741</v>
      </c>
      <c r="EB101" s="21">
        <f>EXP(-LN(2)/25)*EB100+(1-EXP(-LN(2)/25))/(LN(2)/25)*Calculateur!DW101*Calculateur!DY101*VLOOKUP('Données projet'!$B$14,Paramètres!$A$1:$I$89,3,0)*0.475*44/12</f>
        <v>21.604213634103122</v>
      </c>
      <c r="EC101" s="21">
        <f>EXP(-LN(2)/2)*EC100+(1-EXP(-LN(2)/2))/(LN(2)/2)*DW101*DZ101*VLOOKUP('Données projet'!$B$14,Paramètres!$A$1:$I$89,3,0)*0.475*44/12</f>
        <v>0.68206742598316761</v>
      </c>
      <c r="ED101" s="22">
        <f t="shared" si="72"/>
        <v>45.202302528269037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6.7777777777777777</v>
      </c>
      <c r="EJ101" s="12">
        <f>IF('Données projet'!$A$192&gt;35,EJ100+EI101-ER100,IF(A101&lt;'Données projet'!$A$192,$EG$205^A101,IF(A101='Données projet'!$A$192,'Données projet'!$B$192,EJ100+EI101-ER100)))</f>
        <v>230.70333333333321</v>
      </c>
      <c r="EK101" s="17">
        <f>EJ101*VLOOKUP('Données projet'!$B$15,Paramètres!$A$1:$I$89,3,0)*VLOOKUP('Données projet'!$B$15,Paramètres!$A$1:$I$89,5,0)</f>
        <v>233.93317999999988</v>
      </c>
      <c r="EL101" s="13">
        <f t="shared" si="99"/>
        <v>57.132285924019129</v>
      </c>
      <c r="EM101" s="20">
        <f t="shared" si="73"/>
        <v>506.93901981766635</v>
      </c>
      <c r="EN101" s="59">
        <f t="shared" si="74"/>
        <v>800.27235315099961</v>
      </c>
      <c r="EO101" s="59">
        <f ca="1">AVERAGE(OFFSET($EN$3,0,0,'Données projet'!$E$15+1,1))-AVERAGE(OFFSET($H$3,0,0,'Données projet'!$E$15+1,1))</f>
        <v>533.26035274112917</v>
      </c>
      <c r="EP101" s="59">
        <f t="shared" si="100"/>
        <v>262.58149402282521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11.702098701462321</v>
      </c>
      <c r="EW101" s="21">
        <f>EXP(-LN(2)/25)*EW100+(1-EXP(-LN(2)/25))/(LN(2)/25)*Calculateur!ER101*Calculateur!ET101*VLOOKUP('Données projet'!$B$15,Paramètres!$A$1:$I$89,3,0)*0.475*44/12</f>
        <v>30.61387914098437</v>
      </c>
      <c r="EX101" s="21">
        <f>EXP(-LN(2)/2)*EX100+(1-EXP(-LN(2)/2))/(LN(2)/2)*ER101*EU101*VLOOKUP('Données projet'!$B$15,Paramètres!$A$1:$I$89,3,0)*0.475*44/12</f>
        <v>1.4884257529351281</v>
      </c>
      <c r="EY101" s="22">
        <f t="shared" si="75"/>
        <v>43.804403595381821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1.9230769230769227</v>
      </c>
      <c r="FE101" s="12">
        <f>IF('Données projet'!$A$218&gt;35,FE100+FD101-FM100,IF(A101&lt;'Données projet'!$A$218,$FB$205^A101,IF(A101='Données projet'!$A$218,'Données projet'!$B$218,FE100+FD101-FM100)))</f>
        <v>139.10256410256409</v>
      </c>
      <c r="FF101" s="17">
        <f>FE101*VLOOKUP('Données projet'!$B$16,Paramètres!$A$1:$I$89,3,0)*VLOOKUP('Données projet'!$B$16,Paramètres!$A$1:$I$89,5,0)</f>
        <v>145.38999999999999</v>
      </c>
      <c r="FG101" s="13">
        <f t="shared" si="101"/>
        <v>37.529050900676538</v>
      </c>
      <c r="FH101" s="20">
        <f t="shared" si="76"/>
        <v>318.58401365201161</v>
      </c>
      <c r="FI101" s="59">
        <f t="shared" si="77"/>
        <v>611.91734698534492</v>
      </c>
      <c r="FJ101" s="59">
        <f ca="1">AVERAGE(OFFSET($FI$3,0,0,'Données projet'!$E$16+1,1))-AVERAGE(OFFSET($H$3,0,0,'Données projet'!$E$16+1,1))</f>
        <v>239.26156489359892</v>
      </c>
      <c r="FK101" s="59">
        <f t="shared" si="102"/>
        <v>213.97034450798111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1.8403874213887159</v>
      </c>
      <c r="FR101" s="21">
        <f>EXP(-LN(2)/25)*FR100+(1-EXP(-LN(2)/25))/(LN(2)/25)*Calculateur!FM101*Calculateur!FO101*VLOOKUP('Données projet'!$B$16,Paramètres!$A$1:$I$89,3,0)*0.475*44/12</f>
        <v>13.770497472244049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15.610884893632765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8.9989999999999952</v>
      </c>
      <c r="N102" s="13">
        <f>IF('Données projet'!$A$36&gt;35,N101+M102-V101,IF(A102&lt;'Données projet'!$A$36,$K$205^A102,IF(A102='Données projet'!$A$36,'Données projet'!$B$36,N101+M102-V101)))</f>
        <v>335.404</v>
      </c>
      <c r="O102" s="13">
        <f>N102*VLOOKUP('Données projet'!$B$9,Paramètres!$A$1:$I$89,3,0)*VLOOKUP('Données projet'!$B$9,Paramètres!$A$1:$I$89,5,0)</f>
        <v>319.1704464</v>
      </c>
      <c r="P102" s="13">
        <f t="shared" si="87"/>
        <v>75.180722836444687</v>
      </c>
      <c r="Q102" s="20">
        <f t="shared" si="107"/>
        <v>686.82828642014101</v>
      </c>
      <c r="R102" s="59">
        <f t="shared" si="55"/>
        <v>980.16161975347427</v>
      </c>
      <c r="S102" s="59">
        <f ca="1">AVERAGE(OFFSET($R$3,0,0,'Données projet'!$E$9+1,1))-AVERAGE(OFFSET($H$3,0,0,'Données projet'!$E$9+1,1))</f>
        <v>449.28947235329758</v>
      </c>
      <c r="T102" s="59">
        <f t="shared" si="88"/>
        <v>289.36994109443964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32.939128100329668</v>
      </c>
      <c r="AA102" s="21">
        <f>EXP(-LN(2)/25)*AA101+(1-EXP(-LN(2)/25))/(LN(2)/25)*Calculateur!V102*Calculateur!X102*VLOOKUP('Données projet'!$B$9,Paramètres!$A$1:$I$89,3,0)*0.475*44/12</f>
        <v>22.078827858742443</v>
      </c>
      <c r="AB102" s="21">
        <f>EXP(-LN(2)/2)*AB101+(1-EXP(-LN(2)/2))/(LN(2)/2)*V102*Y102*VLOOKUP('Données projet'!$B$9,Paramètres!$A$1:$I$89,3,0)*0.475*44/12</f>
        <v>1.8545569138383591E-2</v>
      </c>
      <c r="AC102" s="22">
        <f t="shared" si="57"/>
        <v>55.036501528210493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-2.2737367544323206E-13</v>
      </c>
      <c r="AJ102" s="13">
        <f>AI102*VLOOKUP('Données projet'!$B$10,Paramètres!$A$1:$I$89,3,0)*VLOOKUP('Données projet'!$B$10,Paramètres!$A$1:$I$89,5,0)</f>
        <v>-1.3596945791505279E-13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349.71285006949597</v>
      </c>
      <c r="AO102" s="59">
        <f t="shared" si="90"/>
        <v>258.51550516456842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105.20435210226825</v>
      </c>
      <c r="AV102" s="21">
        <f>EXP(-LN(2)/25)*AV101+(1-EXP(-LN(2)/25))/(LN(2)/25)*Calculateur!AQ102*Calculateur!AS102*VLOOKUP('Données projet'!$B$10,Paramètres!$A$1:$I$89,3,0)*0.475*44/12</f>
        <v>30.554862260721897</v>
      </c>
      <c r="AW102" s="21">
        <f>EXP(-LN(2)/2)*AW101+(1-EXP(-LN(2)/2))/(LN(2)/2)*AQ102*AT102*VLOOKUP('Données projet'!$B$10,Paramètres!$A$1:$I$89,3,0)*0.475*44/12</f>
        <v>9.7664487631799857E-2</v>
      </c>
      <c r="AX102" s="21">
        <f t="shared" si="60"/>
        <v>135.85687885062194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1.1368683772161603E-13</v>
      </c>
      <c r="BE102" s="13">
        <f>BD102*VLOOKUP('Données projet'!$B$11,Paramètres!$A$1:$I$89,3,0)*VLOOKUP('Données projet'!$B$11,Paramètres!$A$1:$I$89,5,0)</f>
        <v>6.7984728957526396E-14</v>
      </c>
      <c r="BF102" s="13">
        <f t="shared" si="91"/>
        <v>1.0682447123141398E-12</v>
      </c>
      <c r="BG102" s="20">
        <f t="shared" si="61"/>
        <v>1.978932943548152E-12</v>
      </c>
      <c r="BH102" s="59">
        <f t="shared" si="62"/>
        <v>293.3333333333353</v>
      </c>
      <c r="BI102" s="59">
        <f ca="1">AVERAGE(OFFSET($BH$3,0,0,'Données projet'!$E$11+1,1))-AVERAGE(OFFSET($H$3,0,0,'Données projet'!$E$11+1,1))</f>
        <v>302.00825291248458</v>
      </c>
      <c r="BJ102" s="59">
        <f t="shared" si="92"/>
        <v>307.35115839449355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64.146390687752344</v>
      </c>
      <c r="BQ102" s="21">
        <f>EXP(-LN(2)/25)*BQ101+(1-EXP(-LN(2)/25))/(LN(2)/25)*Calculateur!BL102*Calculateur!BN102*VLOOKUP('Données projet'!$B$11,Paramètres!$A$1:$I$89,3,0)*0.475*44/12</f>
        <v>16.428654005561931</v>
      </c>
      <c r="BR102" s="21">
        <f>EXP(-LN(2)/2)*BR101+(1-EXP(-LN(2)/2))/(LN(2)/2)*BL102*BO102*VLOOKUP('Données projet'!$B$11,Paramètres!$A$1:$I$89,3,0)*0.475*44/12</f>
        <v>8.0869947109456442E-5</v>
      </c>
      <c r="BS102" s="22">
        <f t="shared" si="63"/>
        <v>80.575125563261395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9.1833333333333318</v>
      </c>
      <c r="BY102" s="12">
        <f>IF('Données projet'!$A$114&gt;35,BY101+BX102-CG101,IF(A102&lt;'Données projet'!$A$114,$BV$205^A102,IF(A102='Données projet'!$A$114,'Données projet'!$B$114,BY101+BX102-CG101)))</f>
        <v>379.52666666666659</v>
      </c>
      <c r="BZ102" s="13">
        <f>BY102*VLOOKUP('Données projet'!$B$12,Paramètres!$A$1:$I$89,3,0)*VLOOKUP('Données projet'!$B$12,Paramètres!$A$1:$I$89,5,0)</f>
        <v>177.61847999999995</v>
      </c>
      <c r="CA102" s="13">
        <f t="shared" si="93"/>
        <v>44.791931827234123</v>
      </c>
      <c r="CB102" s="20">
        <f t="shared" si="64"/>
        <v>387.36480059909928</v>
      </c>
      <c r="CC102" s="59">
        <f t="shared" si="65"/>
        <v>680.6981339324326</v>
      </c>
      <c r="CD102" s="59">
        <f ca="1">AVERAGE(OFFSET($CC$3,0,0,'Données projet'!$E$12+1,1))-AVERAGE(OFFSET($H$3,0,0,'Données projet'!$E$12+1,1))</f>
        <v>337.10499990421835</v>
      </c>
      <c r="CE102" s="59">
        <f t="shared" si="94"/>
        <v>277.4254079562175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60.862812978425467</v>
      </c>
      <c r="CL102" s="21">
        <f>EXP(-LN(2)/25)*CL101+(1-EXP(-LN(2)/25))/(LN(2)/25)*Calculateur!CG102*Calculateur!CI102*VLOOKUP('Données projet'!$B$12,Paramètres!$A$1:$I$89,3,0)*0.475*44/12</f>
        <v>21.85062253799375</v>
      </c>
      <c r="CM102" s="21">
        <f>EXP(-LN(2)/2)*CM101+(1-EXP(-LN(2)/2))/(LN(2)/2)*CG102*CJ102*VLOOKUP('Données projet'!$B$12,Paramètres!$A$1:$I$89,3,0)*0.475*44/12</f>
        <v>4.8808345436505665</v>
      </c>
      <c r="CN102" s="22">
        <f t="shared" si="66"/>
        <v>87.594270060069789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6.7777777777777777</v>
      </c>
      <c r="CT102" s="12">
        <f>IF('Données projet'!$A$140&gt;35,CT101+CS102-DB101,IF(A102&lt;'Données projet'!$A$140,$CQ$205^A102,IF(A102='Données projet'!$A$140,'Données projet'!$B$140,CT101+CS102-DB101)))</f>
        <v>237.48111111111098</v>
      </c>
      <c r="CU102" s="17">
        <f>CT102*VLOOKUP('Données projet'!$B$13,Paramètres!$A$1:$I$89,3,0)*VLOOKUP('Données projet'!$B$13,Paramètres!$A$1:$I$89,5,0)</f>
        <v>237.10114133333323</v>
      </c>
      <c r="CV102" s="13">
        <f t="shared" si="95"/>
        <v>57.815386488258035</v>
      </c>
      <c r="CW102" s="20">
        <f t="shared" si="67"/>
        <v>513.6462859559382</v>
      </c>
      <c r="CX102" s="59">
        <f t="shared" si="68"/>
        <v>806.97961928927157</v>
      </c>
      <c r="CY102" s="59">
        <f ca="1">AVERAGE(OFFSET($CX$3,0,0,'Données projet'!$E$13+1,1))-AVERAGE(OFFSET($H$3,0,0,'Données projet'!$E$13+1,1))</f>
        <v>525.74725170626471</v>
      </c>
      <c r="CZ102" s="59">
        <f t="shared" si="96"/>
        <v>259.19103598192197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11.296125719140502</v>
      </c>
      <c r="DG102" s="21">
        <f>EXP(-LN(2)/25)*DG101+(1-EXP(-LN(2)/25))/(LN(2)/25)*Calculateur!DB102*Calculateur!DD102*VLOOKUP('Données projet'!$B$13,Paramètres!$A$1:$I$89,3,0)*0.475*44/12</f>
        <v>29.318637298176217</v>
      </c>
      <c r="DH102" s="21">
        <f>EXP(-LN(2)/2)*DH101+(1-EXP(-LN(2)/2))/(LN(2)/2)*DB102*DE102*VLOOKUP('Données projet'!$B$13,Paramètres!$A$1:$I$89,3,0)*0.475*44/12</f>
        <v>1.0362840056055354</v>
      </c>
      <c r="DI102" s="22">
        <f t="shared" si="69"/>
        <v>41.651047022922256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7.7249999999999996</v>
      </c>
      <c r="DO102" s="12">
        <f>IF('Données projet'!$A$166&gt;35,DO101+DN102-DW101,IF(A102&lt;'Données projet'!$A$166,$DL$205^A102,IF(A102='Données projet'!$A$166,'Données projet'!$B$166,DO101+DN102-DW101)))</f>
        <v>306.8100000000004</v>
      </c>
      <c r="DP102" s="17">
        <f>DO102*VLOOKUP('Données projet'!$B$14,Paramètres!$A$1:$I$89,3,0)*VLOOKUP('Données projet'!$B$14,Paramètres!$A$1:$I$89,5,0)</f>
        <v>277.60168800000031</v>
      </c>
      <c r="DQ102" s="13">
        <f t="shared" si="97"/>
        <v>66.459923144116161</v>
      </c>
      <c r="DR102" s="20">
        <f t="shared" si="70"/>
        <v>599.24063940933604</v>
      </c>
      <c r="DS102" s="59">
        <f t="shared" si="71"/>
        <v>892.57397274266941</v>
      </c>
      <c r="DT102" s="59">
        <f ca="1">AVERAGE(OFFSET($DS$3,0,0,'Données projet'!$E$14+1,1))-AVERAGE(OFFSET($H$3,0,0,'Données projet'!$E$14+1,1))</f>
        <v>490.06222615476065</v>
      </c>
      <c r="DU102" s="59">
        <f t="shared" si="98"/>
        <v>310.43914804089906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22.466652264584621</v>
      </c>
      <c r="EB102" s="21">
        <f>EXP(-LN(2)/25)*EB101+(1-EXP(-LN(2)/25))/(LN(2)/25)*Calculateur!DW102*Calculateur!DY102*VLOOKUP('Données projet'!$B$14,Paramètres!$A$1:$I$89,3,0)*0.475*44/12</f>
        <v>21.013445276162354</v>
      </c>
      <c r="EC102" s="21">
        <f>EXP(-LN(2)/2)*EC101+(1-EXP(-LN(2)/2))/(LN(2)/2)*DW102*DZ102*VLOOKUP('Données projet'!$B$14,Paramètres!$A$1:$I$89,3,0)*0.475*44/12</f>
        <v>0.48229450213915143</v>
      </c>
      <c r="ED102" s="22">
        <f t="shared" si="72"/>
        <v>43.96239204288613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6.7777777777777777</v>
      </c>
      <c r="EJ102" s="12">
        <f>IF('Données projet'!$A$192&gt;35,EJ101+EI102-ER101,IF(A102&lt;'Données projet'!$A$192,$EG$205^A102,IF(A102='Données projet'!$A$192,'Données projet'!$B$192,EJ101+EI102-ER101)))</f>
        <v>237.48111111111098</v>
      </c>
      <c r="EK102" s="17">
        <f>EJ102*VLOOKUP('Données projet'!$B$15,Paramètres!$A$1:$I$89,3,0)*VLOOKUP('Données projet'!$B$15,Paramètres!$A$1:$I$89,5,0)</f>
        <v>240.80584666666655</v>
      </c>
      <c r="EL102" s="13">
        <f t="shared" si="99"/>
        <v>58.612878478503731</v>
      </c>
      <c r="EM102" s="20">
        <f t="shared" si="73"/>
        <v>521.48761296117152</v>
      </c>
      <c r="EN102" s="59">
        <f t="shared" si="74"/>
        <v>814.82094629450489</v>
      </c>
      <c r="EO102" s="59">
        <f ca="1">AVERAGE(OFFSET($EN$3,0,0,'Données projet'!$E$15+1,1))-AVERAGE(OFFSET($H$3,0,0,'Données projet'!$E$15+1,1))</f>
        <v>533.26035274112917</v>
      </c>
      <c r="EP102" s="59">
        <f t="shared" si="100"/>
        <v>262.58149402282521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11.472627683502076</v>
      </c>
      <c r="EW102" s="21">
        <f>EXP(-LN(2)/25)*EW101+(1-EXP(-LN(2)/25))/(LN(2)/25)*Calculateur!ER102*Calculateur!ET102*VLOOKUP('Données projet'!$B$15,Paramètres!$A$1:$I$89,3,0)*0.475*44/12</f>
        <v>29.776741005960218</v>
      </c>
      <c r="EX102" s="21">
        <f>EXP(-LN(2)/2)*EX101+(1-EXP(-LN(2)/2))/(LN(2)/2)*ER102*EU102*VLOOKUP('Données projet'!$B$15,Paramètres!$A$1:$I$89,3,0)*0.475*44/12</f>
        <v>1.0524759431931219</v>
      </c>
      <c r="EY102" s="22">
        <f t="shared" si="75"/>
        <v>42.301844632655417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1.9230769230769227</v>
      </c>
      <c r="FE102" s="12">
        <f>IF('Données projet'!$A$218&gt;35,FE101+FD102-FM101,IF(A102&lt;'Données projet'!$A$218,$FB$205^A102,IF(A102='Données projet'!$A$218,'Données projet'!$B$218,FE101+FD102-FM101)))</f>
        <v>141.02564102564102</v>
      </c>
      <c r="FF102" s="17">
        <f>FE102*VLOOKUP('Données projet'!$B$16,Paramètres!$A$1:$I$89,3,0)*VLOOKUP('Données projet'!$B$16,Paramètres!$A$1:$I$89,5,0)</f>
        <v>147.4</v>
      </c>
      <c r="FG102" s="13">
        <f t="shared" si="101"/>
        <v>37.987126351804257</v>
      </c>
      <c r="FH102" s="20">
        <f t="shared" si="76"/>
        <v>322.88257839605905</v>
      </c>
      <c r="FI102" s="59">
        <f t="shared" si="77"/>
        <v>616.21591172939236</v>
      </c>
      <c r="FJ102" s="59">
        <f ca="1">AVERAGE(OFFSET($FI$3,0,0,'Données projet'!$E$16+1,1))-AVERAGE(OFFSET($H$3,0,0,'Données projet'!$E$16+1,1))</f>
        <v>239.26156489359892</v>
      </c>
      <c r="FK102" s="59">
        <f t="shared" si="102"/>
        <v>213.97034450798111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1.8042985465807702</v>
      </c>
      <c r="FR102" s="21">
        <f>EXP(-LN(2)/25)*FR101+(1-EXP(-LN(2)/25))/(LN(2)/25)*Calculateur!FM102*Calculateur!FO102*VLOOKUP('Données projet'!$B$16,Paramètres!$A$1:$I$89,3,0)*0.475*44/12</f>
        <v>13.393942494706547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15.198241041287318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8.9989999999999952</v>
      </c>
      <c r="N103" s="13">
        <f>IF('Données projet'!$A$36&gt;35,N102+M103-V102,IF(A103&lt;'Données projet'!$A$36,$K$205^A103,IF(A103='Données projet'!$A$36,'Données projet'!$B$36,N102+M103-V102)))</f>
        <v>344.40300000000002</v>
      </c>
      <c r="O103" s="13">
        <f>N103*VLOOKUP('Données projet'!$B$9,Paramètres!$A$1:$I$89,3,0)*VLOOKUP('Données projet'!$B$9,Paramètres!$A$1:$I$89,5,0)</f>
        <v>327.73389480000003</v>
      </c>
      <c r="P103" s="13">
        <f t="shared" si="87"/>
        <v>76.960297498116987</v>
      </c>
      <c r="Q103" s="20">
        <f t="shared" si="107"/>
        <v>704.84238491922042</v>
      </c>
      <c r="R103" s="59">
        <f t="shared" si="55"/>
        <v>998.17571825255368</v>
      </c>
      <c r="S103" s="59">
        <f ca="1">AVERAGE(OFFSET($R$3,0,0,'Données projet'!$E$9+1,1))-AVERAGE(OFFSET($H$3,0,0,'Données projet'!$E$9+1,1))</f>
        <v>449.28947235329758</v>
      </c>
      <c r="T103" s="59">
        <f t="shared" si="88"/>
        <v>289.36994109443964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32.293211889166535</v>
      </c>
      <c r="AA103" s="21">
        <f>EXP(-LN(2)/25)*AA102+(1-EXP(-LN(2)/25))/(LN(2)/25)*Calculateur!V103*Calculateur!X103*VLOOKUP('Données projet'!$B$9,Paramètres!$A$1:$I$89,3,0)*0.475*44/12</f>
        <v>21.475081149870036</v>
      </c>
      <c r="AB103" s="21">
        <f>EXP(-LN(2)/2)*AB102+(1-EXP(-LN(2)/2))/(LN(2)/2)*V103*Y103*VLOOKUP('Données projet'!$B$9,Paramètres!$A$1:$I$89,3,0)*0.475*44/12</f>
        <v>1.3113697698714994E-2</v>
      </c>
      <c r="AC103" s="22">
        <f t="shared" si="57"/>
        <v>53.781406736735285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-2.2737367544323206E-13</v>
      </c>
      <c r="AJ103" s="13">
        <f>AI103*VLOOKUP('Données projet'!$B$10,Paramètres!$A$1:$I$89,3,0)*VLOOKUP('Données projet'!$B$10,Paramètres!$A$1:$I$89,5,0)</f>
        <v>-1.3596945791505279E-13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349.71285006949597</v>
      </c>
      <c r="AO103" s="59">
        <f t="shared" si="90"/>
        <v>258.51550516456842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103.14135892586145</v>
      </c>
      <c r="AV103" s="21">
        <f>EXP(-LN(2)/25)*AV102+(1-EXP(-LN(2)/25))/(LN(2)/25)*Calculateur!AQ103*Calculateur!AS103*VLOOKUP('Données projet'!$B$10,Paramètres!$A$1:$I$89,3,0)*0.475*44/12</f>
        <v>29.719337945392084</v>
      </c>
      <c r="AW103" s="21">
        <f>EXP(-LN(2)/2)*AW102+(1-EXP(-LN(2)/2))/(LN(2)/2)*AQ103*AT103*VLOOKUP('Données projet'!$B$10,Paramètres!$A$1:$I$89,3,0)*0.475*44/12</f>
        <v>6.9059221485555378E-2</v>
      </c>
      <c r="AX103" s="21">
        <f t="shared" si="60"/>
        <v>132.9297560927391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1.1368683772161603E-13</v>
      </c>
      <c r="BE103" s="13">
        <f>BD103*VLOOKUP('Données projet'!$B$11,Paramètres!$A$1:$I$89,3,0)*VLOOKUP('Données projet'!$B$11,Paramètres!$A$1:$I$89,5,0)</f>
        <v>6.7984728957526396E-14</v>
      </c>
      <c r="BF103" s="13">
        <f t="shared" si="91"/>
        <v>1.0682447123141398E-12</v>
      </c>
      <c r="BG103" s="20">
        <f t="shared" si="61"/>
        <v>1.978932943548152E-12</v>
      </c>
      <c r="BH103" s="59">
        <f t="shared" si="62"/>
        <v>293.3333333333353</v>
      </c>
      <c r="BI103" s="59">
        <f ca="1">AVERAGE(OFFSET($BH$3,0,0,'Données projet'!$E$11+1,1))-AVERAGE(OFFSET($H$3,0,0,'Données projet'!$E$11+1,1))</f>
        <v>302.00825291248458</v>
      </c>
      <c r="BJ103" s="59">
        <f t="shared" si="92"/>
        <v>307.35115839449355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62.888519091800525</v>
      </c>
      <c r="BQ103" s="21">
        <f>EXP(-LN(2)/25)*BQ102+(1-EXP(-LN(2)/25))/(LN(2)/25)*Calculateur!BL103*Calculateur!BN103*VLOOKUP('Données projet'!$B$11,Paramètres!$A$1:$I$89,3,0)*0.475*44/12</f>
        <v>15.979411597834474</v>
      </c>
      <c r="BR103" s="21">
        <f>EXP(-LN(2)/2)*BR102+(1-EXP(-LN(2)/2))/(LN(2)/2)*BL103*BO103*VLOOKUP('Données projet'!$B$11,Paramètres!$A$1:$I$89,3,0)*0.475*44/12</f>
        <v>5.7183687995294088E-5</v>
      </c>
      <c r="BS103" s="22">
        <f t="shared" si="63"/>
        <v>78.867987873323003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9.1833333333333318</v>
      </c>
      <c r="BY103" s="12">
        <f>IF('Données projet'!$A$114&gt;35,BY102+BX103-CG102,IF(A103&lt;'Données projet'!$A$114,$BV$205^A103,IF(A103='Données projet'!$A$114,'Données projet'!$B$114,BY102+BX103-CG102)))</f>
        <v>388.70999999999992</v>
      </c>
      <c r="BZ103" s="13">
        <f>BY103*VLOOKUP('Données projet'!$B$12,Paramètres!$A$1:$I$89,3,0)*VLOOKUP('Données projet'!$B$12,Paramètres!$A$1:$I$89,5,0)</f>
        <v>181.91627999999997</v>
      </c>
      <c r="CA103" s="13">
        <f t="shared" si="93"/>
        <v>45.748260044655694</v>
      </c>
      <c r="CB103" s="20">
        <f t="shared" si="64"/>
        <v>396.51574057777526</v>
      </c>
      <c r="CC103" s="59">
        <f t="shared" si="65"/>
        <v>689.84907391110858</v>
      </c>
      <c r="CD103" s="59">
        <f ca="1">AVERAGE(OFFSET($CC$3,0,0,'Données projet'!$E$12+1,1))-AVERAGE(OFFSET($H$3,0,0,'Données projet'!$E$12+1,1))</f>
        <v>337.10499990421835</v>
      </c>
      <c r="CE103" s="59">
        <f t="shared" si="94"/>
        <v>277.4254079562175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59.669330338568905</v>
      </c>
      <c r="CL103" s="21">
        <f>EXP(-LN(2)/25)*CL102+(1-EXP(-LN(2)/25))/(LN(2)/25)*Calculateur!CG103*Calculateur!CI103*VLOOKUP('Données projet'!$B$12,Paramètres!$A$1:$I$89,3,0)*0.475*44/12</f>
        <v>21.253116115618013</v>
      </c>
      <c r="CM103" s="21">
        <f>EXP(-LN(2)/2)*CM102+(1-EXP(-LN(2)/2))/(LN(2)/2)*CG103*CJ103*VLOOKUP('Données projet'!$B$12,Paramètres!$A$1:$I$89,3,0)*0.475*44/12</f>
        <v>3.4512712036648638</v>
      </c>
      <c r="CN103" s="22">
        <f t="shared" si="66"/>
        <v>84.37371765785177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6.7777777777777777</v>
      </c>
      <c r="CT103" s="12">
        <f>IF('Données projet'!$A$140&gt;35,CT102+CS103-DB102,IF(A103&lt;'Données projet'!$A$140,$CQ$205^A103,IF(A103='Données projet'!$A$140,'Données projet'!$B$140,CT102+CS103-DB102)))</f>
        <v>244.25888888888875</v>
      </c>
      <c r="CU103" s="17">
        <f>CT103*VLOOKUP('Données projet'!$B$13,Paramètres!$A$1:$I$89,3,0)*VLOOKUP('Données projet'!$B$13,Paramètres!$A$1:$I$89,5,0)</f>
        <v>243.86807466666656</v>
      </c>
      <c r="CV103" s="13">
        <f t="shared" si="95"/>
        <v>59.270989588885712</v>
      </c>
      <c r="CW103" s="20">
        <f t="shared" si="67"/>
        <v>527.96720357842025</v>
      </c>
      <c r="CX103" s="59">
        <f t="shared" si="68"/>
        <v>821.30053691175362</v>
      </c>
      <c r="CY103" s="59">
        <f ca="1">AVERAGE(OFFSET($CX$3,0,0,'Données projet'!$E$13+1,1))-AVERAGE(OFFSET($H$3,0,0,'Données projet'!$E$13+1,1))</f>
        <v>525.74725170626471</v>
      </c>
      <c r="CZ103" s="59">
        <f t="shared" si="96"/>
        <v>259.19103598192197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11.074615583744519</v>
      </c>
      <c r="DG103" s="21">
        <f>EXP(-LN(2)/25)*DG102+(1-EXP(-LN(2)/25))/(LN(2)/25)*Calculateur!DB103*Calculateur!DD103*VLOOKUP('Données projet'!$B$13,Paramètres!$A$1:$I$89,3,0)*0.475*44/12</f>
        <v>28.516917619457463</v>
      </c>
      <c r="DH103" s="21">
        <f>EXP(-LN(2)/2)*DH102+(1-EXP(-LN(2)/2))/(LN(2)/2)*DB103*DE103*VLOOKUP('Données projet'!$B$13,Paramètres!$A$1:$I$89,3,0)*0.475*44/12</f>
        <v>0.73276344759883227</v>
      </c>
      <c r="DI103" s="22">
        <f t="shared" si="69"/>
        <v>40.324296650800818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7.7249999999999996</v>
      </c>
      <c r="DO103" s="12">
        <f>IF('Données projet'!$A$166&gt;35,DO102+DN103-DW102,IF(A103&lt;'Données projet'!$A$166,$DL$205^A103,IF(A103='Données projet'!$A$166,'Données projet'!$B$166,DO102+DN103-DW102)))</f>
        <v>314.53500000000042</v>
      </c>
      <c r="DP103" s="17">
        <f>DO103*VLOOKUP('Données projet'!$B$14,Paramètres!$A$1:$I$89,3,0)*VLOOKUP('Données projet'!$B$14,Paramètres!$A$1:$I$89,5,0)</f>
        <v>284.59126800000041</v>
      </c>
      <c r="DQ103" s="13">
        <f t="shared" si="97"/>
        <v>67.936355441759275</v>
      </c>
      <c r="DR103" s="20">
        <f t="shared" si="70"/>
        <v>613.98561082773153</v>
      </c>
      <c r="DS103" s="59">
        <f t="shared" si="71"/>
        <v>907.31894416106479</v>
      </c>
      <c r="DT103" s="59">
        <f ca="1">AVERAGE(OFFSET($DS$3,0,0,'Données projet'!$E$14+1,1))-AVERAGE(OFFSET($H$3,0,0,'Données projet'!$E$14+1,1))</f>
        <v>490.06222615476065</v>
      </c>
      <c r="DU103" s="59">
        <f t="shared" si="98"/>
        <v>310.43914804089906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22.026094916980909</v>
      </c>
      <c r="EB103" s="21">
        <f>EXP(-LN(2)/25)*EB102+(1-EXP(-LN(2)/25))/(LN(2)/25)*Calculateur!DW103*Calculateur!DY103*VLOOKUP('Données projet'!$B$14,Paramètres!$A$1:$I$89,3,0)*0.475*44/12</f>
        <v>20.438831510036636</v>
      </c>
      <c r="EC103" s="21">
        <f>EXP(-LN(2)/2)*EC102+(1-EXP(-LN(2)/2))/(LN(2)/2)*DW103*DZ103*VLOOKUP('Données projet'!$B$14,Paramètres!$A$1:$I$89,3,0)*0.475*44/12</f>
        <v>0.34103371299158386</v>
      </c>
      <c r="ED103" s="22">
        <f t="shared" si="72"/>
        <v>42.805960140009127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6.7777777777777777</v>
      </c>
      <c r="EJ103" s="12">
        <f>IF('Données projet'!$A$192&gt;35,EJ102+EI103-ER102,IF(A103&lt;'Données projet'!$A$192,$EG$205^A103,IF(A103='Données projet'!$A$192,'Données projet'!$B$192,EJ102+EI103-ER102)))</f>
        <v>244.25888888888875</v>
      </c>
      <c r="EK103" s="17">
        <f>EJ103*VLOOKUP('Données projet'!$B$15,Paramètres!$A$1:$I$89,3,0)*VLOOKUP('Données projet'!$B$15,Paramètres!$A$1:$I$89,5,0)</f>
        <v>247.6785133333332</v>
      </c>
      <c r="EL103" s="13">
        <f t="shared" si="99"/>
        <v>60.088559829649782</v>
      </c>
      <c r="EM103" s="20">
        <f t="shared" si="73"/>
        <v>536.02765242552857</v>
      </c>
      <c r="EN103" s="59">
        <f t="shared" si="74"/>
        <v>829.36098575886194</v>
      </c>
      <c r="EO103" s="59">
        <f ca="1">AVERAGE(OFFSET($EN$3,0,0,'Données projet'!$E$15+1,1))-AVERAGE(OFFSET($H$3,0,0,'Données projet'!$E$15+1,1))</f>
        <v>533.26035274112917</v>
      </c>
      <c r="EP103" s="59">
        <f t="shared" si="100"/>
        <v>262.58149402282521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11.24765645224053</v>
      </c>
      <c r="EW103" s="21">
        <f>EXP(-LN(2)/25)*EW102+(1-EXP(-LN(2)/25))/(LN(2)/25)*Calculateur!ER103*Calculateur!ET103*VLOOKUP('Données projet'!$B$15,Paramètres!$A$1:$I$89,3,0)*0.475*44/12</f>
        <v>28.962494457261482</v>
      </c>
      <c r="EX103" s="21">
        <f>EXP(-LN(2)/2)*EX102+(1-EXP(-LN(2)/2))/(LN(2)/2)*ER103*EU103*VLOOKUP('Données projet'!$B$15,Paramètres!$A$1:$I$89,3,0)*0.475*44/12</f>
        <v>0.74421287646756407</v>
      </c>
      <c r="EY103" s="22">
        <f t="shared" si="75"/>
        <v>40.954363785969576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142.94871794871796</v>
      </c>
      <c r="FC103" s="12">
        <f>VLOOKUP(A103,'Données projet'!$A$217:$I$237,9,0)</f>
        <v>1.9230769230769227</v>
      </c>
      <c r="FD103" s="12">
        <f t="array" ref="FD103">INDEX(FC:FC,MIN(IF(ISNUMBER(FC103:FC299),ROW(FC103:FC299),"")))</f>
        <v>1.9230769230769227</v>
      </c>
      <c r="FE103" s="12">
        <f>IF('Données projet'!$A$218&gt;35,FE102+FD103-FM102,IF(A103&lt;'Données projet'!$A$218,$FB$205^A103,IF(A103='Données projet'!$A$218,'Données projet'!$B$218,FE102+FD103-FM102)))</f>
        <v>142.94871794871796</v>
      </c>
      <c r="FF103" s="17">
        <f>FE103*VLOOKUP('Données projet'!$B$16,Paramètres!$A$1:$I$89,3,0)*VLOOKUP('Données projet'!$B$16,Paramètres!$A$1:$I$89,5,0)</f>
        <v>149.41000000000003</v>
      </c>
      <c r="FG103" s="13">
        <f t="shared" si="101"/>
        <v>38.444475265192452</v>
      </c>
      <c r="FH103" s="20">
        <f t="shared" si="76"/>
        <v>327.17987775354362</v>
      </c>
      <c r="FI103" s="59">
        <f t="shared" si="77"/>
        <v>620.51321108687694</v>
      </c>
      <c r="FJ103" s="59">
        <f ca="1">AVERAGE(OFFSET($FI$3,0,0,'Données projet'!$E$16+1,1))-AVERAGE(OFFSET($H$3,0,0,'Données projet'!$E$16+1,1))</f>
        <v>239.26156489359892</v>
      </c>
      <c r="FK103" s="59">
        <f t="shared" si="102"/>
        <v>213.97034450798111</v>
      </c>
      <c r="FL103" s="15">
        <f>IF(ISNA(VLOOKUP(A103,'Données projet'!$A$217:$I$237,3,0)),0,VLOOKUP(A103,'Données projet'!$A$217:$I$237,3,0))</f>
        <v>17</v>
      </c>
      <c r="FM103" s="15">
        <f>IF(ISNA(VLOOKUP(A103,'Données projet'!$A$217:$I$237,4,0)),0,VLOOKUP(A103,'Données projet'!$A$217:$I$237,4,0))</f>
        <v>142.94871794871796</v>
      </c>
      <c r="FN103" s="16">
        <f>IF(ISNA(VLOOKUP(A103,'Données projet'!$A$217:$I$237,5,0)),0%,VLOOKUP(A103,'Données projet'!$A$217:$I$237,5,0)*VLOOKUP('Données projet'!$B$16,Paramètres!$A$1:$I$89,7,0))</f>
        <v>4.3000000000000003E-2</v>
      </c>
      <c r="FO103" s="16">
        <f>IF(ISNA(VLOOKUP(A103,'Données projet'!$A$217:$I$237,6,0)),0%,VLOOKUP(A103,'Données projet'!$A$217:$I$237,6,0)*VLOOKUP('Données projet'!$B$16,Paramètres!$A$1:$I$89,7,0))</f>
        <v>0.215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8.8711555170545484</v>
      </c>
      <c r="FR103" s="21">
        <f>EXP(-LN(2)/25)*FR102+(1-EXP(-LN(2)/25))/(LN(2)/25)*Calculateur!FM103*Calculateur!FO103*VLOOKUP('Données projet'!$B$16,Paramètres!$A$1:$I$89,3,0)*0.475*44/12</f>
        <v>48.399054166033999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57.270209683088545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8.9989999999999952</v>
      </c>
      <c r="N104" s="13">
        <f>IF('Données projet'!$A$36&gt;35,N103+M104-V103,IF(A104&lt;'Données projet'!$A$36,$K$205^A104,IF(A104='Données projet'!$A$36,'Données projet'!$B$36,N103+M104-V103)))</f>
        <v>353.40200000000004</v>
      </c>
      <c r="O104" s="13">
        <f>N104*VLOOKUP('Données projet'!$B$9,Paramètres!$A$1:$I$89,3,0)*VLOOKUP('Données projet'!$B$9,Paramètres!$A$1:$I$89,5,0)</f>
        <v>336.29734320000006</v>
      </c>
      <c r="P104" s="13">
        <f t="shared" si="87"/>
        <v>78.734467249723195</v>
      </c>
      <c r="Q104" s="20">
        <f t="shared" si="107"/>
        <v>722.84706986660137</v>
      </c>
      <c r="R104" s="59">
        <f t="shared" si="55"/>
        <v>1016.1804031999347</v>
      </c>
      <c r="S104" s="59">
        <f ca="1">AVERAGE(OFFSET($R$3,0,0,'Données projet'!$E$9+1,1))-AVERAGE(OFFSET($H$3,0,0,'Données projet'!$E$9+1,1))</f>
        <v>449.28947235329758</v>
      </c>
      <c r="T104" s="59">
        <f t="shared" si="88"/>
        <v>289.36994109443964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31.659961700934325</v>
      </c>
      <c r="AA104" s="21">
        <f>EXP(-LN(2)/25)*AA103+(1-EXP(-LN(2)/25))/(LN(2)/25)*Calculateur!V104*Calculateur!X104*VLOOKUP('Données projet'!$B$9,Paramètres!$A$1:$I$89,3,0)*0.475*44/12</f>
        <v>20.887843926501404</v>
      </c>
      <c r="AB104" s="21">
        <f>EXP(-LN(2)/2)*AB103+(1-EXP(-LN(2)/2))/(LN(2)/2)*V104*Y104*VLOOKUP('Données projet'!$B$9,Paramètres!$A$1:$I$89,3,0)*0.475*44/12</f>
        <v>9.2727845691917953E-3</v>
      </c>
      <c r="AC104" s="22">
        <f t="shared" si="57"/>
        <v>52.55707841200492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-2.2737367544323206E-13</v>
      </c>
      <c r="AJ104" s="13">
        <f>AI104*VLOOKUP('Données projet'!$B$10,Paramètres!$A$1:$I$89,3,0)*VLOOKUP('Données projet'!$B$10,Paramètres!$A$1:$I$89,5,0)</f>
        <v>-1.3596945791505279E-13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349.71285006949597</v>
      </c>
      <c r="AO104" s="59">
        <f t="shared" si="90"/>
        <v>258.51550516456842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101.1188197873424</v>
      </c>
      <c r="AV104" s="21">
        <f>EXP(-LN(2)/25)*AV103+(1-EXP(-LN(2)/25))/(LN(2)/25)*Calculateur!AQ104*Calculateur!AS104*VLOOKUP('Données projet'!$B$10,Paramètres!$A$1:$I$89,3,0)*0.475*44/12</f>
        <v>28.906661086403279</v>
      </c>
      <c r="AW104" s="21">
        <f>EXP(-LN(2)/2)*AW103+(1-EXP(-LN(2)/2))/(LN(2)/2)*AQ104*AT104*VLOOKUP('Données projet'!$B$10,Paramètres!$A$1:$I$89,3,0)*0.475*44/12</f>
        <v>4.8832243815899928E-2</v>
      </c>
      <c r="AX104" s="21">
        <f t="shared" si="60"/>
        <v>130.07431311756159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1.1368683772161603E-13</v>
      </c>
      <c r="BE104" s="13">
        <f>BD104*VLOOKUP('Données projet'!$B$11,Paramètres!$A$1:$I$89,3,0)*VLOOKUP('Données projet'!$B$11,Paramètres!$A$1:$I$89,5,0)</f>
        <v>6.7984728957526396E-14</v>
      </c>
      <c r="BF104" s="13">
        <f t="shared" si="91"/>
        <v>1.0682447123141398E-12</v>
      </c>
      <c r="BG104" s="20">
        <f t="shared" si="61"/>
        <v>1.978932943548152E-12</v>
      </c>
      <c r="BH104" s="59">
        <f t="shared" si="62"/>
        <v>293.3333333333353</v>
      </c>
      <c r="BI104" s="59">
        <f ca="1">AVERAGE(OFFSET($BH$3,0,0,'Données projet'!$E$11+1,1))-AVERAGE(OFFSET($H$3,0,0,'Données projet'!$E$11+1,1))</f>
        <v>302.00825291248458</v>
      </c>
      <c r="BJ104" s="59">
        <f t="shared" si="92"/>
        <v>307.35115839449355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61.655313590619407</v>
      </c>
      <c r="BQ104" s="21">
        <f>EXP(-LN(2)/25)*BQ103+(1-EXP(-LN(2)/25))/(LN(2)/25)*Calculateur!BL104*Calculateur!BN104*VLOOKUP('Données projet'!$B$11,Paramètres!$A$1:$I$89,3,0)*0.475*44/12</f>
        <v>15.542453747370956</v>
      </c>
      <c r="BR104" s="21">
        <f>EXP(-LN(2)/2)*BR103+(1-EXP(-LN(2)/2))/(LN(2)/2)*BL104*BO104*VLOOKUP('Données projet'!$B$11,Paramètres!$A$1:$I$89,3,0)*0.475*44/12</f>
        <v>4.0434973554728221E-5</v>
      </c>
      <c r="BS104" s="22">
        <f t="shared" si="63"/>
        <v>77.197807772963927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9.1833333333333318</v>
      </c>
      <c r="BY104" s="12">
        <f>IF('Données projet'!$A$114&gt;35,BY103+BX104-CG103,IF(A104&lt;'Données projet'!$A$114,$BV$205^A104,IF(A104='Données projet'!$A$114,'Données projet'!$B$114,BY103+BX104-CG103)))</f>
        <v>397.89333333333326</v>
      </c>
      <c r="BZ104" s="13">
        <f>BY104*VLOOKUP('Données projet'!$B$12,Paramètres!$A$1:$I$89,3,0)*VLOOKUP('Données projet'!$B$12,Paramètres!$A$1:$I$89,5,0)</f>
        <v>186.21407999999997</v>
      </c>
      <c r="CA104" s="13">
        <f t="shared" si="93"/>
        <v>46.70196174472121</v>
      </c>
      <c r="CB104" s="20">
        <f t="shared" si="64"/>
        <v>405.6621060387227</v>
      </c>
      <c r="CC104" s="59">
        <f t="shared" si="65"/>
        <v>698.99543937205601</v>
      </c>
      <c r="CD104" s="59">
        <f ca="1">AVERAGE(OFFSET($CC$3,0,0,'Données projet'!$E$12+1,1))-AVERAGE(OFFSET($H$3,0,0,'Données projet'!$E$12+1,1))</f>
        <v>337.10499990421835</v>
      </c>
      <c r="CE104" s="59">
        <f t="shared" si="94"/>
        <v>277.4254079562175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58.499251165327401</v>
      </c>
      <c r="CL104" s="21">
        <f>EXP(-LN(2)/25)*CL103+(1-EXP(-LN(2)/25))/(LN(2)/25)*Calculateur!CG104*Calculateur!CI104*VLOOKUP('Données projet'!$B$12,Paramètres!$A$1:$I$89,3,0)*0.475*44/12</f>
        <v>20.671948537783638</v>
      </c>
      <c r="CM104" s="21">
        <f>EXP(-LN(2)/2)*CM103+(1-EXP(-LN(2)/2))/(LN(2)/2)*CG104*CJ104*VLOOKUP('Données projet'!$B$12,Paramètres!$A$1:$I$89,3,0)*0.475*44/12</f>
        <v>2.4404172718252837</v>
      </c>
      <c r="CN104" s="22">
        <f t="shared" si="66"/>
        <v>81.611616974936325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6.7777777777777777</v>
      </c>
      <c r="CT104" s="12">
        <f>IF('Données projet'!$A$140&gt;35,CT103+CS104-DB103,IF(A104&lt;'Données projet'!$A$140,$CQ$205^A104,IF(A104='Données projet'!$A$140,'Données projet'!$B$140,CT103+CS104-DB103)))</f>
        <v>251.03666666666652</v>
      </c>
      <c r="CU104" s="17">
        <f>CT104*VLOOKUP('Données projet'!$B$13,Paramètres!$A$1:$I$89,3,0)*VLOOKUP('Données projet'!$B$13,Paramètres!$A$1:$I$89,5,0)</f>
        <v>250.63500799999989</v>
      </c>
      <c r="CV104" s="13">
        <f t="shared" si="95"/>
        <v>60.7218981757145</v>
      </c>
      <c r="CW104" s="20">
        <f t="shared" si="67"/>
        <v>542.2799449227025</v>
      </c>
      <c r="CX104" s="59">
        <f t="shared" si="68"/>
        <v>835.61327825603576</v>
      </c>
      <c r="CY104" s="59">
        <f ca="1">AVERAGE(OFFSET($CX$3,0,0,'Données projet'!$E$13+1,1))-AVERAGE(OFFSET($H$3,0,0,'Données projet'!$E$13+1,1))</f>
        <v>525.74725170626471</v>
      </c>
      <c r="CZ104" s="59">
        <f t="shared" si="96"/>
        <v>259.19103598192197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10.857449126995808</v>
      </c>
      <c r="DG104" s="21">
        <f>EXP(-LN(2)/25)*DG103+(1-EXP(-LN(2)/25))/(LN(2)/25)*Calculateur!DB104*Calculateur!DD104*VLOOKUP('Données projet'!$B$13,Paramètres!$A$1:$I$89,3,0)*0.475*44/12</f>
        <v>27.737121007513878</v>
      </c>
      <c r="DH104" s="21">
        <f>EXP(-LN(2)/2)*DH103+(1-EXP(-LN(2)/2))/(LN(2)/2)*DB104*DE104*VLOOKUP('Données projet'!$B$13,Paramètres!$A$1:$I$89,3,0)*0.475*44/12</f>
        <v>0.51814200280276768</v>
      </c>
      <c r="DI104" s="22">
        <f t="shared" si="69"/>
        <v>39.112712137312457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7.7249999999999996</v>
      </c>
      <c r="DO104" s="12">
        <f>IF('Données projet'!$A$166&gt;35,DO103+DN104-DW103,IF(A104&lt;'Données projet'!$A$166,$DL$205^A104,IF(A104='Données projet'!$A$166,'Données projet'!$B$166,DO103+DN104-DW103)))</f>
        <v>322.26000000000045</v>
      </c>
      <c r="DP104" s="17">
        <f>DO104*VLOOKUP('Données projet'!$B$14,Paramètres!$A$1:$I$89,3,0)*VLOOKUP('Données projet'!$B$14,Paramètres!$A$1:$I$89,5,0)</f>
        <v>291.5808480000004</v>
      </c>
      <c r="DQ104" s="13">
        <f t="shared" si="97"/>
        <v>69.408572506835355</v>
      </c>
      <c r="DR104" s="20">
        <f t="shared" si="70"/>
        <v>628.72324071607227</v>
      </c>
      <c r="DS104" s="59">
        <f t="shared" si="71"/>
        <v>922.05657404940553</v>
      </c>
      <c r="DT104" s="59">
        <f ca="1">AVERAGE(OFFSET($DS$3,0,0,'Données projet'!$E$14+1,1))-AVERAGE(OFFSET($H$3,0,0,'Données projet'!$E$14+1,1))</f>
        <v>490.06222615476065</v>
      </c>
      <c r="DU104" s="59">
        <f t="shared" si="98"/>
        <v>310.43914804089906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21.594176630250256</v>
      </c>
      <c r="EB104" s="21">
        <f>EXP(-LN(2)/25)*EB103+(1-EXP(-LN(2)/25))/(LN(2)/25)*Calculateur!DW104*Calculateur!DY104*VLOOKUP('Données projet'!$B$14,Paramètres!$A$1:$I$89,3,0)*0.475*44/12</f>
        <v>19.879930587563248</v>
      </c>
      <c r="EC104" s="21">
        <f>EXP(-LN(2)/2)*EC103+(1-EXP(-LN(2)/2))/(LN(2)/2)*DW104*DZ104*VLOOKUP('Données projet'!$B$14,Paramètres!$A$1:$I$89,3,0)*0.475*44/12</f>
        <v>0.24114725106957574</v>
      </c>
      <c r="ED104" s="22">
        <f t="shared" si="72"/>
        <v>41.715254468883082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6.7777777777777777</v>
      </c>
      <c r="EJ104" s="12">
        <f>IF('Données projet'!$A$192&gt;35,EJ103+EI104-ER103,IF(A104&lt;'Données projet'!$A$192,$EG$205^A104,IF(A104='Données projet'!$A$192,'Données projet'!$B$192,EJ103+EI104-ER103)))</f>
        <v>251.03666666666652</v>
      </c>
      <c r="EK104" s="17">
        <f>EJ104*VLOOKUP('Données projet'!$B$15,Paramètres!$A$1:$I$89,3,0)*VLOOKUP('Données projet'!$B$15,Paramètres!$A$1:$I$89,5,0)</f>
        <v>254.55117999999987</v>
      </c>
      <c r="EL104" s="13">
        <f t="shared" si="99"/>
        <v>61.55948191196579</v>
      </c>
      <c r="EM104" s="20">
        <f t="shared" si="73"/>
        <v>550.55940283000689</v>
      </c>
      <c r="EN104" s="59">
        <f t="shared" si="74"/>
        <v>843.89273616334026</v>
      </c>
      <c r="EO104" s="59">
        <f ca="1">AVERAGE(OFFSET($EN$3,0,0,'Données projet'!$E$15+1,1))-AVERAGE(OFFSET($H$3,0,0,'Données projet'!$E$15+1,1))</f>
        <v>533.26035274112917</v>
      </c>
      <c r="EP104" s="59">
        <f t="shared" si="100"/>
        <v>262.58149402282521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11.027096769605121</v>
      </c>
      <c r="EW104" s="21">
        <f>EXP(-LN(2)/25)*EW103+(1-EXP(-LN(2)/25))/(LN(2)/25)*Calculateur!ER104*Calculateur!ET104*VLOOKUP('Données projet'!$B$15,Paramètres!$A$1:$I$89,3,0)*0.475*44/12</f>
        <v>28.170513523256279</v>
      </c>
      <c r="EX104" s="21">
        <f>EXP(-LN(2)/2)*EX103+(1-EXP(-LN(2)/2))/(LN(2)/2)*ER104*EU104*VLOOKUP('Données projet'!$B$15,Paramètres!$A$1:$I$89,3,0)*0.475*44/12</f>
        <v>0.52623797159656094</v>
      </c>
      <c r="EY104" s="22">
        <f t="shared" si="75"/>
        <v>39.723848264457956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239.26156489359892</v>
      </c>
      <c r="FK104" s="59">
        <f t="shared" si="102"/>
        <v>213.97034450798111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8.6971975682356959</v>
      </c>
      <c r="FR104" s="21">
        <f>EXP(-LN(2)/25)*FR103+(1-EXP(-LN(2)/25))/(LN(2)/25)*Calculateur!FM104*Calculateur!FO104*VLOOKUP('Données projet'!$B$16,Paramètres!$A$1:$I$89,3,0)*0.475*44/12</f>
        <v>47.075579484668161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55.772777052903855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8.9989999999999952</v>
      </c>
      <c r="N105" s="13">
        <f>IF('Données projet'!$A$36&gt;35,N104+M105-V104,IF(A105&lt;'Données projet'!$A$36,$K$205^A105,IF(A105='Données projet'!$A$36,'Données projet'!$B$36,N104+M105-V104)))</f>
        <v>362.40100000000007</v>
      </c>
      <c r="O105" s="13">
        <f>N105*VLOOKUP('Données projet'!$B$9,Paramètres!$A$1:$I$89,3,0)*VLOOKUP('Données projet'!$B$9,Paramètres!$A$1:$I$89,5,0)</f>
        <v>344.86079160000008</v>
      </c>
      <c r="P105" s="13">
        <f t="shared" si="87"/>
        <v>80.503385547683365</v>
      </c>
      <c r="Q105" s="20">
        <f t="shared" si="107"/>
        <v>740.84260853221531</v>
      </c>
      <c r="R105" s="59">
        <f t="shared" si="55"/>
        <v>1034.1759418655486</v>
      </c>
      <c r="S105" s="59">
        <f ca="1">AVERAGE(OFFSET($R$3,0,0,'Données projet'!$E$9+1,1))-AVERAGE(OFFSET($H$3,0,0,'Données projet'!$E$9+1,1))</f>
        <v>449.28947235329758</v>
      </c>
      <c r="T105" s="59">
        <f t="shared" si="88"/>
        <v>289.36994109443964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31.039129162648869</v>
      </c>
      <c r="AA105" s="21">
        <f>EXP(-LN(2)/25)*AA104+(1-EXP(-LN(2)/25))/(LN(2)/25)*Calculateur!V105*Calculateur!X105*VLOOKUP('Données projet'!$B$9,Paramètres!$A$1:$I$89,3,0)*0.475*44/12</f>
        <v>20.316664735887251</v>
      </c>
      <c r="AB105" s="21">
        <f>EXP(-LN(2)/2)*AB104+(1-EXP(-LN(2)/2))/(LN(2)/2)*V105*Y105*VLOOKUP('Données projet'!$B$9,Paramètres!$A$1:$I$89,3,0)*0.475*44/12</f>
        <v>6.5568488493574972E-3</v>
      </c>
      <c r="AC105" s="22">
        <f t="shared" si="57"/>
        <v>51.362350747385477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-2.2737367544323206E-13</v>
      </c>
      <c r="AJ105" s="13">
        <f>AI105*VLOOKUP('Données projet'!$B$10,Paramètres!$A$1:$I$89,3,0)*VLOOKUP('Données projet'!$B$10,Paramètres!$A$1:$I$89,5,0)</f>
        <v>-1.3596945791505279E-13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349.71285006949597</v>
      </c>
      <c r="AO105" s="59">
        <f t="shared" si="90"/>
        <v>258.51550516456842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99.135941407702646</v>
      </c>
      <c r="AV105" s="21">
        <f>EXP(-LN(2)/25)*AV104+(1-EXP(-LN(2)/25))/(LN(2)/25)*Calculateur!AQ105*Calculateur!AS105*VLOOKUP('Données projet'!$B$10,Paramètres!$A$1:$I$89,3,0)*0.475*44/12</f>
        <v>28.116206918860343</v>
      </c>
      <c r="AW105" s="21">
        <f>EXP(-LN(2)/2)*AW104+(1-EXP(-LN(2)/2))/(LN(2)/2)*AQ105*AT105*VLOOKUP('Données projet'!$B$10,Paramètres!$A$1:$I$89,3,0)*0.475*44/12</f>
        <v>3.4529610742777689E-2</v>
      </c>
      <c r="AX105" s="21">
        <f t="shared" si="60"/>
        <v>127.28667793730577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1.1368683772161603E-13</v>
      </c>
      <c r="BE105" s="13">
        <f>BD105*VLOOKUP('Données projet'!$B$11,Paramètres!$A$1:$I$89,3,0)*VLOOKUP('Données projet'!$B$11,Paramètres!$A$1:$I$89,5,0)</f>
        <v>6.7984728957526396E-14</v>
      </c>
      <c r="BF105" s="13">
        <f t="shared" si="91"/>
        <v>1.0682447123141398E-12</v>
      </c>
      <c r="BG105" s="20">
        <f t="shared" si="61"/>
        <v>1.978932943548152E-12</v>
      </c>
      <c r="BH105" s="59">
        <f t="shared" si="62"/>
        <v>293.3333333333353</v>
      </c>
      <c r="BI105" s="59">
        <f ca="1">AVERAGE(OFFSET($BH$3,0,0,'Données projet'!$E$11+1,1))-AVERAGE(OFFSET($H$3,0,0,'Données projet'!$E$11+1,1))</f>
        <v>302.00825291248458</v>
      </c>
      <c r="BJ105" s="59">
        <f t="shared" si="92"/>
        <v>307.35115839449355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60.446290497135365</v>
      </c>
      <c r="BQ105" s="21">
        <f>EXP(-LN(2)/25)*BQ104+(1-EXP(-LN(2)/25))/(LN(2)/25)*Calculateur!BL105*Calculateur!BN105*VLOOKUP('Données projet'!$B$11,Paramètres!$A$1:$I$89,3,0)*0.475*44/12</f>
        <v>15.117444532306978</v>
      </c>
      <c r="BR105" s="21">
        <f>EXP(-LN(2)/2)*BR104+(1-EXP(-LN(2)/2))/(LN(2)/2)*BL105*BO105*VLOOKUP('Données projet'!$B$11,Paramètres!$A$1:$I$89,3,0)*0.475*44/12</f>
        <v>2.8591843997647044E-5</v>
      </c>
      <c r="BS105" s="22">
        <f t="shared" si="63"/>
        <v>75.563763621286341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9.1833333333333318</v>
      </c>
      <c r="BY105" s="12">
        <f>IF('Données projet'!$A$114&gt;35,BY104+BX105-CG104,IF(A105&lt;'Données projet'!$A$114,$BV$205^A105,IF(A105='Données projet'!$A$114,'Données projet'!$B$114,BY104+BX105-CG104)))</f>
        <v>407.0766666666666</v>
      </c>
      <c r="BZ105" s="13">
        <f>BY105*VLOOKUP('Données projet'!$B$12,Paramètres!$A$1:$I$89,3,0)*VLOOKUP('Données projet'!$B$12,Paramètres!$A$1:$I$89,5,0)</f>
        <v>190.51187999999996</v>
      </c>
      <c r="CA105" s="13">
        <f t="shared" si="93"/>
        <v>47.653104524596984</v>
      </c>
      <c r="CB105" s="20">
        <f t="shared" si="64"/>
        <v>414.80401471367298</v>
      </c>
      <c r="CC105" s="59">
        <f t="shared" si="65"/>
        <v>708.1373480470063</v>
      </c>
      <c r="CD105" s="59">
        <f ca="1">AVERAGE(OFFSET($CC$3,0,0,'Données projet'!$E$12+1,1))-AVERAGE(OFFSET($H$3,0,0,'Données projet'!$E$12+1,1))</f>
        <v>337.10499990421835</v>
      </c>
      <c r="CE105" s="59">
        <f t="shared" si="94"/>
        <v>277.4254079562175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57.352116530995332</v>
      </c>
      <c r="CL105" s="21">
        <f>EXP(-LN(2)/25)*CL104+(1-EXP(-LN(2)/25))/(LN(2)/25)*Calculateur!CG105*Calculateur!CI105*VLOOKUP('Données projet'!$B$12,Paramètres!$A$1:$I$89,3,0)*0.475*44/12</f>
        <v>20.106673017927417</v>
      </c>
      <c r="CM105" s="21">
        <f>EXP(-LN(2)/2)*CM104+(1-EXP(-LN(2)/2))/(LN(2)/2)*CG105*CJ105*VLOOKUP('Données projet'!$B$12,Paramètres!$A$1:$I$89,3,0)*0.475*44/12</f>
        <v>1.7256356018324321</v>
      </c>
      <c r="CN105" s="22">
        <f t="shared" si="66"/>
        <v>79.184425150755189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6.7777777777777777</v>
      </c>
      <c r="CT105" s="12">
        <f>IF('Données projet'!$A$140&gt;35,CT104+CS105-DB104,IF(A105&lt;'Données projet'!$A$140,$CQ$205^A105,IF(A105='Données projet'!$A$140,'Données projet'!$B$140,CT104+CS105-DB104)))</f>
        <v>257.81444444444429</v>
      </c>
      <c r="CU105" s="17">
        <f>CT105*VLOOKUP('Données projet'!$B$13,Paramètres!$A$1:$I$89,3,0)*VLOOKUP('Données projet'!$B$13,Paramètres!$A$1:$I$89,5,0)</f>
        <v>257.40194133333318</v>
      </c>
      <c r="CV105" s="13">
        <f t="shared" si="95"/>
        <v>62.168253562754337</v>
      </c>
      <c r="CW105" s="20">
        <f t="shared" si="67"/>
        <v>556.5847561106857</v>
      </c>
      <c r="CX105" s="59">
        <f t="shared" si="68"/>
        <v>849.91808944401896</v>
      </c>
      <c r="CY105" s="59">
        <f ca="1">AVERAGE(OFFSET($CX$3,0,0,'Données projet'!$E$13+1,1))-AVERAGE(OFFSET($H$3,0,0,'Données projet'!$E$13+1,1))</f>
        <v>525.74725170626471</v>
      </c>
      <c r="CZ105" s="59">
        <f t="shared" si="96"/>
        <v>259.19103598192197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10.644541172005482</v>
      </c>
      <c r="DG105" s="21">
        <f>EXP(-LN(2)/25)*DG104+(1-EXP(-LN(2)/25))/(LN(2)/25)*Calculateur!DB105*Calculateur!DD105*VLOOKUP('Données projet'!$B$13,Paramètres!$A$1:$I$89,3,0)*0.475*44/12</f>
        <v>26.978647974931611</v>
      </c>
      <c r="DH105" s="21">
        <f>EXP(-LN(2)/2)*DH104+(1-EXP(-LN(2)/2))/(LN(2)/2)*DB105*DE105*VLOOKUP('Données projet'!$B$13,Paramètres!$A$1:$I$89,3,0)*0.475*44/12</f>
        <v>0.36638172379941614</v>
      </c>
      <c r="DI105" s="22">
        <f t="shared" si="69"/>
        <v>37.989570870736507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7.7249999999999996</v>
      </c>
      <c r="DO105" s="12">
        <f>IF('Données projet'!$A$166&gt;35,DO104+DN105-DW104,IF(A105&lt;'Données projet'!$A$166,$DL$205^A105,IF(A105='Données projet'!$A$166,'Données projet'!$B$166,DO104+DN105-DW104)))</f>
        <v>329.98500000000047</v>
      </c>
      <c r="DP105" s="17">
        <f>DO105*VLOOKUP('Données projet'!$B$14,Paramètres!$A$1:$I$89,3,0)*VLOOKUP('Données projet'!$B$14,Paramètres!$A$1:$I$89,5,0)</f>
        <v>298.57042800000039</v>
      </c>
      <c r="DQ105" s="13">
        <f t="shared" si="97"/>
        <v>70.876687010255509</v>
      </c>
      <c r="DR105" s="20">
        <f t="shared" si="70"/>
        <v>643.45372530952898</v>
      </c>
      <c r="DS105" s="59">
        <f t="shared" si="71"/>
        <v>936.78705864286235</v>
      </c>
      <c r="DT105" s="59">
        <f ca="1">AVERAGE(OFFSET($DS$3,0,0,'Données projet'!$E$14+1,1))-AVERAGE(OFFSET($H$3,0,0,'Données projet'!$E$14+1,1))</f>
        <v>490.06222615476065</v>
      </c>
      <c r="DU105" s="59">
        <f t="shared" si="98"/>
        <v>310.43914804089906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21.170727997678252</v>
      </c>
      <c r="EB105" s="21">
        <f>EXP(-LN(2)/25)*EB104+(1-EXP(-LN(2)/25))/(LN(2)/25)*Calculateur!DW105*Calculateur!DY105*VLOOKUP('Données projet'!$B$14,Paramètres!$A$1:$I$89,3,0)*0.475*44/12</f>
        <v>19.336312840206219</v>
      </c>
      <c r="EC105" s="21">
        <f>EXP(-LN(2)/2)*EC104+(1-EXP(-LN(2)/2))/(LN(2)/2)*DW105*DZ105*VLOOKUP('Données projet'!$B$14,Paramètres!$A$1:$I$89,3,0)*0.475*44/12</f>
        <v>0.17051685649579196</v>
      </c>
      <c r="ED105" s="22">
        <f t="shared" si="72"/>
        <v>40.677557694380269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6.7777777777777777</v>
      </c>
      <c r="EJ105" s="12">
        <f>IF('Données projet'!$A$192&gt;35,EJ104+EI105-ER104,IF(A105&lt;'Données projet'!$A$192,$EG$205^A105,IF(A105='Données projet'!$A$192,'Données projet'!$B$192,EJ104+EI105-ER104)))</f>
        <v>257.81444444444429</v>
      </c>
      <c r="EK105" s="17">
        <f>EJ105*VLOOKUP('Données projet'!$B$15,Paramètres!$A$1:$I$89,3,0)*VLOOKUP('Données projet'!$B$15,Paramètres!$A$1:$I$89,5,0)</f>
        <v>261.42384666666652</v>
      </c>
      <c r="EL105" s="13">
        <f t="shared" si="99"/>
        <v>63.025787988714278</v>
      </c>
      <c r="EM105" s="20">
        <f t="shared" si="73"/>
        <v>565.08311369145497</v>
      </c>
      <c r="EN105" s="59">
        <f t="shared" si="74"/>
        <v>858.41644702478834</v>
      </c>
      <c r="EO105" s="59">
        <f ca="1">AVERAGE(OFFSET($EN$3,0,0,'Données projet'!$E$15+1,1))-AVERAGE(OFFSET($H$3,0,0,'Données projet'!$E$15+1,1))</f>
        <v>533.26035274112917</v>
      </c>
      <c r="EP105" s="59">
        <f t="shared" si="100"/>
        <v>262.58149402282521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10.810862127818071</v>
      </c>
      <c r="EW105" s="21">
        <f>EXP(-LN(2)/25)*EW104+(1-EXP(-LN(2)/25))/(LN(2)/25)*Calculateur!ER105*Calculateur!ET105*VLOOKUP('Données projet'!$B$15,Paramètres!$A$1:$I$89,3,0)*0.475*44/12</f>
        <v>27.400189349539914</v>
      </c>
      <c r="EX105" s="21">
        <f>EXP(-LN(2)/2)*EX104+(1-EXP(-LN(2)/2))/(LN(2)/2)*ER105*EU105*VLOOKUP('Données projet'!$B$15,Paramètres!$A$1:$I$89,3,0)*0.475*44/12</f>
        <v>0.37210643823378203</v>
      </c>
      <c r="EY105" s="22">
        <f t="shared" si="75"/>
        <v>38.583157915591762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239.26156489359892</v>
      </c>
      <c r="FK105" s="59">
        <f t="shared" si="102"/>
        <v>213.97034450798111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8.5266508286893075</v>
      </c>
      <c r="FR105" s="21">
        <f>EXP(-LN(2)/25)*FR104+(1-EXP(-LN(2)/25))/(LN(2)/25)*Calculateur!FM105*Calculateur!FO105*VLOOKUP('Données projet'!$B$16,Paramètres!$A$1:$I$89,3,0)*0.475*44/12</f>
        <v>45.788295288062777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54.314946116752083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371.4</v>
      </c>
      <c r="L106" s="12">
        <f>VLOOKUP(A106,'Données projet'!$A$35:$I$55,9,0)</f>
        <v>8.9989999999999952</v>
      </c>
      <c r="M106" s="12">
        <f t="array" ref="M106">INDEX(L:L,MIN(IF(ISNUMBER(L106:L302),ROW(L106:L302),"")))</f>
        <v>8.9989999999999952</v>
      </c>
      <c r="N106" s="13">
        <f>IF('Données projet'!$A$36&gt;35,N105+M106-V105,IF(A106&lt;'Données projet'!$A$36,$K$205^A106,IF(A106='Données projet'!$A$36,'Données projet'!$B$36,N105+M106-V105)))</f>
        <v>371.40000000000009</v>
      </c>
      <c r="O106" s="13">
        <f>N106*VLOOKUP('Données projet'!$B$9,Paramètres!$A$1:$I$89,3,0)*VLOOKUP('Données projet'!$B$9,Paramètres!$A$1:$I$89,5,0)</f>
        <v>353.42424000000011</v>
      </c>
      <c r="P106" s="13">
        <f t="shared" si="87"/>
        <v>82.267197792875848</v>
      </c>
      <c r="Q106" s="20">
        <f t="shared" si="107"/>
        <v>758.82925415592547</v>
      </c>
      <c r="R106" s="59">
        <f t="shared" si="55"/>
        <v>1052.1625874892588</v>
      </c>
      <c r="S106" s="59">
        <f ca="1">AVERAGE(OFFSET($R$3,0,0,'Données projet'!$E$9+1,1))-AVERAGE(OFFSET($H$3,0,0,'Données projet'!$E$9+1,1))</f>
        <v>449.28947235329758</v>
      </c>
      <c r="T106" s="59">
        <f t="shared" si="88"/>
        <v>289.36994109443964</v>
      </c>
      <c r="U106" s="15">
        <f>IF(ISNA(VLOOKUP(A106,'Données projet'!$A$35:$I$55,3,0)),0,VLOOKUP(A106,'Données projet'!$A$35:$I$55,3,0))</f>
        <v>9</v>
      </c>
      <c r="V106" s="15">
        <f>IF(ISNA(VLOOKUP(A106,'Données projet'!$A$35:$I$55,4,0)),0,VLOOKUP(A106,'Données projet'!$A$35:$I$55,4,0))</f>
        <v>67.759999999999991</v>
      </c>
      <c r="W106" s="16">
        <f>IF(ISNA(VLOOKUP(A106,'Données projet'!$A$35:$I$55,5,0)),0%,VLOOKUP(A106,'Données projet'!$A$35:$I$55,5,0)*VLOOKUP('Données projet'!$B$9,Paramètres!$A$1:$I$89,7,0))</f>
        <v>0.215</v>
      </c>
      <c r="X106" s="16">
        <f>IF(ISNA(VLOOKUP(A106,'Données projet'!$A$35:$I$55,6,0)),0%,VLOOKUP(A106,'Données projet'!$A$35:$I$55,6,0)*VLOOKUP('Données projet'!$B$9,Paramètres!$A$1:$I$89,7,0))</f>
        <v>8.6000000000000007E-2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45.755926610580673</v>
      </c>
      <c r="AA106" s="21">
        <f>EXP(-LN(2)/25)*AA105+(1-EXP(-LN(2)/25))/(LN(2)/25)*Calculateur!V106*Calculateur!X106*VLOOKUP('Données projet'!$B$9,Paramètres!$A$1:$I$89,3,0)*0.475*44/12</f>
        <v>25.867149942164669</v>
      </c>
      <c r="AB106" s="21">
        <f>EXP(-LN(2)/2)*AB105+(1-EXP(-LN(2)/2))/(LN(2)/2)*V106*Y106*VLOOKUP('Données projet'!$B$9,Paramètres!$A$1:$I$89,3,0)*0.475*44/12</f>
        <v>4.6363922845958977E-3</v>
      </c>
      <c r="AC106" s="22">
        <f t="shared" si="57"/>
        <v>71.627712945029941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-2.2737367544323206E-13</v>
      </c>
      <c r="AJ106" s="13">
        <f>AI106*VLOOKUP('Données projet'!$B$10,Paramètres!$A$1:$I$89,3,0)*VLOOKUP('Données projet'!$B$10,Paramètres!$A$1:$I$89,5,0)</f>
        <v>-1.3596945791505279E-13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349.71285006949597</v>
      </c>
      <c r="AO106" s="59">
        <f t="shared" si="90"/>
        <v>258.51550516456842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97.191946063651244</v>
      </c>
      <c r="AV106" s="21">
        <f>EXP(-LN(2)/25)*AV105+(1-EXP(-LN(2)/25))/(LN(2)/25)*Calculateur!AQ106*Calculateur!AS106*VLOOKUP('Données projet'!$B$10,Paramètres!$A$1:$I$89,3,0)*0.475*44/12</f>
        <v>27.347367762097043</v>
      </c>
      <c r="AW106" s="21">
        <f>EXP(-LN(2)/2)*AW105+(1-EXP(-LN(2)/2))/(LN(2)/2)*AQ106*AT106*VLOOKUP('Données projet'!$B$10,Paramètres!$A$1:$I$89,3,0)*0.475*44/12</f>
        <v>2.4416121907949964E-2</v>
      </c>
      <c r="AX106" s="21">
        <f t="shared" si="60"/>
        <v>124.56372994765623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1.1368683772161603E-13</v>
      </c>
      <c r="BE106" s="13">
        <f>BD106*VLOOKUP('Données projet'!$B$11,Paramètres!$A$1:$I$89,3,0)*VLOOKUP('Données projet'!$B$11,Paramètres!$A$1:$I$89,5,0)</f>
        <v>6.7984728957526396E-14</v>
      </c>
      <c r="BF106" s="13">
        <f t="shared" si="91"/>
        <v>1.0682447123141398E-12</v>
      </c>
      <c r="BG106" s="20">
        <f t="shared" si="61"/>
        <v>1.978932943548152E-12</v>
      </c>
      <c r="BH106" s="59">
        <f t="shared" si="62"/>
        <v>293.3333333333353</v>
      </c>
      <c r="BI106" s="59">
        <f ca="1">AVERAGE(OFFSET($BH$3,0,0,'Données projet'!$E$11+1,1))-AVERAGE(OFFSET($H$3,0,0,'Données projet'!$E$11+1,1))</f>
        <v>302.00825291248458</v>
      </c>
      <c r="BJ106" s="59">
        <f t="shared" si="92"/>
        <v>307.35115839449355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59.260975609083275</v>
      </c>
      <c r="BQ106" s="21">
        <f>EXP(-LN(2)/25)*BQ105+(1-EXP(-LN(2)/25))/(LN(2)/25)*Calculateur!BL106*Calculateur!BN106*VLOOKUP('Données projet'!$B$11,Paramètres!$A$1:$I$89,3,0)*0.475*44/12</f>
        <v>14.704057216579187</v>
      </c>
      <c r="BR106" s="21">
        <f>EXP(-LN(2)/2)*BR105+(1-EXP(-LN(2)/2))/(LN(2)/2)*BL106*BO106*VLOOKUP('Données projet'!$B$11,Paramètres!$A$1:$I$89,3,0)*0.475*44/12</f>
        <v>2.021748677736411E-5</v>
      </c>
      <c r="BS106" s="22">
        <f t="shared" si="63"/>
        <v>73.96505304314924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9.1833333333333318</v>
      </c>
      <c r="BY106" s="12">
        <f>IF('Données projet'!$A$114&gt;35,BY105+BX106-CG105,IF(A106&lt;'Données projet'!$A$114,$BV$205^A106,IF(A106='Données projet'!$A$114,'Données projet'!$B$114,BY105+BX106-CG105)))</f>
        <v>416.25999999999993</v>
      </c>
      <c r="BZ106" s="13">
        <f>BY106*VLOOKUP('Données projet'!$B$12,Paramètres!$A$1:$I$89,3,0)*VLOOKUP('Données projet'!$B$12,Paramètres!$A$1:$I$89,5,0)</f>
        <v>194.80967999999996</v>
      </c>
      <c r="CA106" s="13">
        <f t="shared" si="93"/>
        <v>48.601752757478572</v>
      </c>
      <c r="CB106" s="20">
        <f t="shared" si="64"/>
        <v>423.94157871927513</v>
      </c>
      <c r="CC106" s="59">
        <f t="shared" si="65"/>
        <v>717.27491205260844</v>
      </c>
      <c r="CD106" s="59">
        <f ca="1">AVERAGE(OFFSET($CC$3,0,0,'Données projet'!$E$12+1,1))-AVERAGE(OFFSET($H$3,0,0,'Données projet'!$E$12+1,1))</f>
        <v>337.10499990421835</v>
      </c>
      <c r="CE106" s="59">
        <f t="shared" si="94"/>
        <v>277.4254079562175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56.22747650715948</v>
      </c>
      <c r="CL106" s="21">
        <f>EXP(-LN(2)/25)*CL105+(1-EXP(-LN(2)/25))/(LN(2)/25)*Calculateur!CG106*Calculateur!CI106*VLOOKUP('Données projet'!$B$12,Paramètres!$A$1:$I$89,3,0)*0.475*44/12</f>
        <v>19.556854986888212</v>
      </c>
      <c r="CM106" s="21">
        <f>EXP(-LN(2)/2)*CM105+(1-EXP(-LN(2)/2))/(LN(2)/2)*CG106*CJ106*VLOOKUP('Données projet'!$B$12,Paramètres!$A$1:$I$89,3,0)*0.475*44/12</f>
        <v>1.2202086359126418</v>
      </c>
      <c r="CN106" s="22">
        <f t="shared" si="66"/>
        <v>77.004540129960333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6.7777777777777777</v>
      </c>
      <c r="CT106" s="12">
        <f>IF('Données projet'!$A$140&gt;35,CT105+CS106-DB105,IF(A106&lt;'Données projet'!$A$140,$CQ$205^A106,IF(A106='Données projet'!$A$140,'Données projet'!$B$140,CT105+CS106-DB105)))</f>
        <v>264.59222222222206</v>
      </c>
      <c r="CU106" s="17">
        <f>CT106*VLOOKUP('Données projet'!$B$13,Paramètres!$A$1:$I$89,3,0)*VLOOKUP('Données projet'!$B$13,Paramètres!$A$1:$I$89,5,0)</f>
        <v>264.16887466666651</v>
      </c>
      <c r="CV106" s="13">
        <f t="shared" si="95"/>
        <v>63.610189210758726</v>
      </c>
      <c r="CW106" s="20">
        <f t="shared" si="67"/>
        <v>570.88186958651568</v>
      </c>
      <c r="CX106" s="59">
        <f t="shared" si="68"/>
        <v>864.21520291984893</v>
      </c>
      <c r="CY106" s="59">
        <f ca="1">AVERAGE(OFFSET($CX$3,0,0,'Données projet'!$E$13+1,1))-AVERAGE(OFFSET($H$3,0,0,'Données projet'!$E$13+1,1))</f>
        <v>525.74725170626471</v>
      </c>
      <c r="CZ106" s="59">
        <f t="shared" si="96"/>
        <v>259.19103598192197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10.435808212151485</v>
      </c>
      <c r="DG106" s="21">
        <f>EXP(-LN(2)/25)*DG105+(1-EXP(-LN(2)/25))/(LN(2)/25)*Calculateur!DB106*Calculateur!DD106*VLOOKUP('Données projet'!$B$13,Paramètres!$A$1:$I$89,3,0)*0.475*44/12</f>
        <v>26.24091542731167</v>
      </c>
      <c r="DH106" s="21">
        <f>EXP(-LN(2)/2)*DH105+(1-EXP(-LN(2)/2))/(LN(2)/2)*DB106*DE106*VLOOKUP('Données projet'!$B$13,Paramètres!$A$1:$I$89,3,0)*0.475*44/12</f>
        <v>0.25907100140138384</v>
      </c>
      <c r="DI106" s="22">
        <f t="shared" si="69"/>
        <v>36.935794640864536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>
        <f>VLOOKUP(A106,'Données projet'!$A$165:$I$185,2,0)</f>
        <v>337.71</v>
      </c>
      <c r="DM106" s="12">
        <f>VLOOKUP(A106,'Données projet'!$A$165:$I$185,9,0)</f>
        <v>7.7249999999999996</v>
      </c>
      <c r="DN106" s="12">
        <f t="array" ref="DN106">INDEX(DM:DM,MIN(IF(ISNUMBER(DM106:DM302),ROW(DM106:DM302),"")))</f>
        <v>7.7249999999999996</v>
      </c>
      <c r="DO106" s="12">
        <f>IF('Données projet'!$A$166&gt;35,DO105+DN106-DW105,IF(A106&lt;'Données projet'!$A$166,$DL$205^A106,IF(A106='Données projet'!$A$166,'Données projet'!$B$166,DO105+DN106-DW105)))</f>
        <v>337.71000000000049</v>
      </c>
      <c r="DP106" s="17">
        <f>DO106*VLOOKUP('Données projet'!$B$14,Paramètres!$A$1:$I$89,3,0)*VLOOKUP('Données projet'!$B$14,Paramètres!$A$1:$I$89,5,0)</f>
        <v>305.56000800000044</v>
      </c>
      <c r="DQ106" s="13">
        <f t="shared" si="97"/>
        <v>72.340806046688371</v>
      </c>
      <c r="DR106" s="20">
        <f t="shared" si="70"/>
        <v>658.17725113131621</v>
      </c>
      <c r="DS106" s="59">
        <f t="shared" si="71"/>
        <v>951.51058446464958</v>
      </c>
      <c r="DT106" s="59">
        <f ca="1">AVERAGE(OFFSET($DS$3,0,0,'Données projet'!$E$14+1,1))-AVERAGE(OFFSET($H$3,0,0,'Données projet'!$E$14+1,1))</f>
        <v>490.06222615476065</v>
      </c>
      <c r="DU106" s="59">
        <f t="shared" si="98"/>
        <v>310.43914804089906</v>
      </c>
      <c r="DV106" s="15">
        <f>IF(ISNA(VLOOKUP(A106,'Données projet'!$A$165:$I$185,3,0)),0,VLOOKUP(A106,'Données projet'!$A$165:$I$185,3,0))</f>
        <v>8</v>
      </c>
      <c r="DW106" s="15">
        <f>IF(ISNA(VLOOKUP(A106,'Données projet'!$A$165:$I$185,4,0)),0,VLOOKUP(A106,'Données projet'!$A$165:$I$185,4,0))</f>
        <v>56.789999999999964</v>
      </c>
      <c r="DX106" s="16">
        <f>IF(ISNA(VLOOKUP(A106,'Données projet'!$A$165:$I$185,5,0)),0%,VLOOKUP(A106,'Données projet'!$A$165:$I$185,5,0)*VLOOKUP('Données projet'!$B$14,Paramètres!$A$1:$I$89,7,0))</f>
        <v>0.15049999999999999</v>
      </c>
      <c r="DY106" s="16">
        <f>IF(ISNA(VLOOKUP(A106,'Données projet'!$A$165:$I$185,6,0)),0%,VLOOKUP(A106,'Données projet'!$A$165:$I$185,6,0)*VLOOKUP('Données projet'!$B$14,Paramètres!$A$1:$I$89,7,0))</f>
        <v>8.6000000000000007E-2</v>
      </c>
      <c r="DZ106" s="16">
        <f>IF(ISNA(VLOOKUP(A106,'Données projet'!$A$165:$I$185,7,0)),0%,VLOOKUP(A106,'Données projet'!$A$165:$I$185,7,0))</f>
        <v>0.1</v>
      </c>
      <c r="EA106" s="21">
        <f>EXP(-LN(2)/35)*EA105+(1-EXP(-LN(2)/35))/(LN(2)/35)*DW106*DX106*VLOOKUP('Données projet'!$B$14,Paramètres!$A$1:$I$89,3,0)*0.475*44/12</f>
        <v>29.304440296488757</v>
      </c>
      <c r="EB106" s="21">
        <f>EXP(-LN(2)/25)*EB105+(1-EXP(-LN(2)/25))/(LN(2)/25)*Calculateur!DW106*Calculateur!DY106*VLOOKUP('Données projet'!$B$14,Paramètres!$A$1:$I$89,3,0)*0.475*44/12</f>
        <v>23.673387350550744</v>
      </c>
      <c r="EC106" s="21">
        <f>EXP(-LN(2)/2)*EC105+(1-EXP(-LN(2)/2))/(LN(2)/2)*DW106*DZ106*VLOOKUP('Données projet'!$B$14,Paramètres!$A$1:$I$89,3,0)*0.475*44/12</f>
        <v>4.9687538276449956</v>
      </c>
      <c r="ED106" s="22">
        <f t="shared" si="72"/>
        <v>57.9465814746845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6.7777777777777777</v>
      </c>
      <c r="EJ106" s="12">
        <f>IF('Données projet'!$A$192&gt;35,EJ105+EI106-ER105,IF(A106&lt;'Données projet'!$A$192,$EG$205^A106,IF(A106='Données projet'!$A$192,'Données projet'!$B$192,EJ105+EI106-ER105)))</f>
        <v>264.59222222222206</v>
      </c>
      <c r="EK106" s="17">
        <f>EJ106*VLOOKUP('Données projet'!$B$15,Paramètres!$A$1:$I$89,3,0)*VLOOKUP('Données projet'!$B$15,Paramètres!$A$1:$I$89,5,0)</f>
        <v>268.29651333333322</v>
      </c>
      <c r="EL106" s="13">
        <f t="shared" si="99"/>
        <v>64.487613361575328</v>
      </c>
      <c r="EM106" s="20">
        <f t="shared" si="73"/>
        <v>579.59902066029906</v>
      </c>
      <c r="EN106" s="59">
        <f t="shared" si="74"/>
        <v>872.93235399363243</v>
      </c>
      <c r="EO106" s="59">
        <f ca="1">AVERAGE(OFFSET($EN$3,0,0,'Données projet'!$E$15+1,1))-AVERAGE(OFFSET($H$3,0,0,'Données projet'!$E$15+1,1))</f>
        <v>533.26035274112917</v>
      </c>
      <c r="EP106" s="59">
        <f t="shared" si="100"/>
        <v>262.58149402282521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10.598867715466355</v>
      </c>
      <c r="EW106" s="21">
        <f>EXP(-LN(2)/25)*EW105+(1-EXP(-LN(2)/25))/(LN(2)/25)*Calculateur!ER106*Calculateur!ET106*VLOOKUP('Données projet'!$B$15,Paramètres!$A$1:$I$89,3,0)*0.475*44/12</f>
        <v>26.65092973086341</v>
      </c>
      <c r="EX106" s="21">
        <f>EXP(-LN(2)/2)*EX105+(1-EXP(-LN(2)/2))/(LN(2)/2)*ER106*EU106*VLOOKUP('Données projet'!$B$15,Paramètres!$A$1:$I$89,3,0)*0.475*44/12</f>
        <v>0.26311898579828047</v>
      </c>
      <c r="EY106" s="22">
        <f t="shared" si="75"/>
        <v>37.512916432128044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239.26156489359892</v>
      </c>
      <c r="FK106" s="59">
        <f t="shared" si="102"/>
        <v>213.97034450798111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8.3594484066821853</v>
      </c>
      <c r="FR106" s="21">
        <f>EXP(-LN(2)/25)*FR105+(1-EXP(-LN(2)/25))/(LN(2)/25)*Calculateur!FM106*Calculateur!FO106*VLOOKUP('Données projet'!$B$16,Paramètres!$A$1:$I$89,3,0)*0.475*44/12</f>
        <v>44.536211945508903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52.895660352191086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8.7540000000000013</v>
      </c>
      <c r="N107" s="13">
        <f>IF('Données projet'!$A$36&gt;35,N106+M107-V106,IF(A107&lt;'Données projet'!$A$36,$K$205^A107,IF(A107='Données projet'!$A$36,'Données projet'!$B$36,N106+M107-V106)))</f>
        <v>312.39400000000012</v>
      </c>
      <c r="O107" s="13">
        <f>N107*VLOOKUP('Données projet'!$B$9,Paramètres!$A$1:$I$89,3,0)*VLOOKUP('Données projet'!$B$9,Paramètres!$A$1:$I$89,5,0)</f>
        <v>297.27413040000016</v>
      </c>
      <c r="P107" s="13">
        <f t="shared" si="87"/>
        <v>70.604713287138281</v>
      </c>
      <c r="Q107" s="20">
        <f t="shared" si="107"/>
        <v>640.72231942176609</v>
      </c>
      <c r="R107" s="59">
        <f t="shared" si="55"/>
        <v>934.05565275509935</v>
      </c>
      <c r="S107" s="59">
        <f ca="1">AVERAGE(OFFSET($R$3,0,0,'Données projet'!$E$9+1,1))-AVERAGE(OFFSET($H$3,0,0,'Données projet'!$E$9+1,1))</f>
        <v>449.28947235329758</v>
      </c>
      <c r="T107" s="59">
        <f t="shared" si="88"/>
        <v>289.36994109443964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44.858680798106697</v>
      </c>
      <c r="AA107" s="21">
        <f>EXP(-LN(2)/25)*AA106+(1-EXP(-LN(2)/25))/(LN(2)/25)*Calculateur!V107*Calculateur!X107*VLOOKUP('Données projet'!$B$9,Paramètres!$A$1:$I$89,3,0)*0.475*44/12</f>
        <v>25.159811366701881</v>
      </c>
      <c r="AB107" s="21">
        <f>EXP(-LN(2)/2)*AB106+(1-EXP(-LN(2)/2))/(LN(2)/2)*V107*Y107*VLOOKUP('Données projet'!$B$9,Paramètres!$A$1:$I$89,3,0)*0.475*44/12</f>
        <v>3.2784244246787486E-3</v>
      </c>
      <c r="AC107" s="22">
        <f t="shared" si="57"/>
        <v>70.021770589233256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-2.2737367544323206E-13</v>
      </c>
      <c r="AJ107" s="13">
        <f>AI107*VLOOKUP('Données projet'!$B$10,Paramètres!$A$1:$I$89,3,0)*VLOOKUP('Données projet'!$B$10,Paramètres!$A$1:$I$89,5,0)</f>
        <v>-1.3596945791505279E-13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349.71285006949597</v>
      </c>
      <c r="AO107" s="59">
        <f t="shared" si="90"/>
        <v>258.51550516456842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95.2860712825766</v>
      </c>
      <c r="AV107" s="21">
        <f>EXP(-LN(2)/25)*AV106+(1-EXP(-LN(2)/25))/(LN(2)/25)*Calculateur!AQ107*Calculateur!AS107*VLOOKUP('Données projet'!$B$10,Paramètres!$A$1:$I$89,3,0)*0.475*44/12</f>
        <v>26.599552552506932</v>
      </c>
      <c r="AW107" s="21">
        <f>EXP(-LN(2)/2)*AW106+(1-EXP(-LN(2)/2))/(LN(2)/2)*AQ107*AT107*VLOOKUP('Données projet'!$B$10,Paramètres!$A$1:$I$89,3,0)*0.475*44/12</f>
        <v>1.7264805371388844E-2</v>
      </c>
      <c r="AX107" s="21">
        <f t="shared" si="60"/>
        <v>121.90288864045492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1.1368683772161603E-13</v>
      </c>
      <c r="BE107" s="13">
        <f>BD107*VLOOKUP('Données projet'!$B$11,Paramètres!$A$1:$I$89,3,0)*VLOOKUP('Données projet'!$B$11,Paramètres!$A$1:$I$89,5,0)</f>
        <v>6.7984728957526396E-14</v>
      </c>
      <c r="BF107" s="13">
        <f t="shared" si="91"/>
        <v>1.0682447123141398E-12</v>
      </c>
      <c r="BG107" s="20">
        <f t="shared" si="61"/>
        <v>1.978932943548152E-12</v>
      </c>
      <c r="BH107" s="59">
        <f t="shared" si="62"/>
        <v>293.3333333333353</v>
      </c>
      <c r="BI107" s="59">
        <f ca="1">AVERAGE(OFFSET($BH$3,0,0,'Données projet'!$E$11+1,1))-AVERAGE(OFFSET($H$3,0,0,'Données projet'!$E$11+1,1))</f>
        <v>302.00825291248458</v>
      </c>
      <c r="BJ107" s="59">
        <f t="shared" si="92"/>
        <v>307.35115839449355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58.098904023015187</v>
      </c>
      <c r="BQ107" s="21">
        <f>EXP(-LN(2)/25)*BQ106+(1-EXP(-LN(2)/25))/(LN(2)/25)*Calculateur!BL107*Calculateur!BN107*VLOOKUP('Données projet'!$B$11,Paramètres!$A$1:$I$89,3,0)*0.475*44/12</f>
        <v>14.301973998739067</v>
      </c>
      <c r="BR107" s="21">
        <f>EXP(-LN(2)/2)*BR106+(1-EXP(-LN(2)/2))/(LN(2)/2)*BL107*BO107*VLOOKUP('Données projet'!$B$11,Paramètres!$A$1:$I$89,3,0)*0.475*44/12</f>
        <v>1.4295921998823522E-5</v>
      </c>
      <c r="BS107" s="22">
        <f t="shared" si="63"/>
        <v>72.400892317676252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9.1833333333333318</v>
      </c>
      <c r="BY107" s="12">
        <f>IF('Données projet'!$A$114&gt;35,BY106+BX107-CG106,IF(A107&lt;'Données projet'!$A$114,$BV$205^A107,IF(A107='Données projet'!$A$114,'Données projet'!$B$114,BY106+BX107-CG106)))</f>
        <v>425.44333333333327</v>
      </c>
      <c r="BZ107" s="13">
        <f>BY107*VLOOKUP('Données projet'!$B$12,Paramètres!$A$1:$I$89,3,0)*VLOOKUP('Données projet'!$B$12,Paramètres!$A$1:$I$89,5,0)</f>
        <v>199.10747999999998</v>
      </c>
      <c r="CA107" s="13">
        <f t="shared" si="93"/>
        <v>49.547967814034735</v>
      </c>
      <c r="CB107" s="20">
        <f t="shared" si="64"/>
        <v>433.0749049427771</v>
      </c>
      <c r="CC107" s="59">
        <f t="shared" si="65"/>
        <v>726.40823827611041</v>
      </c>
      <c r="CD107" s="59">
        <f ca="1">AVERAGE(OFFSET($CC$3,0,0,'Données projet'!$E$12+1,1))-AVERAGE(OFFSET($H$3,0,0,'Données projet'!$E$12+1,1))</f>
        <v>337.10499990421835</v>
      </c>
      <c r="CE107" s="59">
        <f t="shared" si="94"/>
        <v>277.4254079562175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55.124889988228368</v>
      </c>
      <c r="CL107" s="21">
        <f>EXP(-LN(2)/25)*CL106+(1-EXP(-LN(2)/25))/(LN(2)/25)*Calculateur!CG107*Calculateur!CI107*VLOOKUP('Données projet'!$B$12,Paramètres!$A$1:$I$89,3,0)*0.475*44/12</f>
        <v>19.022071758821447</v>
      </c>
      <c r="CM107" s="21">
        <f>EXP(-LN(2)/2)*CM106+(1-EXP(-LN(2)/2))/(LN(2)/2)*CG107*CJ107*VLOOKUP('Données projet'!$B$12,Paramètres!$A$1:$I$89,3,0)*0.475*44/12</f>
        <v>0.86281780091621607</v>
      </c>
      <c r="CN107" s="22">
        <f t="shared" si="66"/>
        <v>75.009779547966033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271.37</v>
      </c>
      <c r="CR107" s="12">
        <f>VLOOKUP(A107,'Données projet'!$A$139:$I$159,9,0)</f>
        <v>6.7777777777777777</v>
      </c>
      <c r="CS107" s="12">
        <f t="array" ref="CS107">INDEX(CR:CR,MIN(IF(ISNUMBER(CR107:CR303),ROW(CR107:CR303),"")))</f>
        <v>6.7777777777777777</v>
      </c>
      <c r="CT107" s="12">
        <f>IF('Données projet'!$A$140&gt;35,CT106+CS107-DB106,IF(A107&lt;'Données projet'!$A$140,$CQ$205^A107,IF(A107='Données projet'!$A$140,'Données projet'!$B$140,CT106+CS107-DB106)))</f>
        <v>271.36999999999983</v>
      </c>
      <c r="CU107" s="17">
        <f>CT107*VLOOKUP('Données projet'!$B$13,Paramètres!$A$1:$I$89,3,0)*VLOOKUP('Données projet'!$B$13,Paramètres!$A$1:$I$89,5,0)</f>
        <v>270.93580799999984</v>
      </c>
      <c r="CV107" s="13">
        <f t="shared" si="95"/>
        <v>65.047831353489372</v>
      </c>
      <c r="CW107" s="20">
        <f t="shared" si="67"/>
        <v>585.17150520732696</v>
      </c>
      <c r="CX107" s="59">
        <f t="shared" si="68"/>
        <v>878.50483854066033</v>
      </c>
      <c r="CY107" s="59">
        <f ca="1">AVERAGE(OFFSET($CX$3,0,0,'Données projet'!$E$13+1,1))-AVERAGE(OFFSET($H$3,0,0,'Données projet'!$E$13+1,1))</f>
        <v>525.74725170626471</v>
      </c>
      <c r="CZ107" s="59">
        <f t="shared" si="96"/>
        <v>259.19103598192197</v>
      </c>
      <c r="DA107" s="15">
        <f>IF(ISNA(VLOOKUP(A107,'Données projet'!$A$139:$I$159,3,0)),0,VLOOKUP(A107,'Données projet'!$A$139:$I$159,3,0))</f>
        <v>6</v>
      </c>
      <c r="DB107" s="15">
        <f>IF(ISNA(VLOOKUP(A107,'Données projet'!$A$139:$I$159,4,0)),0,VLOOKUP(A107,'Données projet'!$A$139:$I$159,4,0))</f>
        <v>39.400000000000006</v>
      </c>
      <c r="DC107" s="16">
        <f>IF(ISNA(VLOOKUP(A107,'Données projet'!$A$139:$I$159,5,0)),0%,VLOOKUP(A107,'Données projet'!$A$139:$I$159,5,0)*VLOOKUP('Données projet'!$B$13,Paramètres!$A$1:$I$89,7,0))</f>
        <v>0.15049999999999999</v>
      </c>
      <c r="DD107" s="16">
        <f>IF(ISNA(VLOOKUP(A107,'Données projet'!$A$139:$I$159,6,0)),0%,VLOOKUP(A107,'Données projet'!$A$139:$I$159,6,0)*VLOOKUP('Données projet'!$B$13,Paramètres!$A$1:$I$89,7,0))</f>
        <v>8.6000000000000007E-2</v>
      </c>
      <c r="DE107" s="16">
        <f>IF(ISNA(VLOOKUP(A107,'Données projet'!$A$139:$I$159,7,0)),0%,VLOOKUP(A107,'Données projet'!$A$139:$I$159,7,0))</f>
        <v>0.1</v>
      </c>
      <c r="DF107" s="21">
        <f>EXP(-LN(2)/35)*DF106+(1-EXP(-LN(2)/35))/(LN(2)/35)*DB107*DC107*VLOOKUP('Données projet'!$B$13,Paramètres!$A$1:$I$89,3,0)*0.475*44/12</f>
        <v>16.775787915506999</v>
      </c>
      <c r="DG107" s="21">
        <f>EXP(-LN(2)/25)*DG106+(1-EXP(-LN(2)/25))/(LN(2)/25)*Calculateur!DB107*Calculateur!DD107*VLOOKUP('Données projet'!$B$13,Paramètres!$A$1:$I$89,3,0)*0.475*44/12</f>
        <v>29.248413858640852</v>
      </c>
      <c r="DH107" s="21">
        <f>EXP(-LN(2)/2)*DH106+(1-EXP(-LN(2)/2))/(LN(2)/2)*DB107*DE107*VLOOKUP('Données projet'!$B$13,Paramètres!$A$1:$I$89,3,0)*0.475*44/12</f>
        <v>3.8947389117752662</v>
      </c>
      <c r="DI107" s="22">
        <f t="shared" si="69"/>
        <v>49.918940685923118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7.5129999999999999</v>
      </c>
      <c r="DO107" s="12">
        <f>IF('Données projet'!$A$166&gt;35,DO106+DN107-DW106,IF(A107&lt;'Données projet'!$A$166,$DL$205^A107,IF(A107='Données projet'!$A$166,'Données projet'!$B$166,DO106+DN107-DW106)))</f>
        <v>288.4330000000005</v>
      </c>
      <c r="DP107" s="17">
        <f>DO107*VLOOKUP('Données projet'!$B$14,Paramètres!$A$1:$I$89,3,0)*VLOOKUP('Données projet'!$B$14,Paramètres!$A$1:$I$89,5,0)</f>
        <v>260.97417840000043</v>
      </c>
      <c r="DQ107" s="13">
        <f t="shared" si="97"/>
        <v>62.929988204000416</v>
      </c>
      <c r="DR107" s="20">
        <f t="shared" si="70"/>
        <v>564.13309016863479</v>
      </c>
      <c r="DS107" s="59">
        <f t="shared" si="71"/>
        <v>857.46642350196817</v>
      </c>
      <c r="DT107" s="59">
        <f ca="1">AVERAGE(OFFSET($DS$3,0,0,'Données projet'!$E$14+1,1))-AVERAGE(OFFSET($H$3,0,0,'Données projet'!$E$14+1,1))</f>
        <v>490.06222615476065</v>
      </c>
      <c r="DU107" s="59">
        <f t="shared" si="98"/>
        <v>310.43914804089906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28.729798096218289</v>
      </c>
      <c r="EB107" s="21">
        <f>EXP(-LN(2)/25)*EB106+(1-EXP(-LN(2)/25))/(LN(2)/25)*Calculateur!DW107*Calculateur!DY107*VLOOKUP('Données projet'!$B$14,Paramètres!$A$1:$I$89,3,0)*0.475*44/12</f>
        <v>23.026037328520598</v>
      </c>
      <c r="EC107" s="21">
        <f>EXP(-LN(2)/2)*EC106+(1-EXP(-LN(2)/2))/(LN(2)/2)*DW107*DZ107*VLOOKUP('Données projet'!$B$14,Paramètres!$A$1:$I$89,3,0)*0.475*44/12</f>
        <v>3.5134395255743907</v>
      </c>
      <c r="ED107" s="22">
        <f t="shared" si="72"/>
        <v>55.269274950313282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>
        <f>VLOOKUP(A107,'Données projet'!$A$191:$I$211,2,0)</f>
        <v>271.37</v>
      </c>
      <c r="EH107" s="12">
        <f>VLOOKUP(A107,'Données projet'!$A$191:$I$211,9,0)</f>
        <v>6.7777777777777777</v>
      </c>
      <c r="EI107" s="12">
        <f t="array" ref="EI107">INDEX(EH:EH,MIN(IF(ISNUMBER(EH107:EH303),ROW(EH107:EH303),"")))</f>
        <v>6.7777777777777777</v>
      </c>
      <c r="EJ107" s="12">
        <f>IF('Données projet'!$A$192&gt;35,EJ106+EI107-ER106,IF(A107&lt;'Données projet'!$A$192,$EG$205^A107,IF(A107='Données projet'!$A$192,'Données projet'!$B$192,EJ106+EI107-ER106)))</f>
        <v>271.36999999999983</v>
      </c>
      <c r="EK107" s="17">
        <f>EJ107*VLOOKUP('Données projet'!$B$15,Paramètres!$A$1:$I$89,3,0)*VLOOKUP('Données projet'!$B$15,Paramètres!$A$1:$I$89,5,0)</f>
        <v>275.16917999999981</v>
      </c>
      <c r="EL107" s="13">
        <f t="shared" si="99"/>
        <v>65.945086005549797</v>
      </c>
      <c r="EM107" s="20">
        <f t="shared" si="73"/>
        <v>594.10734662633229</v>
      </c>
      <c r="EN107" s="59">
        <f t="shared" si="74"/>
        <v>887.44067995966566</v>
      </c>
      <c r="EO107" s="59">
        <f ca="1">AVERAGE(OFFSET($EN$3,0,0,'Données projet'!$E$15+1,1))-AVERAGE(OFFSET($H$3,0,0,'Données projet'!$E$15+1,1))</f>
        <v>533.26035274112917</v>
      </c>
      <c r="EP107" s="59">
        <f t="shared" si="100"/>
        <v>262.58149402282521</v>
      </c>
      <c r="EQ107" s="15">
        <f>IF(ISNA(VLOOKUP(A107,'Données projet'!$A$191:$I$211,3,0)),0,VLOOKUP(A107,'Données projet'!$A$191:$I$211,3,0))</f>
        <v>6</v>
      </c>
      <c r="ER107" s="15">
        <f>IF(ISNA(VLOOKUP(A107,'Données projet'!$A$191:$I$211,4,0)),0,VLOOKUP(A107,'Données projet'!$A$191:$I$211,4,0))</f>
        <v>39.400000000000006</v>
      </c>
      <c r="ES107" s="16">
        <f>IF(ISNA(VLOOKUP(A107,'Données projet'!$A$191:$I$211,5,0)),0%,VLOOKUP(A107,'Données projet'!$A$191:$I$211,5,0)*VLOOKUP('Données projet'!$B$15,Paramètres!$A$1:$I$89,7,0))</f>
        <v>0.15049999999999999</v>
      </c>
      <c r="ET107" s="16">
        <f>IF(ISNA(VLOOKUP(A107,'Données projet'!$A$191:$I$211,6,0)),0%,VLOOKUP(A107,'Données projet'!$A$191:$I$211,6,0)*VLOOKUP('Données projet'!$B$15,Paramètres!$A$1:$I$89,7,0))</f>
        <v>8.6000000000000007E-2</v>
      </c>
      <c r="EU107" s="16">
        <f>IF(ISNA(VLOOKUP(A107,'Données projet'!$A$191:$I$211,7,0)),0%,VLOOKUP(A107,'Données projet'!$A$191:$I$211,7,0))</f>
        <v>0.1</v>
      </c>
      <c r="EV107" s="21">
        <f>EXP(-LN(2)/35)*EV106+(1-EXP(-LN(2)/35))/(LN(2)/35)*ER107*ES107*VLOOKUP('Données projet'!$B$15,Paramètres!$A$1:$I$89,3,0)*0.475*44/12</f>
        <v>17.037909601686799</v>
      </c>
      <c r="EW107" s="21">
        <f>EXP(-LN(2)/25)*EW106+(1-EXP(-LN(2)/25))/(LN(2)/25)*Calculateur!ER107*Calculateur!ET107*VLOOKUP('Données projet'!$B$15,Paramètres!$A$1:$I$89,3,0)*0.475*44/12</f>
        <v>29.705420325182111</v>
      </c>
      <c r="EX107" s="21">
        <f>EXP(-LN(2)/2)*EX106+(1-EXP(-LN(2)/2))/(LN(2)/2)*ER107*EU107*VLOOKUP('Données projet'!$B$15,Paramètres!$A$1:$I$89,3,0)*0.475*44/12</f>
        <v>3.9555942072717549</v>
      </c>
      <c r="EY107" s="22">
        <f t="shared" si="75"/>
        <v>50.698924134140668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239.26156489359892</v>
      </c>
      <c r="FK107" s="59">
        <f t="shared" si="102"/>
        <v>213.97034450798111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8.1955247221872156</v>
      </c>
      <c r="FR107" s="21">
        <f>EXP(-LN(2)/25)*FR106+(1-EXP(-LN(2)/25))/(LN(2)/25)*Calculateur!FM107*Calculateur!FO107*VLOOKUP('Données projet'!$B$16,Paramètres!$A$1:$I$89,3,0)*0.475*44/12</f>
        <v>43.318366887801368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51.513891609988583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8.7540000000000013</v>
      </c>
      <c r="N108" s="13">
        <f>IF('Données projet'!$A$36&gt;35,N107+M108-V107,IF(A108&lt;'Données projet'!$A$36,$K$205^A108,IF(A108='Données projet'!$A$36,'Données projet'!$B$36,N107+M108-V107)))</f>
        <v>321.14800000000014</v>
      </c>
      <c r="O108" s="13">
        <f>N108*VLOOKUP('Données projet'!$B$9,Paramètres!$A$1:$I$89,3,0)*VLOOKUP('Données projet'!$B$9,Paramètres!$A$1:$I$89,5,0)</f>
        <v>305.60443680000009</v>
      </c>
      <c r="P108" s="13">
        <f t="shared" si="87"/>
        <v>72.350100063341856</v>
      </c>
      <c r="Q108" s="20">
        <f t="shared" si="107"/>
        <v>658.27081837032063</v>
      </c>
      <c r="R108" s="59">
        <f t="shared" si="55"/>
        <v>951.604151703654</v>
      </c>
      <c r="S108" s="59">
        <f ca="1">AVERAGE(OFFSET($R$3,0,0,'Données projet'!$E$9+1,1))-AVERAGE(OFFSET($H$3,0,0,'Données projet'!$E$9+1,1))</f>
        <v>449.28947235329758</v>
      </c>
      <c r="T108" s="59">
        <f t="shared" si="88"/>
        <v>289.36994109443964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43.979029428749428</v>
      </c>
      <c r="AA108" s="21">
        <f>EXP(-LN(2)/25)*AA107+(1-EXP(-LN(2)/25))/(LN(2)/25)*Calculateur!V108*Calculateur!X108*VLOOKUP('Données projet'!$B$9,Paramètres!$A$1:$I$89,3,0)*0.475*44/12</f>
        <v>24.471815001782442</v>
      </c>
      <c r="AB108" s="21">
        <f>EXP(-LN(2)/2)*AB107+(1-EXP(-LN(2)/2))/(LN(2)/2)*V108*Y108*VLOOKUP('Données projet'!$B$9,Paramètres!$A$1:$I$89,3,0)*0.475*44/12</f>
        <v>2.3181961422979488E-3</v>
      </c>
      <c r="AC108" s="22">
        <f t="shared" si="57"/>
        <v>68.453162626674171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-2.2737367544323206E-13</v>
      </c>
      <c r="AJ108" s="13">
        <f>AI108*VLOOKUP('Données projet'!$B$10,Paramètres!$A$1:$I$89,3,0)*VLOOKUP('Données projet'!$B$10,Paramètres!$A$1:$I$89,5,0)</f>
        <v>-1.3596945791505279E-13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349.71285006949597</v>
      </c>
      <c r="AO108" s="59">
        <f t="shared" si="90"/>
        <v>258.51550516456842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93.417569543490004</v>
      </c>
      <c r="AV108" s="21">
        <f>EXP(-LN(2)/25)*AV107+(1-EXP(-LN(2)/25))/(LN(2)/25)*Calculateur!AQ108*Calculateur!AS108*VLOOKUP('Données projet'!$B$10,Paramètres!$A$1:$I$89,3,0)*0.475*44/12</f>
        <v>25.872186389148954</v>
      </c>
      <c r="AW108" s="21">
        <f>EXP(-LN(2)/2)*AW107+(1-EXP(-LN(2)/2))/(LN(2)/2)*AQ108*AT108*VLOOKUP('Données projet'!$B$10,Paramètres!$A$1:$I$89,3,0)*0.475*44/12</f>
        <v>1.2208060953974982E-2</v>
      </c>
      <c r="AX108" s="21">
        <f t="shared" si="60"/>
        <v>119.30196399359293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1.1368683772161603E-13</v>
      </c>
      <c r="BE108" s="13">
        <f>BD108*VLOOKUP('Données projet'!$B$11,Paramètres!$A$1:$I$89,3,0)*VLOOKUP('Données projet'!$B$11,Paramètres!$A$1:$I$89,5,0)</f>
        <v>6.7984728957526396E-14</v>
      </c>
      <c r="BF108" s="13">
        <f t="shared" si="91"/>
        <v>1.0682447123141398E-12</v>
      </c>
      <c r="BG108" s="20">
        <f t="shared" si="61"/>
        <v>1.978932943548152E-12</v>
      </c>
      <c r="BH108" s="59">
        <f t="shared" si="62"/>
        <v>293.3333333333353</v>
      </c>
      <c r="BI108" s="59">
        <f ca="1">AVERAGE(OFFSET($BH$3,0,0,'Données projet'!$E$11+1,1))-AVERAGE(OFFSET($H$3,0,0,'Données projet'!$E$11+1,1))</f>
        <v>302.00825291248458</v>
      </c>
      <c r="BJ108" s="59">
        <f t="shared" si="92"/>
        <v>307.35115839449355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56.959619951956213</v>
      </c>
      <c r="BQ108" s="21">
        <f>EXP(-LN(2)/25)*BQ107+(1-EXP(-LN(2)/25))/(LN(2)/25)*Calculateur!BL108*Calculateur!BN108*VLOOKUP('Données projet'!$B$11,Paramètres!$A$1:$I$89,3,0)*0.475*44/12</f>
        <v>13.910885767635422</v>
      </c>
      <c r="BR108" s="21">
        <f>EXP(-LN(2)/2)*BR107+(1-EXP(-LN(2)/2))/(LN(2)/2)*BL108*BO108*VLOOKUP('Données projet'!$B$11,Paramètres!$A$1:$I$89,3,0)*0.475*44/12</f>
        <v>1.0108743388682055E-5</v>
      </c>
      <c r="BS108" s="22">
        <f t="shared" si="63"/>
        <v>70.870515828335016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9.1833333333333318</v>
      </c>
      <c r="BY108" s="12">
        <f>IF('Données projet'!$A$114&gt;35,BY107+BX108-CG107,IF(A108&lt;'Données projet'!$A$114,$BV$205^A108,IF(A108='Données projet'!$A$114,'Données projet'!$B$114,BY107+BX108-CG107)))</f>
        <v>434.62666666666661</v>
      </c>
      <c r="BZ108" s="13">
        <f>BY108*VLOOKUP('Données projet'!$B$12,Paramètres!$A$1:$I$89,3,0)*VLOOKUP('Données projet'!$B$12,Paramètres!$A$1:$I$89,5,0)</f>
        <v>203.40527999999998</v>
      </c>
      <c r="CA108" s="13">
        <f t="shared" si="93"/>
        <v>50.491808264192287</v>
      </c>
      <c r="CB108" s="20">
        <f t="shared" si="64"/>
        <v>442.20409539346821</v>
      </c>
      <c r="CC108" s="59">
        <f t="shared" si="65"/>
        <v>735.53742872680152</v>
      </c>
      <c r="CD108" s="59">
        <f ca="1">AVERAGE(OFFSET($CC$3,0,0,'Données projet'!$E$12+1,1))-AVERAGE(OFFSET($H$3,0,0,'Données projet'!$E$12+1,1))</f>
        <v>337.10499990421835</v>
      </c>
      <c r="CE108" s="59">
        <f t="shared" si="94"/>
        <v>277.4254079562175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54.043924518422124</v>
      </c>
      <c r="CL108" s="21">
        <f>EXP(-LN(2)/25)*CL107+(1-EXP(-LN(2)/25))/(LN(2)/25)*Calculateur!CG108*Calculateur!CI108*VLOOKUP('Données projet'!$B$12,Paramètres!$A$1:$I$89,3,0)*0.475*44/12</f>
        <v>18.501912206249195</v>
      </c>
      <c r="CM108" s="21">
        <f>EXP(-LN(2)/2)*CM107+(1-EXP(-LN(2)/2))/(LN(2)/2)*CG108*CJ108*VLOOKUP('Données projet'!$B$12,Paramètres!$A$1:$I$89,3,0)*0.475*44/12</f>
        <v>0.61010431795632092</v>
      </c>
      <c r="CN108" s="22">
        <f t="shared" si="66"/>
        <v>73.155941042627646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6.8811111111111085</v>
      </c>
      <c r="CT108" s="12">
        <f>IF('Données projet'!$A$140&gt;35,CT107+CS108-DB107,IF(A108&lt;'Données projet'!$A$140,$CQ$205^A108,IF(A108='Données projet'!$A$140,'Données projet'!$B$140,CT107+CS108-DB107)))</f>
        <v>238.85111111111095</v>
      </c>
      <c r="CU108" s="17">
        <f>CT108*VLOOKUP('Données projet'!$B$13,Paramètres!$A$1:$I$89,3,0)*VLOOKUP('Données projet'!$B$13,Paramètres!$A$1:$I$89,5,0)</f>
        <v>238.46894933333317</v>
      </c>
      <c r="CV108" s="13">
        <f t="shared" si="95"/>
        <v>58.109994877209367</v>
      </c>
      <c r="CW108" s="20">
        <f t="shared" si="67"/>
        <v>516.54166116669489</v>
      </c>
      <c r="CX108" s="59">
        <f t="shared" si="68"/>
        <v>809.87499450002815</v>
      </c>
      <c r="CY108" s="59">
        <f ca="1">AVERAGE(OFFSET($CX$3,0,0,'Données projet'!$E$13+1,1))-AVERAGE(OFFSET($H$3,0,0,'Données projet'!$E$13+1,1))</f>
        <v>525.74725170626471</v>
      </c>
      <c r="CZ108" s="59">
        <f t="shared" si="96"/>
        <v>259.19103598192197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16.446824946704186</v>
      </c>
      <c r="DG108" s="21">
        <f>EXP(-LN(2)/25)*DG107+(1-EXP(-LN(2)/25))/(LN(2)/25)*Calculateur!DB108*Calculateur!DD108*VLOOKUP('Données projet'!$B$13,Paramètres!$A$1:$I$89,3,0)*0.475*44/12</f>
        <v>28.448614443569081</v>
      </c>
      <c r="DH108" s="21">
        <f>EXP(-LN(2)/2)*DH107+(1-EXP(-LN(2)/2))/(LN(2)/2)*DB108*DE108*VLOOKUP('Données projet'!$B$13,Paramètres!$A$1:$I$89,3,0)*0.475*44/12</f>
        <v>2.7539962954674055</v>
      </c>
      <c r="DI108" s="22">
        <f t="shared" si="69"/>
        <v>47.64943568574067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7.5129999999999999</v>
      </c>
      <c r="DO108" s="12">
        <f>IF('Données projet'!$A$166&gt;35,DO107+DN108-DW107,IF(A108&lt;'Données projet'!$A$166,$DL$205^A108,IF(A108='Données projet'!$A$166,'Données projet'!$B$166,DO107+DN108-DW107)))</f>
        <v>295.94600000000048</v>
      </c>
      <c r="DP108" s="17">
        <f>DO108*VLOOKUP('Données projet'!$B$14,Paramètres!$A$1:$I$89,3,0)*VLOOKUP('Données projet'!$B$14,Paramètres!$A$1:$I$89,5,0)</f>
        <v>267.77194080000044</v>
      </c>
      <c r="DQ108" s="13">
        <f t="shared" si="97"/>
        <v>64.376191096600778</v>
      </c>
      <c r="DR108" s="20">
        <f t="shared" si="70"/>
        <v>578.49132971991378</v>
      </c>
      <c r="DS108" s="59">
        <f t="shared" si="71"/>
        <v>871.82466305324715</v>
      </c>
      <c r="DT108" s="59">
        <f ca="1">AVERAGE(OFFSET($DS$3,0,0,'Données projet'!$E$14+1,1))-AVERAGE(OFFSET($H$3,0,0,'Données projet'!$E$14+1,1))</f>
        <v>490.06222615476065</v>
      </c>
      <c r="DU108" s="59">
        <f t="shared" si="98"/>
        <v>310.43914804089906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28.16642427899799</v>
      </c>
      <c r="EB108" s="21">
        <f>EXP(-LN(2)/25)*EB107+(1-EXP(-LN(2)/25))/(LN(2)/25)*Calculateur!DW108*Calculateur!DY108*VLOOKUP('Données projet'!$B$14,Paramètres!$A$1:$I$89,3,0)*0.475*44/12</f>
        <v>22.396389126885527</v>
      </c>
      <c r="EC108" s="21">
        <f>EXP(-LN(2)/2)*EC107+(1-EXP(-LN(2)/2))/(LN(2)/2)*DW108*DZ108*VLOOKUP('Données projet'!$B$14,Paramètres!$A$1:$I$89,3,0)*0.475*44/12</f>
        <v>2.4843769138224983</v>
      </c>
      <c r="ED108" s="22">
        <f t="shared" si="72"/>
        <v>53.047190319706019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6.8811111111111085</v>
      </c>
      <c r="EJ108" s="12">
        <f>IF('Données projet'!$A$192&gt;35,EJ107+EI108-ER107,IF(A108&lt;'Données projet'!$A$192,$EG$205^A108,IF(A108='Données projet'!$A$192,'Données projet'!$B$192,EJ107+EI108-ER107)))</f>
        <v>238.85111111111095</v>
      </c>
      <c r="EK108" s="17">
        <f>EJ108*VLOOKUP('Données projet'!$B$15,Paramètres!$A$1:$I$89,3,0)*VLOOKUP('Données projet'!$B$15,Paramètres!$A$1:$I$89,5,0)</f>
        <v>242.19502666666651</v>
      </c>
      <c r="EL108" s="13">
        <f t="shared" si="99"/>
        <v>58.911550627030486</v>
      </c>
      <c r="EM108" s="20">
        <f t="shared" si="73"/>
        <v>524.42728878652235</v>
      </c>
      <c r="EN108" s="59">
        <f t="shared" si="74"/>
        <v>817.76062211985573</v>
      </c>
      <c r="EO108" s="59">
        <f ca="1">AVERAGE(OFFSET($EN$3,0,0,'Données projet'!$E$15+1,1))-AVERAGE(OFFSET($H$3,0,0,'Données projet'!$E$15+1,1))</f>
        <v>533.26035274112917</v>
      </c>
      <c r="EP108" s="59">
        <f t="shared" si="100"/>
        <v>262.58149402282521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16.703806586496444</v>
      </c>
      <c r="EW108" s="21">
        <f>EXP(-LN(2)/25)*EW107+(1-EXP(-LN(2)/25))/(LN(2)/25)*Calculateur!ER108*Calculateur!ET108*VLOOKUP('Données projet'!$B$15,Paramètres!$A$1:$I$89,3,0)*0.475*44/12</f>
        <v>28.893124044249845</v>
      </c>
      <c r="EX108" s="21">
        <f>EXP(-LN(2)/2)*EX107+(1-EXP(-LN(2)/2))/(LN(2)/2)*ER108*EU108*VLOOKUP('Données projet'!$B$15,Paramètres!$A$1:$I$89,3,0)*0.475*44/12</f>
        <v>2.7970274875840837</v>
      </c>
      <c r="EY108" s="22">
        <f t="shared" si="75"/>
        <v>48.393958118330367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239.26156489359892</v>
      </c>
      <c r="FK108" s="59">
        <f t="shared" si="102"/>
        <v>213.97034450798111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8.0348154811616173</v>
      </c>
      <c r="FR108" s="21">
        <f>EXP(-LN(2)/25)*FR107+(1-EXP(-LN(2)/25))/(LN(2)/25)*Calculateur!FM108*Calculateur!FO108*VLOOKUP('Données projet'!$B$16,Paramètres!$A$1:$I$89,3,0)*0.475*44/12</f>
        <v>42.13382386724053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50.168639348402145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8.7540000000000013</v>
      </c>
      <c r="N109" s="13">
        <f>IF('Données projet'!$A$36&gt;35,N108+M109-V108,IF(A109&lt;'Données projet'!$A$36,$K$205^A109,IF(A109='Données projet'!$A$36,'Données projet'!$B$36,N108+M109-V108)))</f>
        <v>329.90200000000016</v>
      </c>
      <c r="O109" s="13">
        <f>N109*VLOOKUP('Données projet'!$B$9,Paramètres!$A$1:$I$89,3,0)*VLOOKUP('Données projet'!$B$9,Paramètres!$A$1:$I$89,5,0)</f>
        <v>313.93474320000013</v>
      </c>
      <c r="P109" s="13">
        <f t="shared" si="87"/>
        <v>74.089956981068127</v>
      </c>
      <c r="Q109" s="20">
        <f t="shared" si="107"/>
        <v>675.80968614869391</v>
      </c>
      <c r="R109" s="59">
        <f t="shared" si="55"/>
        <v>969.14301948202728</v>
      </c>
      <c r="S109" s="59">
        <f ca="1">AVERAGE(OFFSET($R$3,0,0,'Données projet'!$E$9+1,1))-AVERAGE(OFFSET($H$3,0,0,'Données projet'!$E$9+1,1))</f>
        <v>449.28947235329758</v>
      </c>
      <c r="T109" s="59">
        <f t="shared" si="88"/>
        <v>289.36994109443964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43.116627486210895</v>
      </c>
      <c r="AA109" s="21">
        <f>EXP(-LN(2)/25)*AA108+(1-EXP(-LN(2)/25))/(LN(2)/25)*Calculateur!V109*Calculateur!X109*VLOOKUP('Données projet'!$B$9,Paramètres!$A$1:$I$89,3,0)*0.475*44/12</f>
        <v>23.80263193364188</v>
      </c>
      <c r="AB109" s="21">
        <f>EXP(-LN(2)/2)*AB108+(1-EXP(-LN(2)/2))/(LN(2)/2)*V109*Y109*VLOOKUP('Données projet'!$B$9,Paramètres!$A$1:$I$89,3,0)*0.475*44/12</f>
        <v>1.6392122123393743E-3</v>
      </c>
      <c r="AC109" s="22">
        <f t="shared" si="57"/>
        <v>66.920898632065118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-2.2737367544323206E-13</v>
      </c>
      <c r="AJ109" s="13">
        <f>AI109*VLOOKUP('Données projet'!$B$10,Paramètres!$A$1:$I$89,3,0)*VLOOKUP('Données projet'!$B$10,Paramètres!$A$1:$I$89,5,0)</f>
        <v>-1.3596945791505279E-13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349.71285006949597</v>
      </c>
      <c r="AO109" s="59">
        <f t="shared" si="90"/>
        <v>258.51550516456842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91.585707983833373</v>
      </c>
      <c r="AV109" s="21">
        <f>EXP(-LN(2)/25)*AV108+(1-EXP(-LN(2)/25))/(LN(2)/25)*Calculateur!AQ109*Calculateur!AS109*VLOOKUP('Données projet'!$B$10,Paramètres!$A$1:$I$89,3,0)*0.475*44/12</f>
        <v>25.164710091778524</v>
      </c>
      <c r="AW109" s="21">
        <f>EXP(-LN(2)/2)*AW108+(1-EXP(-LN(2)/2))/(LN(2)/2)*AQ109*AT109*VLOOKUP('Données projet'!$B$10,Paramètres!$A$1:$I$89,3,0)*0.475*44/12</f>
        <v>8.6324026856944222E-3</v>
      </c>
      <c r="AX109" s="21">
        <f t="shared" si="60"/>
        <v>116.75905047829758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1.1368683772161603E-13</v>
      </c>
      <c r="BE109" s="13">
        <f>BD109*VLOOKUP('Données projet'!$B$11,Paramètres!$A$1:$I$89,3,0)*VLOOKUP('Données projet'!$B$11,Paramètres!$A$1:$I$89,5,0)</f>
        <v>6.7984728957526396E-14</v>
      </c>
      <c r="BF109" s="13">
        <f t="shared" si="91"/>
        <v>1.0682447123141398E-12</v>
      </c>
      <c r="BG109" s="20">
        <f t="shared" si="61"/>
        <v>1.978932943548152E-12</v>
      </c>
      <c r="BH109" s="59">
        <f t="shared" si="62"/>
        <v>293.3333333333353</v>
      </c>
      <c r="BI109" s="59">
        <f ca="1">AVERAGE(OFFSET($BH$3,0,0,'Données projet'!$E$11+1,1))-AVERAGE(OFFSET($H$3,0,0,'Données projet'!$E$11+1,1))</f>
        <v>302.00825291248458</v>
      </c>
      <c r="BJ109" s="59">
        <f t="shared" si="92"/>
        <v>307.35115839449355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55.842676546636042</v>
      </c>
      <c r="BQ109" s="21">
        <f>EXP(-LN(2)/25)*BQ108+(1-EXP(-LN(2)/25))/(LN(2)/25)*Calculateur!BL109*Calculateur!BN109*VLOOKUP('Données projet'!$B$11,Paramètres!$A$1:$I$89,3,0)*0.475*44/12</f>
        <v>13.530491864777742</v>
      </c>
      <c r="BR109" s="21">
        <f>EXP(-LN(2)/2)*BR108+(1-EXP(-LN(2)/2))/(LN(2)/2)*BL109*BO109*VLOOKUP('Données projet'!$B$11,Paramètres!$A$1:$I$89,3,0)*0.475*44/12</f>
        <v>7.147960999411761E-6</v>
      </c>
      <c r="BS109" s="22">
        <f t="shared" si="63"/>
        <v>69.373175559374786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9.1833333333333318</v>
      </c>
      <c r="BY109" s="12">
        <f>IF('Données projet'!$A$114&gt;35,BY108+BX109-CG108,IF(A109&lt;'Données projet'!$A$114,$BV$205^A109,IF(A109='Données projet'!$A$114,'Données projet'!$B$114,BY108+BX109-CG108)))</f>
        <v>443.80999999999995</v>
      </c>
      <c r="BZ109" s="13">
        <f>BY109*VLOOKUP('Données projet'!$B$12,Paramètres!$A$1:$I$89,3,0)*VLOOKUP('Données projet'!$B$12,Paramètres!$A$1:$I$89,5,0)</f>
        <v>207.70307999999997</v>
      </c>
      <c r="CA109" s="13">
        <f t="shared" si="93"/>
        <v>51.433330061385618</v>
      </c>
      <c r="CB109" s="20">
        <f t="shared" si="64"/>
        <v>451.32924752357991</v>
      </c>
      <c r="CC109" s="59">
        <f t="shared" si="65"/>
        <v>744.66258085691322</v>
      </c>
      <c r="CD109" s="59">
        <f ca="1">AVERAGE(OFFSET($CC$3,0,0,'Données projet'!$E$12+1,1))-AVERAGE(OFFSET($H$3,0,0,'Données projet'!$E$12+1,1))</f>
        <v>337.10499990421835</v>
      </c>
      <c r="CE109" s="59">
        <f t="shared" si="94"/>
        <v>277.4254079562175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52.984156122154943</v>
      </c>
      <c r="CL109" s="21">
        <f>EXP(-LN(2)/25)*CL108+(1-EXP(-LN(2)/25))/(LN(2)/25)*Calculateur!CG109*Calculateur!CI109*VLOOKUP('Données projet'!$B$12,Paramètres!$A$1:$I$89,3,0)*0.475*44/12</f>
        <v>17.995976443996035</v>
      </c>
      <c r="CM109" s="21">
        <f>EXP(-LN(2)/2)*CM108+(1-EXP(-LN(2)/2))/(LN(2)/2)*CG109*CJ109*VLOOKUP('Données projet'!$B$12,Paramètres!$A$1:$I$89,3,0)*0.475*44/12</f>
        <v>0.43140890045810804</v>
      </c>
      <c r="CN109" s="22">
        <f t="shared" si="66"/>
        <v>71.411541466609094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6.8811111111111085</v>
      </c>
      <c r="CT109" s="12">
        <f>IF('Données projet'!$A$140&gt;35,CT108+CS109-DB108,IF(A109&lt;'Données projet'!$A$140,$CQ$205^A109,IF(A109='Données projet'!$A$140,'Données projet'!$B$140,CT108+CS109-DB108)))</f>
        <v>245.73222222222205</v>
      </c>
      <c r="CU109" s="17">
        <f>CT109*VLOOKUP('Données projet'!$B$13,Paramètres!$A$1:$I$89,3,0)*VLOOKUP('Données projet'!$B$13,Paramètres!$A$1:$I$89,5,0)</f>
        <v>245.33905066666651</v>
      </c>
      <c r="CV109" s="13">
        <f t="shared" si="95"/>
        <v>59.586778137118749</v>
      </c>
      <c r="CW109" s="20">
        <f t="shared" si="67"/>
        <v>531.07915183325929</v>
      </c>
      <c r="CX109" s="59">
        <f t="shared" si="68"/>
        <v>824.41248516659266</v>
      </c>
      <c r="CY109" s="59">
        <f ca="1">AVERAGE(OFFSET($CX$3,0,0,'Données projet'!$E$13+1,1))-AVERAGE(OFFSET($H$3,0,0,'Données projet'!$E$13+1,1))</f>
        <v>525.74725170626471</v>
      </c>
      <c r="CZ109" s="59">
        <f t="shared" si="96"/>
        <v>259.19103598192197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16.124312741072</v>
      </c>
      <c r="DG109" s="21">
        <f>EXP(-LN(2)/25)*DG108+(1-EXP(-LN(2)/25))/(LN(2)/25)*Calculateur!DB109*Calculateur!DD109*VLOOKUP('Données projet'!$B$13,Paramètres!$A$1:$I$89,3,0)*0.475*44/12</f>
        <v>27.670685585562072</v>
      </c>
      <c r="DH109" s="21">
        <f>EXP(-LN(2)/2)*DH108+(1-EXP(-LN(2)/2))/(LN(2)/2)*DB109*DE109*VLOOKUP('Données projet'!$B$13,Paramètres!$A$1:$I$89,3,0)*0.475*44/12</f>
        <v>1.9473694558876333</v>
      </c>
      <c r="DI109" s="22">
        <f t="shared" si="69"/>
        <v>45.742367782521704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7.5129999999999999</v>
      </c>
      <c r="DO109" s="12">
        <f>IF('Données projet'!$A$166&gt;35,DO108+DN109-DW108,IF(A109&lt;'Données projet'!$A$166,$DL$205^A109,IF(A109='Données projet'!$A$166,'Données projet'!$B$166,DO108+DN109-DW108)))</f>
        <v>303.45900000000046</v>
      </c>
      <c r="DP109" s="17">
        <f>DO109*VLOOKUP('Données projet'!$B$14,Paramètres!$A$1:$I$89,3,0)*VLOOKUP('Données projet'!$B$14,Paramètres!$A$1:$I$89,5,0)</f>
        <v>274.56970320000039</v>
      </c>
      <c r="DQ109" s="13">
        <f t="shared" si="97"/>
        <v>65.818126318370446</v>
      </c>
      <c r="DR109" s="20">
        <f t="shared" si="70"/>
        <v>592.84213641116253</v>
      </c>
      <c r="DS109" s="59">
        <f t="shared" si="71"/>
        <v>886.17546974449579</v>
      </c>
      <c r="DT109" s="59">
        <f ca="1">AVERAGE(OFFSET($DS$3,0,0,'Données projet'!$E$14+1,1))-AVERAGE(OFFSET($H$3,0,0,'Données projet'!$E$14+1,1))</f>
        <v>490.06222615476065</v>
      </c>
      <c r="DU109" s="59">
        <f t="shared" si="98"/>
        <v>310.43914804089906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27.614097878709284</v>
      </c>
      <c r="EB109" s="21">
        <f>EXP(-LN(2)/25)*EB108+(1-EXP(-LN(2)/25))/(LN(2)/25)*Calculateur!DW109*Calculateur!DY109*VLOOKUP('Données projet'!$B$14,Paramètres!$A$1:$I$89,3,0)*0.475*44/12</f>
        <v>21.783958688435927</v>
      </c>
      <c r="EC109" s="21">
        <f>EXP(-LN(2)/2)*EC108+(1-EXP(-LN(2)/2))/(LN(2)/2)*DW109*DZ109*VLOOKUP('Données projet'!$B$14,Paramètres!$A$1:$I$89,3,0)*0.475*44/12</f>
        <v>1.7567197627871955</v>
      </c>
      <c r="ED109" s="22">
        <f t="shared" si="72"/>
        <v>51.154776329932403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6.8811111111111085</v>
      </c>
      <c r="EJ109" s="12">
        <f>IF('Données projet'!$A$192&gt;35,EJ108+EI109-ER108,IF(A109&lt;'Données projet'!$A$192,$EG$205^A109,IF(A109='Données projet'!$A$192,'Données projet'!$B$192,EJ108+EI109-ER108)))</f>
        <v>245.73222222222205</v>
      </c>
      <c r="EK109" s="17">
        <f>EJ109*VLOOKUP('Données projet'!$B$15,Paramètres!$A$1:$I$89,3,0)*VLOOKUP('Données projet'!$B$15,Paramètres!$A$1:$I$89,5,0)</f>
        <v>249.17247333333319</v>
      </c>
      <c r="EL109" s="13">
        <f t="shared" si="99"/>
        <v>60.408704291647716</v>
      </c>
      <c r="EM109" s="20">
        <f t="shared" si="73"/>
        <v>539.18721769684169</v>
      </c>
      <c r="EN109" s="59">
        <f t="shared" si="74"/>
        <v>832.52055103017506</v>
      </c>
      <c r="EO109" s="59">
        <f ca="1">AVERAGE(OFFSET($EN$3,0,0,'Données projet'!$E$15+1,1))-AVERAGE(OFFSET($H$3,0,0,'Données projet'!$E$15+1,1))</f>
        <v>533.26035274112917</v>
      </c>
      <c r="EP109" s="59">
        <f t="shared" si="100"/>
        <v>262.58149402282521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16.376255127651255</v>
      </c>
      <c r="EW109" s="21">
        <f>EXP(-LN(2)/25)*EW108+(1-EXP(-LN(2)/25))/(LN(2)/25)*Calculateur!ER109*Calculateur!ET109*VLOOKUP('Données projet'!$B$15,Paramètres!$A$1:$I$89,3,0)*0.475*44/12</f>
        <v>28.103040047836476</v>
      </c>
      <c r="EX109" s="21">
        <f>EXP(-LN(2)/2)*EX108+(1-EXP(-LN(2)/2))/(LN(2)/2)*ER109*EU109*VLOOKUP('Données projet'!$B$15,Paramètres!$A$1:$I$89,3,0)*0.475*44/12</f>
        <v>1.9777971036358777</v>
      </c>
      <c r="EY109" s="22">
        <f t="shared" si="75"/>
        <v>46.457092279123614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239.26156489359892</v>
      </c>
      <c r="FK109" s="59">
        <f t="shared" si="102"/>
        <v>213.97034450798111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7.8772576503295726</v>
      </c>
      <c r="FR109" s="21">
        <f>EXP(-LN(2)/25)*FR108+(1-EXP(-LN(2)/25))/(LN(2)/25)*Calculateur!FM109*Calculateur!FO109*VLOOKUP('Données projet'!$B$16,Paramètres!$A$1:$I$89,3,0)*0.475*44/12</f>
        <v>40.98167223786934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48.858929888198915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8.7540000000000013</v>
      </c>
      <c r="N110" s="13">
        <f>IF('Données projet'!$A$36&gt;35,N109+M110-V109,IF(A110&lt;'Données projet'!$A$36,$K$205^A110,IF(A110='Données projet'!$A$36,'Données projet'!$B$36,N109+M110-V109)))</f>
        <v>338.65600000000018</v>
      </c>
      <c r="O110" s="13">
        <f>N110*VLOOKUP('Données projet'!$B$9,Paramètres!$A$1:$I$89,3,0)*VLOOKUP('Données projet'!$B$9,Paramètres!$A$1:$I$89,5,0)</f>
        <v>322.26504960000017</v>
      </c>
      <c r="P110" s="13">
        <f t="shared" si="87"/>
        <v>75.824447642126486</v>
      </c>
      <c r="Q110" s="20">
        <f t="shared" si="107"/>
        <v>693.33920769670385</v>
      </c>
      <c r="R110" s="59">
        <f t="shared" si="55"/>
        <v>986.67254103003711</v>
      </c>
      <c r="S110" s="59">
        <f ca="1">AVERAGE(OFFSET($R$3,0,0,'Données projet'!$E$9+1,1))-AVERAGE(OFFSET($H$3,0,0,'Données projet'!$E$9+1,1))</f>
        <v>449.28947235329758</v>
      </c>
      <c r="T110" s="59">
        <f t="shared" si="88"/>
        <v>289.36994109443964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42.271136719752299</v>
      </c>
      <c r="AA110" s="21">
        <f>EXP(-LN(2)/25)*AA109+(1-EXP(-LN(2)/25))/(LN(2)/25)*Calculateur!V110*Calculateur!X110*VLOOKUP('Données projet'!$B$9,Paramètres!$A$1:$I$89,3,0)*0.475*44/12</f>
        <v>23.15174771169043</v>
      </c>
      <c r="AB110" s="21">
        <f>EXP(-LN(2)/2)*AB109+(1-EXP(-LN(2)/2))/(LN(2)/2)*V110*Y110*VLOOKUP('Données projet'!$B$9,Paramètres!$A$1:$I$89,3,0)*0.475*44/12</f>
        <v>1.1590980711489744E-3</v>
      </c>
      <c r="AC110" s="22">
        <f t="shared" si="57"/>
        <v>65.424043529513881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-2.2737367544323206E-13</v>
      </c>
      <c r="AJ110" s="13">
        <f>AI110*VLOOKUP('Données projet'!$B$10,Paramètres!$A$1:$I$89,3,0)*VLOOKUP('Données projet'!$B$10,Paramètres!$A$1:$I$89,5,0)</f>
        <v>-1.3596945791505279E-13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349.71285006949597</v>
      </c>
      <c r="AO110" s="59">
        <f t="shared" si="90"/>
        <v>258.51550516456842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89.789768112036384</v>
      </c>
      <c r="AV110" s="21">
        <f>EXP(-LN(2)/25)*AV109+(1-EXP(-LN(2)/25))/(LN(2)/25)*Calculateur!AQ110*Calculateur!AS110*VLOOKUP('Données projet'!$B$10,Paramètres!$A$1:$I$89,3,0)*0.475*44/12</f>
        <v>24.47657977096425</v>
      </c>
      <c r="AW110" s="21">
        <f>EXP(-LN(2)/2)*AW109+(1-EXP(-LN(2)/2))/(LN(2)/2)*AQ110*AT110*VLOOKUP('Données projet'!$B$10,Paramètres!$A$1:$I$89,3,0)*0.475*44/12</f>
        <v>6.104030476987491E-3</v>
      </c>
      <c r="AX110" s="21">
        <f t="shared" si="60"/>
        <v>114.27245191347762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1.1368683772161603E-13</v>
      </c>
      <c r="BE110" s="13">
        <f>BD110*VLOOKUP('Données projet'!$B$11,Paramètres!$A$1:$I$89,3,0)*VLOOKUP('Données projet'!$B$11,Paramètres!$A$1:$I$89,5,0)</f>
        <v>6.7984728957526396E-14</v>
      </c>
      <c r="BF110" s="13">
        <f t="shared" si="91"/>
        <v>1.0682447123141398E-12</v>
      </c>
      <c r="BG110" s="20">
        <f t="shared" si="61"/>
        <v>1.978932943548152E-12</v>
      </c>
      <c r="BH110" s="59">
        <f t="shared" si="62"/>
        <v>293.3333333333353</v>
      </c>
      <c r="BI110" s="59">
        <f ca="1">AVERAGE(OFFSET($BH$3,0,0,'Données projet'!$E$11+1,1))-AVERAGE(OFFSET($H$3,0,0,'Données projet'!$E$11+1,1))</f>
        <v>302.00825291248458</v>
      </c>
      <c r="BJ110" s="59">
        <f t="shared" si="92"/>
        <v>307.35115839449355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54.747635720225993</v>
      </c>
      <c r="BQ110" s="21">
        <f>EXP(-LN(2)/25)*BQ109+(1-EXP(-LN(2)/25))/(LN(2)/25)*Calculateur!BL110*Calculateur!BN110*VLOOKUP('Données projet'!$B$11,Paramètres!$A$1:$I$89,3,0)*0.475*44/12</f>
        <v>13.160499853197752</v>
      </c>
      <c r="BR110" s="21">
        <f>EXP(-LN(2)/2)*BR109+(1-EXP(-LN(2)/2))/(LN(2)/2)*BL110*BO110*VLOOKUP('Données projet'!$B$11,Paramètres!$A$1:$I$89,3,0)*0.475*44/12</f>
        <v>5.0543716943410276E-6</v>
      </c>
      <c r="BS110" s="22">
        <f t="shared" si="63"/>
        <v>67.908140627795447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9.1833333333333318</v>
      </c>
      <c r="BY110" s="12">
        <f>IF('Données projet'!$A$114&gt;35,BY109+BX110-CG109,IF(A110&lt;'Données projet'!$A$114,$BV$205^A110,IF(A110='Données projet'!$A$114,'Données projet'!$B$114,BY109+BX110-CG109)))</f>
        <v>452.99333333333328</v>
      </c>
      <c r="BZ110" s="13">
        <f>BY110*VLOOKUP('Données projet'!$B$12,Paramètres!$A$1:$I$89,3,0)*VLOOKUP('Données projet'!$B$12,Paramètres!$A$1:$I$89,5,0)</f>
        <v>212.00088</v>
      </c>
      <c r="CA110" s="13">
        <f t="shared" si="93"/>
        <v>52.372586711125109</v>
      </c>
      <c r="CB110" s="20">
        <f t="shared" si="64"/>
        <v>460.45045452187622</v>
      </c>
      <c r="CC110" s="59">
        <f t="shared" si="65"/>
        <v>753.78378785520954</v>
      </c>
      <c r="CD110" s="59">
        <f ca="1">AVERAGE(OFFSET($CC$3,0,0,'Données projet'!$E$12+1,1))-AVERAGE(OFFSET($H$3,0,0,'Données projet'!$E$12+1,1))</f>
        <v>337.10499990421835</v>
      </c>
      <c r="CE110" s="59">
        <f t="shared" si="94"/>
        <v>277.4254079562175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51.945169137743669</v>
      </c>
      <c r="CL110" s="21">
        <f>EXP(-LN(2)/25)*CL109+(1-EXP(-LN(2)/25))/(LN(2)/25)*Calculateur!CG110*Calculateur!CI110*VLOOKUP('Données projet'!$B$12,Paramètres!$A$1:$I$89,3,0)*0.475*44/12</f>
        <v>17.503875521767693</v>
      </c>
      <c r="CM110" s="21">
        <f>EXP(-LN(2)/2)*CM109+(1-EXP(-LN(2)/2))/(LN(2)/2)*CG110*CJ110*VLOOKUP('Données projet'!$B$12,Paramètres!$A$1:$I$89,3,0)*0.475*44/12</f>
        <v>0.30505215897816046</v>
      </c>
      <c r="CN110" s="22">
        <f t="shared" si="66"/>
        <v>69.754096818489515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6.8811111111111085</v>
      </c>
      <c r="CT110" s="12">
        <f>IF('Données projet'!$A$140&gt;35,CT109+CS110-DB109,IF(A110&lt;'Données projet'!$A$140,$CQ$205^A110,IF(A110='Données projet'!$A$140,'Données projet'!$B$140,CT109+CS110-DB109)))</f>
        <v>252.61333333333314</v>
      </c>
      <c r="CU110" s="17">
        <f>CT110*VLOOKUP('Données projet'!$B$13,Paramètres!$A$1:$I$89,3,0)*VLOOKUP('Données projet'!$B$13,Paramètres!$A$1:$I$89,5,0)</f>
        <v>252.20915199999982</v>
      </c>
      <c r="CV110" s="13">
        <f t="shared" si="95"/>
        <v>61.058755011694799</v>
      </c>
      <c r="CW110" s="20">
        <f t="shared" si="67"/>
        <v>545.60827137870149</v>
      </c>
      <c r="CX110" s="59">
        <f t="shared" si="68"/>
        <v>838.94160471203486</v>
      </c>
      <c r="CY110" s="59">
        <f ca="1">AVERAGE(OFFSET($CX$3,0,0,'Données projet'!$E$13+1,1))-AVERAGE(OFFSET($H$3,0,0,'Données projet'!$E$13+1,1))</f>
        <v>525.74725170626471</v>
      </c>
      <c r="CZ110" s="59">
        <f t="shared" si="96"/>
        <v>259.19103598192197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15.808124803079238</v>
      </c>
      <c r="DG110" s="21">
        <f>EXP(-LN(2)/25)*DG109+(1-EXP(-LN(2)/25))/(LN(2)/25)*Calculateur!DB110*Calculateur!DD110*VLOOKUP('Données projet'!$B$13,Paramètres!$A$1:$I$89,3,0)*0.475*44/12</f>
        <v>26.914029233086765</v>
      </c>
      <c r="DH110" s="21">
        <f>EXP(-LN(2)/2)*DH109+(1-EXP(-LN(2)/2))/(LN(2)/2)*DB110*DE110*VLOOKUP('Données projet'!$B$13,Paramètres!$A$1:$I$89,3,0)*0.475*44/12</f>
        <v>1.376998147733703</v>
      </c>
      <c r="DI110" s="22">
        <f t="shared" si="69"/>
        <v>44.099152183899704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7.5129999999999999</v>
      </c>
      <c r="DO110" s="12">
        <f>IF('Données projet'!$A$166&gt;35,DO109+DN110-DW109,IF(A110&lt;'Données projet'!$A$166,$DL$205^A110,IF(A110='Données projet'!$A$166,'Données projet'!$B$166,DO109+DN110-DW109)))</f>
        <v>310.97200000000043</v>
      </c>
      <c r="DP110" s="17">
        <f>DO110*VLOOKUP('Données projet'!$B$14,Paramètres!$A$1:$I$89,3,0)*VLOOKUP('Données projet'!$B$14,Paramètres!$A$1:$I$89,5,0)</f>
        <v>281.3674656000004</v>
      </c>
      <c r="DQ110" s="13">
        <f t="shared" si="97"/>
        <v>67.255911680958462</v>
      </c>
      <c r="DR110" s="20">
        <f t="shared" si="70"/>
        <v>607.18571543100336</v>
      </c>
      <c r="DS110" s="59">
        <f t="shared" si="71"/>
        <v>900.51904876433673</v>
      </c>
      <c r="DT110" s="59">
        <f ca="1">AVERAGE(OFFSET($DS$3,0,0,'Données projet'!$E$14+1,1))-AVERAGE(OFFSET($H$3,0,0,'Données projet'!$E$14+1,1))</f>
        <v>490.06222615476065</v>
      </c>
      <c r="DU110" s="59">
        <f t="shared" si="98"/>
        <v>310.43914804089906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27.072602262244398</v>
      </c>
      <c r="EB110" s="21">
        <f>EXP(-LN(2)/25)*EB109+(1-EXP(-LN(2)/25))/(LN(2)/25)*Calculateur!DW110*Calculateur!DY110*VLOOKUP('Données projet'!$B$14,Paramètres!$A$1:$I$89,3,0)*0.475*44/12</f>
        <v>21.188275192532046</v>
      </c>
      <c r="EC110" s="21">
        <f>EXP(-LN(2)/2)*EC109+(1-EXP(-LN(2)/2))/(LN(2)/2)*DW110*DZ110*VLOOKUP('Données projet'!$B$14,Paramètres!$A$1:$I$89,3,0)*0.475*44/12</f>
        <v>1.2421884569112494</v>
      </c>
      <c r="ED110" s="22">
        <f t="shared" si="72"/>
        <v>49.503065911687699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6.8811111111111085</v>
      </c>
      <c r="EJ110" s="12">
        <f>IF('Données projet'!$A$192&gt;35,EJ109+EI110-ER109,IF(A110&lt;'Données projet'!$A$192,$EG$205^A110,IF(A110='Données projet'!$A$192,'Données projet'!$B$192,EJ109+EI110-ER109)))</f>
        <v>252.61333333333314</v>
      </c>
      <c r="EK110" s="17">
        <f>EJ110*VLOOKUP('Données projet'!$B$15,Paramètres!$A$1:$I$89,3,0)*VLOOKUP('Données projet'!$B$15,Paramètres!$A$1:$I$89,5,0)</f>
        <v>256.14991999999984</v>
      </c>
      <c r="EL110" s="13">
        <f t="shared" si="99"/>
        <v>61.900985272770555</v>
      </c>
      <c r="EM110" s="20">
        <f t="shared" si="73"/>
        <v>553.93866001674166</v>
      </c>
      <c r="EN110" s="59">
        <f t="shared" si="74"/>
        <v>847.27199335007504</v>
      </c>
      <c r="EO110" s="59">
        <f ca="1">AVERAGE(OFFSET($EN$3,0,0,'Données projet'!$E$15+1,1))-AVERAGE(OFFSET($H$3,0,0,'Données projet'!$E$15+1,1))</f>
        <v>533.26035274112917</v>
      </c>
      <c r="EP110" s="59">
        <f t="shared" si="100"/>
        <v>262.58149402282521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16.055126753127357</v>
      </c>
      <c r="EW110" s="21">
        <f>EXP(-LN(2)/25)*EW109+(1-EXP(-LN(2)/25))/(LN(2)/25)*Calculateur!ER110*Calculateur!ET110*VLOOKUP('Données projet'!$B$15,Paramètres!$A$1:$I$89,3,0)*0.475*44/12</f>
        <v>27.334560939853741</v>
      </c>
      <c r="EX110" s="21">
        <f>EXP(-LN(2)/2)*EX109+(1-EXP(-LN(2)/2))/(LN(2)/2)*ER110*EU110*VLOOKUP('Données projet'!$B$15,Paramètres!$A$1:$I$89,3,0)*0.475*44/12</f>
        <v>1.3985137437920421</v>
      </c>
      <c r="EY110" s="22">
        <f t="shared" si="75"/>
        <v>44.788201436773143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239.26156489359892</v>
      </c>
      <c r="FK110" s="59">
        <f t="shared" si="102"/>
        <v>213.97034450798111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7.722789432459356</v>
      </c>
      <c r="FR110" s="21">
        <f>EXP(-LN(2)/25)*FR109+(1-EXP(-LN(2)/25))/(LN(2)/25)*Calculateur!FM110*Calculateur!FO110*VLOOKUP('Données projet'!$B$16,Paramètres!$A$1:$I$89,3,0)*0.475*44/12</f>
        <v>39.861026255392325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47.583815687851683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8.7540000000000013</v>
      </c>
      <c r="N111" s="13">
        <f>IF('Données projet'!$A$36&gt;35,N110+M111-V110,IF(A111&lt;'Données projet'!$A$36,$K$205^A111,IF(A111='Données projet'!$A$36,'Données projet'!$B$36,N110+M111-V110)))</f>
        <v>347.4100000000002</v>
      </c>
      <c r="O111" s="13">
        <f>N111*VLOOKUP('Données projet'!$B$9,Paramètres!$A$1:$I$89,3,0)*VLOOKUP('Données projet'!$B$9,Paramètres!$A$1:$I$89,5,0)</f>
        <v>330.59535600000015</v>
      </c>
      <c r="P111" s="13">
        <f t="shared" si="87"/>
        <v>77.553726708555331</v>
      </c>
      <c r="Q111" s="20">
        <f t="shared" si="107"/>
        <v>710.85965238406754</v>
      </c>
      <c r="R111" s="59">
        <f t="shared" si="55"/>
        <v>1004.1929857174009</v>
      </c>
      <c r="S111" s="59">
        <f ca="1">AVERAGE(OFFSET($R$3,0,0,'Données projet'!$E$9+1,1))-AVERAGE(OFFSET($H$3,0,0,'Données projet'!$E$9+1,1))</f>
        <v>449.28947235329758</v>
      </c>
      <c r="T111" s="59">
        <f t="shared" si="88"/>
        <v>289.36994109443964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41.442225511525514</v>
      </c>
      <c r="AA111" s="21">
        <f>EXP(-LN(2)/25)*AA110+(1-EXP(-LN(2)/25))/(LN(2)/25)*Calculateur!V111*Calculateur!X111*VLOOKUP('Données projet'!$B$9,Paramètres!$A$1:$I$89,3,0)*0.475*44/12</f>
        <v>22.518661953016757</v>
      </c>
      <c r="AB111" s="21">
        <f>EXP(-LN(2)/2)*AB110+(1-EXP(-LN(2)/2))/(LN(2)/2)*V111*Y111*VLOOKUP('Données projet'!$B$9,Paramètres!$A$1:$I$89,3,0)*0.475*44/12</f>
        <v>8.1960610616968715E-4</v>
      </c>
      <c r="AC111" s="22">
        <f t="shared" si="57"/>
        <v>63.961707070648437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-2.2737367544323206E-13</v>
      </c>
      <c r="AJ111" s="13">
        <f>AI111*VLOOKUP('Données projet'!$B$10,Paramètres!$A$1:$I$89,3,0)*VLOOKUP('Données projet'!$B$10,Paramètres!$A$1:$I$89,5,0)</f>
        <v>-1.3596945791505279E-13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349.71285006949597</v>
      </c>
      <c r="AO111" s="59">
        <f t="shared" si="90"/>
        <v>258.51550516456842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88.029045525710174</v>
      </c>
      <c r="AV111" s="21">
        <f>EXP(-LN(2)/25)*AV110+(1-EXP(-LN(2)/25))/(LN(2)/25)*Calculateur!AQ111*Calculateur!AS111*VLOOKUP('Données projet'!$B$10,Paramètres!$A$1:$I$89,3,0)*0.475*44/12</f>
        <v>23.807266409959844</v>
      </c>
      <c r="AW111" s="21">
        <f>EXP(-LN(2)/2)*AW110+(1-EXP(-LN(2)/2))/(LN(2)/2)*AQ111*AT111*VLOOKUP('Données projet'!$B$10,Paramètres!$A$1:$I$89,3,0)*0.475*44/12</f>
        <v>4.3162013428472111E-3</v>
      </c>
      <c r="AX111" s="21">
        <f t="shared" si="60"/>
        <v>111.84062813701286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1.1368683772161603E-13</v>
      </c>
      <c r="BE111" s="13">
        <f>BD111*VLOOKUP('Données projet'!$B$11,Paramètres!$A$1:$I$89,3,0)*VLOOKUP('Données projet'!$B$11,Paramètres!$A$1:$I$89,5,0)</f>
        <v>6.7984728957526396E-14</v>
      </c>
      <c r="BF111" s="13">
        <f t="shared" si="91"/>
        <v>1.0682447123141398E-12</v>
      </c>
      <c r="BG111" s="20">
        <f t="shared" si="61"/>
        <v>1.978932943548152E-12</v>
      </c>
      <c r="BH111" s="59">
        <f t="shared" si="62"/>
        <v>293.3333333333353</v>
      </c>
      <c r="BI111" s="59">
        <f ca="1">AVERAGE(OFFSET($BH$3,0,0,'Données projet'!$E$11+1,1))-AVERAGE(OFFSET($H$3,0,0,'Données projet'!$E$11+1,1))</f>
        <v>302.00825291248458</v>
      </c>
      <c r="BJ111" s="59">
        <f t="shared" si="92"/>
        <v>307.35115839449355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53.674067976512887</v>
      </c>
      <c r="BQ111" s="21">
        <f>EXP(-LN(2)/25)*BQ110+(1-EXP(-LN(2)/25))/(LN(2)/25)*Calculateur!BL111*Calculateur!BN111*VLOOKUP('Données projet'!$B$11,Paramètres!$A$1:$I$89,3,0)*0.475*44/12</f>
        <v>12.800625292631452</v>
      </c>
      <c r="BR111" s="21">
        <f>EXP(-LN(2)/2)*BR110+(1-EXP(-LN(2)/2))/(LN(2)/2)*BL111*BO111*VLOOKUP('Données projet'!$B$11,Paramètres!$A$1:$I$89,3,0)*0.475*44/12</f>
        <v>3.5739804997058805E-6</v>
      </c>
      <c r="BS111" s="22">
        <f t="shared" si="63"/>
        <v>66.474696843124832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9.1833333333333318</v>
      </c>
      <c r="BY111" s="12">
        <f>IF('Données projet'!$A$114&gt;35,BY110+BX111-CG110,IF(A111&lt;'Données projet'!$A$114,$BV$205^A111,IF(A111='Données projet'!$A$114,'Données projet'!$B$114,BY110+BX111-CG110)))</f>
        <v>462.17666666666662</v>
      </c>
      <c r="BZ111" s="13">
        <f>BY111*VLOOKUP('Données projet'!$B$12,Paramètres!$A$1:$I$89,3,0)*VLOOKUP('Données projet'!$B$12,Paramètres!$A$1:$I$89,5,0)</f>
        <v>216.29867999999996</v>
      </c>
      <c r="CA111" s="13">
        <f t="shared" si="93"/>
        <v>53.309629425511069</v>
      </c>
      <c r="CB111" s="20">
        <f t="shared" si="64"/>
        <v>469.567805582765</v>
      </c>
      <c r="CC111" s="59">
        <f t="shared" si="65"/>
        <v>762.90113891609826</v>
      </c>
      <c r="CD111" s="59">
        <f ca="1">AVERAGE(OFFSET($CC$3,0,0,'Données projet'!$E$12+1,1))-AVERAGE(OFFSET($H$3,0,0,'Données projet'!$E$12+1,1))</f>
        <v>337.10499990421835</v>
      </c>
      <c r="CE111" s="59">
        <f t="shared" si="94"/>
        <v>277.4254079562175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50.926556054377208</v>
      </c>
      <c r="CL111" s="21">
        <f>EXP(-LN(2)/25)*CL110+(1-EXP(-LN(2)/25))/(LN(2)/25)*Calculateur!CG111*Calculateur!CI111*VLOOKUP('Données projet'!$B$12,Paramètres!$A$1:$I$89,3,0)*0.475*44/12</f>
        <v>17.025231125136148</v>
      </c>
      <c r="CM111" s="21">
        <f>EXP(-LN(2)/2)*CM110+(1-EXP(-LN(2)/2))/(LN(2)/2)*CG111*CJ111*VLOOKUP('Données projet'!$B$12,Paramètres!$A$1:$I$89,3,0)*0.475*44/12</f>
        <v>0.21570445022905402</v>
      </c>
      <c r="CN111" s="22">
        <f t="shared" si="66"/>
        <v>68.167491629742415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6.8811111111111085</v>
      </c>
      <c r="CT111" s="12">
        <f>IF('Données projet'!$A$140&gt;35,CT110+CS111-DB110,IF(A111&lt;'Données projet'!$A$140,$CQ$205^A111,IF(A111='Données projet'!$A$140,'Données projet'!$B$140,CT110+CS111-DB110)))</f>
        <v>259.49444444444424</v>
      </c>
      <c r="CU111" s="17">
        <f>CT111*VLOOKUP('Données projet'!$B$13,Paramètres!$A$1:$I$89,3,0)*VLOOKUP('Données projet'!$B$13,Paramètres!$A$1:$I$89,5,0)</f>
        <v>259.07925333333316</v>
      </c>
      <c r="CV111" s="13">
        <f t="shared" si="95"/>
        <v>62.526071470117891</v>
      </c>
      <c r="CW111" s="20">
        <f t="shared" si="67"/>
        <v>560.12927403267713</v>
      </c>
      <c r="CX111" s="59">
        <f t="shared" si="68"/>
        <v>853.46260736601039</v>
      </c>
      <c r="CY111" s="59">
        <f ca="1">AVERAGE(OFFSET($CX$3,0,0,'Données projet'!$E$13+1,1))-AVERAGE(OFFSET($H$3,0,0,'Données projet'!$E$13+1,1))</f>
        <v>525.74725170626471</v>
      </c>
      <c r="CZ111" s="59">
        <f t="shared" si="96"/>
        <v>259.19103598192197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15.498137117694915</v>
      </c>
      <c r="DG111" s="21">
        <f>EXP(-LN(2)/25)*DG110+(1-EXP(-LN(2)/25))/(LN(2)/25)*Calculateur!DB111*Calculateur!DD111*VLOOKUP('Données projet'!$B$13,Paramètres!$A$1:$I$89,3,0)*0.475*44/12</f>
        <v>26.178063688360723</v>
      </c>
      <c r="DH111" s="21">
        <f>EXP(-LN(2)/2)*DH110+(1-EXP(-LN(2)/2))/(LN(2)/2)*DB111*DE111*VLOOKUP('Données projet'!$B$13,Paramètres!$A$1:$I$89,3,0)*0.475*44/12</f>
        <v>0.97368472794381689</v>
      </c>
      <c r="DI111" s="22">
        <f t="shared" si="69"/>
        <v>42.649885533999459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7.5129999999999999</v>
      </c>
      <c r="DO111" s="12">
        <f>IF('Données projet'!$A$166&gt;35,DO110+DN111-DW110,IF(A111&lt;'Données projet'!$A$166,$DL$205^A111,IF(A111='Données projet'!$A$166,'Données projet'!$B$166,DO110+DN111-DW110)))</f>
        <v>318.48500000000041</v>
      </c>
      <c r="DP111" s="17">
        <f>DO111*VLOOKUP('Données projet'!$B$14,Paramètres!$A$1:$I$89,3,0)*VLOOKUP('Données projet'!$B$14,Paramètres!$A$1:$I$89,5,0)</f>
        <v>288.16522800000035</v>
      </c>
      <c r="DQ111" s="13">
        <f t="shared" si="97"/>
        <v>68.689658978808254</v>
      </c>
      <c r="DR111" s="20">
        <f t="shared" si="70"/>
        <v>621.52226148809166</v>
      </c>
      <c r="DS111" s="59">
        <f t="shared" si="71"/>
        <v>914.85559482142503</v>
      </c>
      <c r="DT111" s="59">
        <f ca="1">AVERAGE(OFFSET($DS$3,0,0,'Données projet'!$E$14+1,1))-AVERAGE(OFFSET($H$3,0,0,'Données projet'!$E$14+1,1))</f>
        <v>490.06222615476065</v>
      </c>
      <c r="DU111" s="59">
        <f t="shared" si="98"/>
        <v>310.43914804089906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26.541725044538676</v>
      </c>
      <c r="EB111" s="21">
        <f>EXP(-LN(2)/25)*EB110+(1-EXP(-LN(2)/25))/(LN(2)/25)*Calculateur!DW111*Calculateur!DY111*VLOOKUP('Données projet'!$B$14,Paramètres!$A$1:$I$89,3,0)*0.475*44/12</f>
        <v>20.608880693149292</v>
      </c>
      <c r="EC111" s="21">
        <f>EXP(-LN(2)/2)*EC110+(1-EXP(-LN(2)/2))/(LN(2)/2)*DW111*DZ111*VLOOKUP('Données projet'!$B$14,Paramètres!$A$1:$I$89,3,0)*0.475*44/12</f>
        <v>0.878359881393598</v>
      </c>
      <c r="ED111" s="22">
        <f t="shared" si="72"/>
        <v>48.028965619081568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6.8811111111111085</v>
      </c>
      <c r="EJ111" s="12">
        <f>IF('Données projet'!$A$192&gt;35,EJ110+EI111-ER110,IF(A111&lt;'Données projet'!$A$192,$EG$205^A111,IF(A111='Données projet'!$A$192,'Données projet'!$B$192,EJ110+EI111-ER110)))</f>
        <v>259.49444444444424</v>
      </c>
      <c r="EK111" s="17">
        <f>EJ111*VLOOKUP('Données projet'!$B$15,Paramètres!$A$1:$I$89,3,0)*VLOOKUP('Données projet'!$B$15,Paramètres!$A$1:$I$89,5,0)</f>
        <v>263.12736666666649</v>
      </c>
      <c r="EL111" s="13">
        <f t="shared" si="99"/>
        <v>63.388541553044227</v>
      </c>
      <c r="EM111" s="20">
        <f t="shared" si="73"/>
        <v>568.68187348266281</v>
      </c>
      <c r="EN111" s="59">
        <f t="shared" si="74"/>
        <v>862.01520681599618</v>
      </c>
      <c r="EO111" s="59">
        <f ca="1">AVERAGE(OFFSET($EN$3,0,0,'Données projet'!$E$15+1,1))-AVERAGE(OFFSET($H$3,0,0,'Données projet'!$E$15+1,1))</f>
        <v>533.26035274112917</v>
      </c>
      <c r="EP111" s="59">
        <f t="shared" si="100"/>
        <v>262.58149402282521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15.740295510158905</v>
      </c>
      <c r="EW111" s="21">
        <f>EXP(-LN(2)/25)*EW110+(1-EXP(-LN(2)/25))/(LN(2)/25)*Calculateur!ER111*Calculateur!ET111*VLOOKUP('Données projet'!$B$15,Paramètres!$A$1:$I$89,3,0)*0.475*44/12</f>
        <v>26.587095933491355</v>
      </c>
      <c r="EX111" s="21">
        <f>EXP(-LN(2)/2)*EX110+(1-EXP(-LN(2)/2))/(LN(2)/2)*ER111*EU111*VLOOKUP('Données projet'!$B$15,Paramètres!$A$1:$I$89,3,0)*0.475*44/12</f>
        <v>0.98889855181793895</v>
      </c>
      <c r="EY111" s="22">
        <f t="shared" si="75"/>
        <v>43.316289995468196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239.26156489359892</v>
      </c>
      <c r="FK111" s="59">
        <f t="shared" si="102"/>
        <v>213.97034450798111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7.5713502421252645</v>
      </c>
      <c r="FR111" s="21">
        <f>EXP(-LN(2)/25)*FR110+(1-EXP(-LN(2)/25))/(LN(2)/25)*Calculateur!FM111*Calculateur!FO111*VLOOKUP('Données projet'!$B$16,Paramètres!$A$1:$I$89,3,0)*0.475*44/12</f>
        <v>38.771024396238353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46.342374638363616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8.7540000000000013</v>
      </c>
      <c r="N112" s="13">
        <f>IF('Données projet'!$A$36&gt;35,N111+M112-V111,IF(A112&lt;'Données projet'!$A$36,$K$205^A112,IF(A112='Données projet'!$A$36,'Données projet'!$B$36,N111+M112-V111)))</f>
        <v>356.16400000000021</v>
      </c>
      <c r="O112" s="13">
        <f>N112*VLOOKUP('Données projet'!$B$9,Paramètres!$A$1:$I$89,3,0)*VLOOKUP('Données projet'!$B$9,Paramètres!$A$1:$I$89,5,0)</f>
        <v>338.92566240000019</v>
      </c>
      <c r="P112" s="13">
        <f t="shared" si="87"/>
        <v>79.27794060390417</v>
      </c>
      <c r="Q112" s="20">
        <f t="shared" si="107"/>
        <v>728.37127523180015</v>
      </c>
      <c r="R112" s="59">
        <f t="shared" si="55"/>
        <v>1021.7046085651334</v>
      </c>
      <c r="S112" s="59">
        <f ca="1">AVERAGE(OFFSET($R$3,0,0,'Données projet'!$E$9+1,1))-AVERAGE(OFFSET($H$3,0,0,'Données projet'!$E$9+1,1))</f>
        <v>449.28947235329758</v>
      </c>
      <c r="T112" s="59">
        <f t="shared" si="88"/>
        <v>289.36994109443964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40.629568746506138</v>
      </c>
      <c r="AA112" s="21">
        <f>EXP(-LN(2)/25)*AA111+(1-EXP(-LN(2)/25))/(LN(2)/25)*Calculateur!V112*Calculateur!X112*VLOOKUP('Données projet'!$B$9,Paramètres!$A$1:$I$89,3,0)*0.475*44/12</f>
        <v>21.90288795770655</v>
      </c>
      <c r="AB112" s="21">
        <f>EXP(-LN(2)/2)*AB111+(1-EXP(-LN(2)/2))/(LN(2)/2)*V112*Y112*VLOOKUP('Données projet'!$B$9,Paramètres!$A$1:$I$89,3,0)*0.475*44/12</f>
        <v>5.7954903557448721E-4</v>
      </c>
      <c r="AC112" s="22">
        <f t="shared" si="57"/>
        <v>62.53303625324827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-2.2737367544323206E-13</v>
      </c>
      <c r="AJ112" s="13">
        <f>AI112*VLOOKUP('Données projet'!$B$10,Paramètres!$A$1:$I$89,3,0)*VLOOKUP('Données projet'!$B$10,Paramètres!$A$1:$I$89,5,0)</f>
        <v>-1.3596945791505279E-13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349.71285006949597</v>
      </c>
      <c r="AO112" s="59">
        <f t="shared" si="90"/>
        <v>258.51550516456842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86.302849635367082</v>
      </c>
      <c r="AV112" s="21">
        <f>EXP(-LN(2)/25)*AV111+(1-EXP(-LN(2)/25))/(LN(2)/25)*Calculateur!AQ112*Calculateur!AS112*VLOOKUP('Données projet'!$B$10,Paramètres!$A$1:$I$89,3,0)*0.475*44/12</f>
        <v>23.156255458009763</v>
      </c>
      <c r="AW112" s="21">
        <f>EXP(-LN(2)/2)*AW111+(1-EXP(-LN(2)/2))/(LN(2)/2)*AQ112*AT112*VLOOKUP('Données projet'!$B$10,Paramètres!$A$1:$I$89,3,0)*0.475*44/12</f>
        <v>3.0520152384937455E-3</v>
      </c>
      <c r="AX112" s="21">
        <f t="shared" si="60"/>
        <v>109.46215710861534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1.1368683772161603E-13</v>
      </c>
      <c r="BE112" s="13">
        <f>BD112*VLOOKUP('Données projet'!$B$11,Paramètres!$A$1:$I$89,3,0)*VLOOKUP('Données projet'!$B$11,Paramètres!$A$1:$I$89,5,0)</f>
        <v>6.7984728957526396E-14</v>
      </c>
      <c r="BF112" s="13">
        <f t="shared" si="91"/>
        <v>1.0682447123141398E-12</v>
      </c>
      <c r="BG112" s="20">
        <f t="shared" si="61"/>
        <v>1.978932943548152E-12</v>
      </c>
      <c r="BH112" s="59">
        <f t="shared" si="62"/>
        <v>293.3333333333353</v>
      </c>
      <c r="BI112" s="59">
        <f ca="1">AVERAGE(OFFSET($BH$3,0,0,'Données projet'!$E$11+1,1))-AVERAGE(OFFSET($H$3,0,0,'Données projet'!$E$11+1,1))</f>
        <v>302.00825291248458</v>
      </c>
      <c r="BJ112" s="59">
        <f t="shared" si="92"/>
        <v>307.35115839449355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52.62155224144233</v>
      </c>
      <c r="BQ112" s="21">
        <f>EXP(-LN(2)/25)*BQ111+(1-EXP(-LN(2)/25))/(LN(2)/25)*Calculateur!BL112*Calculateur!BN112*VLOOKUP('Données projet'!$B$11,Paramètres!$A$1:$I$89,3,0)*0.475*44/12</f>
        <v>12.450591520848816</v>
      </c>
      <c r="BR112" s="21">
        <f>EXP(-LN(2)/2)*BR111+(1-EXP(-LN(2)/2))/(LN(2)/2)*BL112*BO112*VLOOKUP('Données projet'!$B$11,Paramètres!$A$1:$I$89,3,0)*0.475*44/12</f>
        <v>2.5271858471705138E-6</v>
      </c>
      <c r="BS112" s="22">
        <f t="shared" si="63"/>
        <v>65.07214628947699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>
        <f>VLOOKUP(A112,'Données projet'!$A$113:$I$133,2,0)</f>
        <v>471.36</v>
      </c>
      <c r="BW112" s="12">
        <f>VLOOKUP(A112,'Données projet'!$A$113:$I$133,9,0)</f>
        <v>9.1833333333333318</v>
      </c>
      <c r="BX112" s="12">
        <f t="array" ref="BX112">INDEX(BW:BW,MIN(IF(ISNUMBER(BW112:BW308),ROW(BW112:BW308),"")))</f>
        <v>9.1833333333333318</v>
      </c>
      <c r="BY112" s="12">
        <f>IF('Données projet'!$A$114&gt;35,BY111+BX112-CG111,IF(A112&lt;'Données projet'!$A$114,$BV$205^A112,IF(A112='Données projet'!$A$114,'Données projet'!$B$114,BY111+BX112-CG111)))</f>
        <v>471.35999999999996</v>
      </c>
      <c r="BZ112" s="13">
        <f>BY112*VLOOKUP('Données projet'!$B$12,Paramètres!$A$1:$I$89,3,0)*VLOOKUP('Données projet'!$B$12,Paramètres!$A$1:$I$89,5,0)</f>
        <v>220.59647999999999</v>
      </c>
      <c r="CA112" s="13">
        <f t="shared" si="93"/>
        <v>54.244507265119324</v>
      </c>
      <c r="CB112" s="20">
        <f t="shared" si="64"/>
        <v>478.6813861534161</v>
      </c>
      <c r="CC112" s="59">
        <f t="shared" si="65"/>
        <v>772.01471948674941</v>
      </c>
      <c r="CD112" s="59">
        <f ca="1">AVERAGE(OFFSET($CC$3,0,0,'Données projet'!$E$12+1,1))-AVERAGE(OFFSET($H$3,0,0,'Données projet'!$E$12+1,1))</f>
        <v>337.10499990421835</v>
      </c>
      <c r="CE112" s="59">
        <f t="shared" si="94"/>
        <v>277.4254079562175</v>
      </c>
      <c r="CF112" s="15">
        <f>IF(ISNA(VLOOKUP(A112,'Données projet'!$A$113:$I$133,3,0)),0,VLOOKUP(A112,'Données projet'!$A$113:$I$133,3,0))</f>
        <v>6</v>
      </c>
      <c r="CG112" s="15">
        <f>IF(ISNA(VLOOKUP(A112,'Données projet'!$A$113:$I$133,4,0)),0,VLOOKUP(A112,'Données projet'!$A$113:$I$133,4,0))</f>
        <v>92.199999999999989</v>
      </c>
      <c r="CH112" s="16">
        <f>IF(ISNA(VLOOKUP(A112,'Données projet'!$A$113:$I$133,5,0)),0%,VLOOKUP(A112,'Données projet'!$A$113:$I$133,5,0)*VLOOKUP('Données projet'!$B$12,Paramètres!$A$1:$I$89,7,0))</f>
        <v>0.33</v>
      </c>
      <c r="CI112" s="16">
        <f>IF(ISNA(VLOOKUP(A112,'Données projet'!$A$113:$I$133,6,0)),0%,VLOOKUP(A112,'Données projet'!$A$113:$I$133,6,0)*VLOOKUP('Données projet'!$B$12,Paramètres!$A$1:$I$89,7,0))</f>
        <v>0.11000000000000001</v>
      </c>
      <c r="CJ112" s="16">
        <f>IF(ISNA(VLOOKUP(A112,'Données projet'!$A$113:$I$133,7,0)),0%,VLOOKUP(A112,'Données projet'!$A$113:$I$133,7,0))</f>
        <v>0.2</v>
      </c>
      <c r="CK112" s="21">
        <f>EXP(-LN(2)/35)*CK111+(1-EXP(-LN(2)/35))/(LN(2)/35)*CG112*CH112*VLOOKUP('Données projet'!$B$12,Paramètres!$A$1:$I$89,3,0)*0.475*44/12</f>
        <v>68.817356809006142</v>
      </c>
      <c r="CL112" s="21">
        <f>EXP(-LN(2)/25)*CL111+(1-EXP(-LN(2)/25))/(LN(2)/25)*Calculateur!CG112*Calculateur!CI112*VLOOKUP('Données projet'!$B$12,Paramètres!$A$1:$I$89,3,0)*0.475*44/12</f>
        <v>22.831363463415105</v>
      </c>
      <c r="CM112" s="21">
        <f>EXP(-LN(2)/2)*CM111+(1-EXP(-LN(2)/2))/(LN(2)/2)*CG112*CJ112*VLOOKUP('Données projet'!$B$12,Paramètres!$A$1:$I$89,3,0)*0.475*44/12</f>
        <v>9.9236002285586764</v>
      </c>
      <c r="CN112" s="22">
        <f t="shared" si="66"/>
        <v>101.57232050097991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6.8811111111111085</v>
      </c>
      <c r="CT112" s="12">
        <f>IF('Données projet'!$A$140&gt;35,CT111+CS112-DB111,IF(A112&lt;'Données projet'!$A$140,$CQ$205^A112,IF(A112='Données projet'!$A$140,'Données projet'!$B$140,CT111+CS112-DB111)))</f>
        <v>266.37555555555537</v>
      </c>
      <c r="CU112" s="17">
        <f>CT112*VLOOKUP('Données projet'!$B$13,Paramètres!$A$1:$I$89,3,0)*VLOOKUP('Données projet'!$B$13,Paramètres!$A$1:$I$89,5,0)</f>
        <v>265.94935466666647</v>
      </c>
      <c r="CV112" s="13">
        <f t="shared" si="95"/>
        <v>63.988865299312351</v>
      </c>
      <c r="CW112" s="20">
        <f t="shared" si="67"/>
        <v>574.64239977407976</v>
      </c>
      <c r="CX112" s="59">
        <f t="shared" si="68"/>
        <v>867.97573310741313</v>
      </c>
      <c r="CY112" s="59">
        <f ca="1">AVERAGE(OFFSET($CX$3,0,0,'Données projet'!$E$13+1,1))-AVERAGE(OFFSET($H$3,0,0,'Données projet'!$E$13+1,1))</f>
        <v>525.74725170626471</v>
      </c>
      <c r="CZ112" s="59">
        <f t="shared" si="96"/>
        <v>259.19103598192197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15.194228101747161</v>
      </c>
      <c r="DG112" s="21">
        <f>EXP(-LN(2)/25)*DG111+(1-EXP(-LN(2)/25))/(LN(2)/25)*Calculateur!DB112*Calculateur!DD112*VLOOKUP('Données projet'!$B$13,Paramètres!$A$1:$I$89,3,0)*0.475*44/12</f>
        <v>25.462223160157961</v>
      </c>
      <c r="DH112" s="21">
        <f>EXP(-LN(2)/2)*DH111+(1-EXP(-LN(2)/2))/(LN(2)/2)*DB112*DE112*VLOOKUP('Données projet'!$B$13,Paramètres!$A$1:$I$89,3,0)*0.475*44/12</f>
        <v>0.68849907386685161</v>
      </c>
      <c r="DI112" s="22">
        <f t="shared" si="69"/>
        <v>41.344950335771969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7.5129999999999999</v>
      </c>
      <c r="DO112" s="12">
        <f>IF('Données projet'!$A$166&gt;35,DO111+DN112-DW111,IF(A112&lt;'Données projet'!$A$166,$DL$205^A112,IF(A112='Données projet'!$A$166,'Données projet'!$B$166,DO111+DN112-DW111)))</f>
        <v>325.99800000000039</v>
      </c>
      <c r="DP112" s="17">
        <f>DO112*VLOOKUP('Données projet'!$B$14,Paramètres!$A$1:$I$89,3,0)*VLOOKUP('Données projet'!$B$14,Paramètres!$A$1:$I$89,5,0)</f>
        <v>294.96299040000036</v>
      </c>
      <c r="DQ112" s="13">
        <f t="shared" si="97"/>
        <v>70.119474431072192</v>
      </c>
      <c r="DR112" s="20">
        <f t="shared" si="70"/>
        <v>635.85195958078464</v>
      </c>
      <c r="DS112" s="59">
        <f t="shared" si="71"/>
        <v>929.18529291411801</v>
      </c>
      <c r="DT112" s="59">
        <f ca="1">AVERAGE(OFFSET($DS$3,0,0,'Données projet'!$E$14+1,1))-AVERAGE(OFFSET($H$3,0,0,'Données projet'!$E$14+1,1))</f>
        <v>490.06222615476065</v>
      </c>
      <c r="DU112" s="59">
        <f t="shared" si="98"/>
        <v>310.43914804089906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26.021258005269033</v>
      </c>
      <c r="EB112" s="21">
        <f>EXP(-LN(2)/25)*EB111+(1-EXP(-LN(2)/25))/(LN(2)/25)*Calculateur!DW112*Calculateur!DY112*VLOOKUP('Données projet'!$B$14,Paramètres!$A$1:$I$89,3,0)*0.475*44/12</f>
        <v>20.04532976682119</v>
      </c>
      <c r="EC112" s="21">
        <f>EXP(-LN(2)/2)*EC111+(1-EXP(-LN(2)/2))/(LN(2)/2)*DW112*DZ112*VLOOKUP('Données projet'!$B$14,Paramètres!$A$1:$I$89,3,0)*0.475*44/12</f>
        <v>0.62109422845562479</v>
      </c>
      <c r="ED112" s="22">
        <f t="shared" si="72"/>
        <v>46.687682000545848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6.8811111111111085</v>
      </c>
      <c r="EJ112" s="12">
        <f>IF('Données projet'!$A$192&gt;35,EJ111+EI112-ER111,IF(A112&lt;'Données projet'!$A$192,$EG$205^A112,IF(A112='Données projet'!$A$192,'Données projet'!$B$192,EJ111+EI112-ER111)))</f>
        <v>266.37555555555537</v>
      </c>
      <c r="EK112" s="17">
        <f>EJ112*VLOOKUP('Données projet'!$B$15,Paramètres!$A$1:$I$89,3,0)*VLOOKUP('Données projet'!$B$15,Paramètres!$A$1:$I$89,5,0)</f>
        <v>270.10481333333314</v>
      </c>
      <c r="EL112" s="13">
        <f t="shared" si="99"/>
        <v>64.87151281999401</v>
      </c>
      <c r="EM112" s="20">
        <f t="shared" si="73"/>
        <v>583.41710138371138</v>
      </c>
      <c r="EN112" s="59">
        <f t="shared" si="74"/>
        <v>876.75043471704475</v>
      </c>
      <c r="EO112" s="59">
        <f ca="1">AVERAGE(OFFSET($EN$3,0,0,'Données projet'!$E$15+1,1))-AVERAGE(OFFSET($H$3,0,0,'Données projet'!$E$15+1,1))</f>
        <v>533.26035274112917</v>
      </c>
      <c r="EP112" s="59">
        <f t="shared" si="100"/>
        <v>262.58149402282521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15.431637915836966</v>
      </c>
      <c r="EW112" s="21">
        <f>EXP(-LN(2)/25)*EW111+(1-EXP(-LN(2)/25))/(LN(2)/25)*Calculateur!ER112*Calculateur!ET112*VLOOKUP('Données projet'!$B$15,Paramètres!$A$1:$I$89,3,0)*0.475*44/12</f>
        <v>25.860070397035425</v>
      </c>
      <c r="EX112" s="21">
        <f>EXP(-LN(2)/2)*EX111+(1-EXP(-LN(2)/2))/(LN(2)/2)*ER112*EU112*VLOOKUP('Données projet'!$B$15,Paramètres!$A$1:$I$89,3,0)*0.475*44/12</f>
        <v>0.69925687189602115</v>
      </c>
      <c r="EY112" s="22">
        <f t="shared" si="75"/>
        <v>41.990965184768406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239.26156489359892</v>
      </c>
      <c r="FK112" s="59">
        <f t="shared" si="102"/>
        <v>213.97034450798111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7.4228806819448394</v>
      </c>
      <c r="FR112" s="21">
        <f>EXP(-LN(2)/25)*FR111+(1-EXP(-LN(2)/25))/(LN(2)/25)*Calculateur!FM112*Calculateur!FO112*VLOOKUP('Données projet'!$B$16,Paramètres!$A$1:$I$89,3,0)*0.475*44/12</f>
        <v>37.710828695243656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45.133709377188495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8.7540000000000013</v>
      </c>
      <c r="N113" s="13">
        <f>IF('Données projet'!$A$36&gt;35,N112+M113-V112,IF(A113&lt;'Données projet'!$A$36,$K$205^A113,IF(A113='Données projet'!$A$36,'Données projet'!$B$36,N112+M113-V112)))</f>
        <v>364.91800000000023</v>
      </c>
      <c r="O113" s="13">
        <f>N113*VLOOKUP('Données projet'!$B$9,Paramètres!$A$1:$I$89,3,0)*VLOOKUP('Données projet'!$B$9,Paramètres!$A$1:$I$89,5,0)</f>
        <v>347.25596880000023</v>
      </c>
      <c r="P113" s="13">
        <f t="shared" si="87"/>
        <v>80.997228143628277</v>
      </c>
      <c r="Q113" s="20">
        <f t="shared" si="107"/>
        <v>745.87431801015293</v>
      </c>
      <c r="R113" s="59">
        <f t="shared" si="55"/>
        <v>1039.2076513434863</v>
      </c>
      <c r="S113" s="59">
        <f ca="1">AVERAGE(OFFSET($R$3,0,0,'Données projet'!$E$9+1,1))-AVERAGE(OFFSET($H$3,0,0,'Données projet'!$E$9+1,1))</f>
        <v>449.28947235329758</v>
      </c>
      <c r="T113" s="59">
        <f t="shared" si="88"/>
        <v>289.36994109443964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39.832847684977111</v>
      </c>
      <c r="AA113" s="21">
        <f>EXP(-LN(2)/25)*AA112+(1-EXP(-LN(2)/25))/(LN(2)/25)*Calculateur!V113*Calculateur!X113*VLOOKUP('Données projet'!$B$9,Paramètres!$A$1:$I$89,3,0)*0.475*44/12</f>
        <v>21.303952334680247</v>
      </c>
      <c r="AB113" s="21">
        <f>EXP(-LN(2)/2)*AB112+(1-EXP(-LN(2)/2))/(LN(2)/2)*V113*Y113*VLOOKUP('Données projet'!$B$9,Paramètres!$A$1:$I$89,3,0)*0.475*44/12</f>
        <v>4.0980305308484357E-4</v>
      </c>
      <c r="AC113" s="22">
        <f t="shared" si="57"/>
        <v>61.137209822710446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-2.2737367544323206E-13</v>
      </c>
      <c r="AJ113" s="13">
        <f>AI113*VLOOKUP('Données projet'!$B$10,Paramètres!$A$1:$I$89,3,0)*VLOOKUP('Données projet'!$B$10,Paramètres!$A$1:$I$89,5,0)</f>
        <v>-1.3596945791505279E-13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349.71285006949597</v>
      </c>
      <c r="AO113" s="59">
        <f t="shared" si="90"/>
        <v>258.51550516456842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84.610503393558091</v>
      </c>
      <c r="AV113" s="21">
        <f>EXP(-LN(2)/25)*AV112+(1-EXP(-LN(2)/25))/(LN(2)/25)*Calculateur!AQ113*Calculateur!AS113*VLOOKUP('Données projet'!$B$10,Paramètres!$A$1:$I$89,3,0)*0.475*44/12</f>
        <v>22.523046434775935</v>
      </c>
      <c r="AW113" s="21">
        <f>EXP(-LN(2)/2)*AW112+(1-EXP(-LN(2)/2))/(LN(2)/2)*AQ113*AT113*VLOOKUP('Données projet'!$B$10,Paramètres!$A$1:$I$89,3,0)*0.475*44/12</f>
        <v>2.1581006714236056E-3</v>
      </c>
      <c r="AX113" s="21">
        <f t="shared" si="60"/>
        <v>107.13570792900545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1.1368683772161603E-13</v>
      </c>
      <c r="BE113" s="13">
        <f>BD113*VLOOKUP('Données projet'!$B$11,Paramètres!$A$1:$I$89,3,0)*VLOOKUP('Données projet'!$B$11,Paramètres!$A$1:$I$89,5,0)</f>
        <v>6.7984728957526396E-14</v>
      </c>
      <c r="BF113" s="13">
        <f t="shared" si="91"/>
        <v>1.0682447123141398E-12</v>
      </c>
      <c r="BG113" s="20">
        <f t="shared" si="61"/>
        <v>1.978932943548152E-12</v>
      </c>
      <c r="BH113" s="59">
        <f t="shared" si="62"/>
        <v>293.3333333333353</v>
      </c>
      <c r="BI113" s="59">
        <f ca="1">AVERAGE(OFFSET($BH$3,0,0,'Données projet'!$E$11+1,1))-AVERAGE(OFFSET($H$3,0,0,'Données projet'!$E$11+1,1))</f>
        <v>302.00825291248458</v>
      </c>
      <c r="BJ113" s="59">
        <f t="shared" si="92"/>
        <v>307.35115839449355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51.589675697965298</v>
      </c>
      <c r="BQ113" s="21">
        <f>EXP(-LN(2)/25)*BQ112+(1-EXP(-LN(2)/25))/(LN(2)/25)*Calculateur!BL113*Calculateur!BN113*VLOOKUP('Données projet'!$B$11,Paramètres!$A$1:$I$89,3,0)*0.475*44/12</f>
        <v>12.110129440963053</v>
      </c>
      <c r="BR113" s="21">
        <f>EXP(-LN(2)/2)*BR112+(1-EXP(-LN(2)/2))/(LN(2)/2)*BL113*BO113*VLOOKUP('Données projet'!$B$11,Paramètres!$A$1:$I$89,3,0)*0.475*44/12</f>
        <v>1.7869902498529403E-6</v>
      </c>
      <c r="BS113" s="22">
        <f t="shared" si="63"/>
        <v>63.699806925918601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8.2299999999999986</v>
      </c>
      <c r="BY113" s="12">
        <f>IF('Données projet'!$A$114&gt;35,BY112+BX113-CG112,IF(A113&lt;'Données projet'!$A$114,$BV$205^A113,IF(A113='Données projet'!$A$114,'Données projet'!$B$114,BY112+BX113-CG112)))</f>
        <v>387.39</v>
      </c>
      <c r="BZ113" s="13">
        <f>BY113*VLOOKUP('Données projet'!$B$12,Paramètres!$A$1:$I$89,3,0)*VLOOKUP('Données projet'!$B$12,Paramètres!$A$1:$I$89,5,0)</f>
        <v>181.29852</v>
      </c>
      <c r="CA113" s="13">
        <f t="shared" si="93"/>
        <v>45.610961972441139</v>
      </c>
      <c r="CB113" s="20">
        <f t="shared" si="64"/>
        <v>395.20068110200162</v>
      </c>
      <c r="CC113" s="59">
        <f t="shared" si="65"/>
        <v>688.53401443533494</v>
      </c>
      <c r="CD113" s="59">
        <f ca="1">AVERAGE(OFFSET($CC$3,0,0,'Données projet'!$E$12+1,1))-AVERAGE(OFFSET($H$3,0,0,'Données projet'!$E$12+1,1))</f>
        <v>337.10499990421835</v>
      </c>
      <c r="CE113" s="59">
        <f t="shared" si="94"/>
        <v>277.4254079562175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67.467890416424552</v>
      </c>
      <c r="CL113" s="21">
        <f>EXP(-LN(2)/25)*CL112+(1-EXP(-LN(2)/25))/(LN(2)/25)*Calculateur!CG113*Calculateur!CI113*VLOOKUP('Données projet'!$B$12,Paramètres!$A$1:$I$89,3,0)*0.475*44/12</f>
        <v>22.207038628858797</v>
      </c>
      <c r="CM113" s="21">
        <f>EXP(-LN(2)/2)*CM112+(1-EXP(-LN(2)/2))/(LN(2)/2)*CG113*CJ113*VLOOKUP('Données projet'!$B$12,Paramètres!$A$1:$I$89,3,0)*0.475*44/12</f>
        <v>7.0170450153982138</v>
      </c>
      <c r="CN113" s="22">
        <f t="shared" si="66"/>
        <v>96.691974060681559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6.8811111111111085</v>
      </c>
      <c r="CT113" s="12">
        <f>IF('Données projet'!$A$140&gt;35,CT112+CS113-DB112,IF(A113&lt;'Données projet'!$A$140,$CQ$205^A113,IF(A113='Données projet'!$A$140,'Données projet'!$B$140,CT112+CS113-DB112)))</f>
        <v>273.25666666666649</v>
      </c>
      <c r="CU113" s="17">
        <f>CT113*VLOOKUP('Données projet'!$B$13,Paramètres!$A$1:$I$89,3,0)*VLOOKUP('Données projet'!$B$13,Paramètres!$A$1:$I$89,5,0)</f>
        <v>272.81945599999983</v>
      </c>
      <c r="CV113" s="13">
        <f t="shared" si="95"/>
        <v>65.447266761957493</v>
      </c>
      <c r="CW113" s="20">
        <f t="shared" si="67"/>
        <v>589.14787547707567</v>
      </c>
      <c r="CX113" s="59">
        <f t="shared" si="68"/>
        <v>882.48120881040904</v>
      </c>
      <c r="CY113" s="59">
        <f ca="1">AVERAGE(OFFSET($CX$3,0,0,'Données projet'!$E$13+1,1))-AVERAGE(OFFSET($H$3,0,0,'Données projet'!$E$13+1,1))</f>
        <v>525.74725170626471</v>
      </c>
      <c r="CZ113" s="59">
        <f t="shared" si="96"/>
        <v>259.19103598192197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14.896278556235945</v>
      </c>
      <c r="DG113" s="21">
        <f>EXP(-LN(2)/25)*DG112+(1-EXP(-LN(2)/25))/(LN(2)/25)*Calculateur!DB113*Calculateur!DD113*VLOOKUP('Données projet'!$B$13,Paramètres!$A$1:$I$89,3,0)*0.475*44/12</f>
        <v>24.765957328843321</v>
      </c>
      <c r="DH113" s="21">
        <f>EXP(-LN(2)/2)*DH112+(1-EXP(-LN(2)/2))/(LN(2)/2)*DB113*DE113*VLOOKUP('Données projet'!$B$13,Paramètres!$A$1:$I$89,3,0)*0.475*44/12</f>
        <v>0.4868423639719085</v>
      </c>
      <c r="DI113" s="22">
        <f t="shared" si="69"/>
        <v>40.149078249051179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7.5129999999999999</v>
      </c>
      <c r="DO113" s="12">
        <f>IF('Données projet'!$A$166&gt;35,DO112+DN113-DW112,IF(A113&lt;'Données projet'!$A$166,$DL$205^A113,IF(A113='Données projet'!$A$166,'Données projet'!$B$166,DO112+DN113-DW112)))</f>
        <v>333.51100000000037</v>
      </c>
      <c r="DP113" s="17">
        <f>DO113*VLOOKUP('Données projet'!$B$14,Paramètres!$A$1:$I$89,3,0)*VLOOKUP('Données projet'!$B$14,Paramètres!$A$1:$I$89,5,0)</f>
        <v>301.76075280000032</v>
      </c>
      <c r="DQ113" s="13">
        <f t="shared" si="97"/>
        <v>71.545459081640786</v>
      </c>
      <c r="DR113" s="20">
        <f t="shared" si="70"/>
        <v>650.17498569385816</v>
      </c>
      <c r="DS113" s="59">
        <f t="shared" si="71"/>
        <v>943.50831902719142</v>
      </c>
      <c r="DT113" s="59">
        <f ca="1">AVERAGE(OFFSET($DS$3,0,0,'Données projet'!$E$14+1,1))-AVERAGE(OFFSET($H$3,0,0,'Données projet'!$E$14+1,1))</f>
        <v>490.06222615476065</v>
      </c>
      <c r="DU113" s="59">
        <f t="shared" si="98"/>
        <v>310.43914804089906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25.510997007185921</v>
      </c>
      <c r="EB113" s="21">
        <f>EXP(-LN(2)/25)*EB112+(1-EXP(-LN(2)/25))/(LN(2)/25)*Calculateur!DW113*Calculateur!DY113*VLOOKUP('Données projet'!$B$14,Paramètres!$A$1:$I$89,3,0)*0.475*44/12</f>
        <v>19.497189170209385</v>
      </c>
      <c r="EC113" s="21">
        <f>EXP(-LN(2)/2)*EC112+(1-EXP(-LN(2)/2))/(LN(2)/2)*DW113*DZ113*VLOOKUP('Données projet'!$B$14,Paramètres!$A$1:$I$89,3,0)*0.475*44/12</f>
        <v>0.43917994069679905</v>
      </c>
      <c r="ED113" s="22">
        <f t="shared" si="72"/>
        <v>45.447366118092098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6.8811111111111085</v>
      </c>
      <c r="EJ113" s="12">
        <f>IF('Données projet'!$A$192&gt;35,EJ112+EI113-ER112,IF(A113&lt;'Données projet'!$A$192,$EG$205^A113,IF(A113='Données projet'!$A$192,'Données projet'!$B$192,EJ112+EI113-ER112)))</f>
        <v>273.25666666666649</v>
      </c>
      <c r="EK113" s="17">
        <f>EJ113*VLOOKUP('Données projet'!$B$15,Paramètres!$A$1:$I$89,3,0)*VLOOKUP('Données projet'!$B$15,Paramètres!$A$1:$I$89,5,0)</f>
        <v>277.08225999999985</v>
      </c>
      <c r="EL113" s="13">
        <f t="shared" si="99"/>
        <v>66.350031133112068</v>
      </c>
      <c r="EM113" s="20">
        <f t="shared" si="73"/>
        <v>598.14457372350319</v>
      </c>
      <c r="EN113" s="59">
        <f t="shared" si="74"/>
        <v>891.47790705683656</v>
      </c>
      <c r="EO113" s="59">
        <f ca="1">AVERAGE(OFFSET($EN$3,0,0,'Données projet'!$E$15+1,1))-AVERAGE(OFFSET($H$3,0,0,'Données projet'!$E$15+1,1))</f>
        <v>533.26035274112917</v>
      </c>
      <c r="EP113" s="59">
        <f t="shared" si="100"/>
        <v>262.58149402282521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15.129032908677138</v>
      </c>
      <c r="EW113" s="21">
        <f>EXP(-LN(2)/25)*EW112+(1-EXP(-LN(2)/25))/(LN(2)/25)*Calculateur!ER113*Calculateur!ET113*VLOOKUP('Données projet'!$B$15,Paramètres!$A$1:$I$89,3,0)*0.475*44/12</f>
        <v>25.152925412106494</v>
      </c>
      <c r="EX113" s="21">
        <f>EXP(-LN(2)/2)*EX112+(1-EXP(-LN(2)/2))/(LN(2)/2)*ER113*EU113*VLOOKUP('Données projet'!$B$15,Paramètres!$A$1:$I$89,3,0)*0.475*44/12</f>
        <v>0.49444927590896953</v>
      </c>
      <c r="EY113" s="22">
        <f t="shared" si="75"/>
        <v>40.7764075966926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239.26156489359892</v>
      </c>
      <c r="FK113" s="59">
        <f t="shared" si="102"/>
        <v>213.97034450798111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7.2773225192820625</v>
      </c>
      <c r="FR113" s="21">
        <f>EXP(-LN(2)/25)*FR112+(1-EXP(-LN(2)/25))/(LN(2)/25)*Calculateur!FM113*Calculateur!FO113*VLOOKUP('Données projet'!$B$16,Paramètres!$A$1:$I$89,3,0)*0.475*44/12</f>
        <v>36.679624101445924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43.95694662072799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8.7540000000000013</v>
      </c>
      <c r="N114" s="13">
        <f>IF('Données projet'!$A$36&gt;35,N113+M114-V113,IF(A114&lt;'Données projet'!$A$36,$K$205^A114,IF(A114='Données projet'!$A$36,'Données projet'!$B$36,N113+M114-V113)))</f>
        <v>373.67200000000025</v>
      </c>
      <c r="O114" s="13">
        <f>N114*VLOOKUP('Données projet'!$B$9,Paramètres!$A$1:$I$89,3,0)*VLOOKUP('Données projet'!$B$9,Paramètres!$A$1:$I$89,5,0)</f>
        <v>355.58627520000022</v>
      </c>
      <c r="P114" s="13">
        <f t="shared" si="87"/>
        <v>82.711721103289179</v>
      </c>
      <c r="Q114" s="20">
        <f t="shared" si="107"/>
        <v>763.36901022822894</v>
      </c>
      <c r="R114" s="59">
        <f t="shared" si="55"/>
        <v>1056.7023435615622</v>
      </c>
      <c r="S114" s="59">
        <f ca="1">AVERAGE(OFFSET($R$3,0,0,'Données projet'!$E$9+1,1))-AVERAGE(OFFSET($H$3,0,0,'Données projet'!$E$9+1,1))</f>
        <v>449.28947235329758</v>
      </c>
      <c r="T114" s="59">
        <f t="shared" si="88"/>
        <v>289.36994109443964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39.051749837512801</v>
      </c>
      <c r="AA114" s="21">
        <f>EXP(-LN(2)/25)*AA113+(1-EXP(-LN(2)/25))/(LN(2)/25)*Calculateur!V114*Calculateur!X114*VLOOKUP('Données projet'!$B$9,Paramètres!$A$1:$I$89,3,0)*0.475*44/12</f>
        <v>20.721394637762252</v>
      </c>
      <c r="AB114" s="21">
        <f>EXP(-LN(2)/2)*AB113+(1-EXP(-LN(2)/2))/(LN(2)/2)*V114*Y114*VLOOKUP('Données projet'!$B$9,Paramètres!$A$1:$I$89,3,0)*0.475*44/12</f>
        <v>2.897745177872436E-4</v>
      </c>
      <c r="AC114" s="22">
        <f t="shared" si="57"/>
        <v>59.773434249792842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-2.2737367544323206E-13</v>
      </c>
      <c r="AJ114" s="13">
        <f>AI114*VLOOKUP('Données projet'!$B$10,Paramètres!$A$1:$I$89,3,0)*VLOOKUP('Données projet'!$B$10,Paramètres!$A$1:$I$89,5,0)</f>
        <v>-1.3596945791505279E-13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349.71285006949597</v>
      </c>
      <c r="AO114" s="59">
        <f t="shared" si="90"/>
        <v>258.51550516456842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82.951343029321691</v>
      </c>
      <c r="AV114" s="21">
        <f>EXP(-LN(2)/25)*AV113+(1-EXP(-LN(2)/25))/(LN(2)/25)*Calculateur!AQ114*Calculateur!AS114*VLOOKUP('Données projet'!$B$10,Paramètres!$A$1:$I$89,3,0)*0.475*44/12</f>
        <v>21.907152545581454</v>
      </c>
      <c r="AW114" s="21">
        <f>EXP(-LN(2)/2)*AW113+(1-EXP(-LN(2)/2))/(LN(2)/2)*AQ114*AT114*VLOOKUP('Données projet'!$B$10,Paramètres!$A$1:$I$89,3,0)*0.475*44/12</f>
        <v>1.5260076192468728E-3</v>
      </c>
      <c r="AX114" s="21">
        <f t="shared" si="60"/>
        <v>104.86002158252239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1.1368683772161603E-13</v>
      </c>
      <c r="BE114" s="13">
        <f>BD114*VLOOKUP('Données projet'!$B$11,Paramètres!$A$1:$I$89,3,0)*VLOOKUP('Données projet'!$B$11,Paramètres!$A$1:$I$89,5,0)</f>
        <v>6.7984728957526396E-14</v>
      </c>
      <c r="BF114" s="13">
        <f t="shared" si="91"/>
        <v>1.0682447123141398E-12</v>
      </c>
      <c r="BG114" s="20">
        <f t="shared" si="61"/>
        <v>1.978932943548152E-12</v>
      </c>
      <c r="BH114" s="59">
        <f t="shared" si="62"/>
        <v>293.3333333333353</v>
      </c>
      <c r="BI114" s="59">
        <f ca="1">AVERAGE(OFFSET($BH$3,0,0,'Données projet'!$E$11+1,1))-AVERAGE(OFFSET($H$3,0,0,'Données projet'!$E$11+1,1))</f>
        <v>302.00825291248458</v>
      </c>
      <c r="BJ114" s="59">
        <f t="shared" si="92"/>
        <v>307.35115839449355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50.578033624123307</v>
      </c>
      <c r="BQ114" s="21">
        <f>EXP(-LN(2)/25)*BQ113+(1-EXP(-LN(2)/25))/(LN(2)/25)*Calculateur!BL114*Calculateur!BN114*VLOOKUP('Données projet'!$B$11,Paramètres!$A$1:$I$89,3,0)*0.475*44/12</f>
        <v>11.77897731455589</v>
      </c>
      <c r="BR114" s="21">
        <f>EXP(-LN(2)/2)*BR113+(1-EXP(-LN(2)/2))/(LN(2)/2)*BL114*BO114*VLOOKUP('Données projet'!$B$11,Paramètres!$A$1:$I$89,3,0)*0.475*44/12</f>
        <v>1.2635929235852569E-6</v>
      </c>
      <c r="BS114" s="22">
        <f t="shared" si="63"/>
        <v>62.357012202272116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8.2299999999999986</v>
      </c>
      <c r="BY114" s="12">
        <f>IF('Données projet'!$A$114&gt;35,BY113+BX114-CG113,IF(A114&lt;'Données projet'!$A$114,$BV$205^A114,IF(A114='Données projet'!$A$114,'Données projet'!$B$114,BY113+BX114-CG113)))</f>
        <v>395.62</v>
      </c>
      <c r="BZ114" s="13">
        <f>BY114*VLOOKUP('Données projet'!$B$12,Paramètres!$A$1:$I$89,3,0)*VLOOKUP('Données projet'!$B$12,Paramètres!$A$1:$I$89,5,0)</f>
        <v>185.15016000000003</v>
      </c>
      <c r="CA114" s="13">
        <f t="shared" si="93"/>
        <v>46.466113860658915</v>
      </c>
      <c r="CB114" s="20">
        <f t="shared" si="64"/>
        <v>403.39834364064762</v>
      </c>
      <c r="CC114" s="59">
        <f t="shared" si="65"/>
        <v>696.73167697398094</v>
      </c>
      <c r="CD114" s="59">
        <f ca="1">AVERAGE(OFFSET($CC$3,0,0,'Données projet'!$E$12+1,1))-AVERAGE(OFFSET($H$3,0,0,'Données projet'!$E$12+1,1))</f>
        <v>337.10499990421835</v>
      </c>
      <c r="CE114" s="59">
        <f t="shared" si="94"/>
        <v>277.4254079562175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66.14488623670826</v>
      </c>
      <c r="CL114" s="21">
        <f>EXP(-LN(2)/25)*CL113+(1-EXP(-LN(2)/25))/(LN(2)/25)*Calculateur!CG114*Calculateur!CI114*VLOOKUP('Données projet'!$B$12,Paramètres!$A$1:$I$89,3,0)*0.475*44/12</f>
        <v>21.599785989735246</v>
      </c>
      <c r="CM114" s="21">
        <f>EXP(-LN(2)/2)*CM113+(1-EXP(-LN(2)/2))/(LN(2)/2)*CG114*CJ114*VLOOKUP('Données projet'!$B$12,Paramètres!$A$1:$I$89,3,0)*0.475*44/12</f>
        <v>4.9618001142793391</v>
      </c>
      <c r="CN114" s="22">
        <f t="shared" si="66"/>
        <v>92.70647234072284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6.8811111111111085</v>
      </c>
      <c r="CT114" s="12">
        <f>IF('Données projet'!$A$140&gt;35,CT113+CS114-DB113,IF(A114&lt;'Données projet'!$A$140,$CQ$205^A114,IF(A114='Données projet'!$A$140,'Données projet'!$B$140,CT113+CS114-DB113)))</f>
        <v>280.13777777777761</v>
      </c>
      <c r="CU114" s="17">
        <f>CT114*VLOOKUP('Données projet'!$B$13,Paramètres!$A$1:$I$89,3,0)*VLOOKUP('Données projet'!$B$13,Paramètres!$A$1:$I$89,5,0)</f>
        <v>279.6895573333332</v>
      </c>
      <c r="CV114" s="13">
        <f t="shared" si="95"/>
        <v>66.901399186352108</v>
      </c>
      <c r="CW114" s="20">
        <f t="shared" si="67"/>
        <v>603.64591593845182</v>
      </c>
      <c r="CX114" s="59">
        <f t="shared" si="68"/>
        <v>896.97924927178519</v>
      </c>
      <c r="CY114" s="59">
        <f ca="1">AVERAGE(OFFSET($CX$3,0,0,'Données projet'!$E$13+1,1))-AVERAGE(OFFSET($H$3,0,0,'Données projet'!$E$13+1,1))</f>
        <v>525.74725170626471</v>
      </c>
      <c r="CZ114" s="59">
        <f t="shared" si="96"/>
        <v>259.19103598192197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14.604171619580926</v>
      </c>
      <c r="DG114" s="21">
        <f>EXP(-LN(2)/25)*DG113+(1-EXP(-LN(2)/25))/(LN(2)/25)*Calculateur!DB114*Calculateur!DD114*VLOOKUP('Données projet'!$B$13,Paramètres!$A$1:$I$89,3,0)*0.475*44/12</f>
        <v>24.088730923301007</v>
      </c>
      <c r="DH114" s="21">
        <f>EXP(-LN(2)/2)*DH113+(1-EXP(-LN(2)/2))/(LN(2)/2)*DB114*DE114*VLOOKUP('Données projet'!$B$13,Paramètres!$A$1:$I$89,3,0)*0.475*44/12</f>
        <v>0.34424953693342586</v>
      </c>
      <c r="DI114" s="22">
        <f t="shared" si="69"/>
        <v>39.037152079815357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7.5129999999999999</v>
      </c>
      <c r="DO114" s="12">
        <f>IF('Données projet'!$A$166&gt;35,DO113+DN114-DW113,IF(A114&lt;'Données projet'!$A$166,$DL$205^A114,IF(A114='Données projet'!$A$166,'Données projet'!$B$166,DO113+DN114-DW113)))</f>
        <v>341.02400000000034</v>
      </c>
      <c r="DP114" s="17">
        <f>DO114*VLOOKUP('Données projet'!$B$14,Paramètres!$A$1:$I$89,3,0)*VLOOKUP('Données projet'!$B$14,Paramètres!$A$1:$I$89,5,0)</f>
        <v>308.55851520000027</v>
      </c>
      <c r="DQ114" s="13">
        <f t="shared" si="97"/>
        <v>72.967709162109642</v>
      </c>
      <c r="DR114" s="20">
        <f t="shared" si="70"/>
        <v>664.4915074306748</v>
      </c>
      <c r="DS114" s="59">
        <f t="shared" si="71"/>
        <v>957.82484076400806</v>
      </c>
      <c r="DT114" s="59">
        <f ca="1">AVERAGE(OFFSET($DS$3,0,0,'Données projet'!$E$14+1,1))-AVERAGE(OFFSET($H$3,0,0,'Données projet'!$E$14+1,1))</f>
        <v>490.06222615476065</v>
      </c>
      <c r="DU114" s="59">
        <f t="shared" si="98"/>
        <v>310.43914804089906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25.01074191604674</v>
      </c>
      <c r="EB114" s="21">
        <f>EXP(-LN(2)/25)*EB113+(1-EXP(-LN(2)/25))/(LN(2)/25)*Calculateur!DW114*Calculateur!DY114*VLOOKUP('Données projet'!$B$14,Paramètres!$A$1:$I$89,3,0)*0.475*44/12</f>
        <v>18.964037507037393</v>
      </c>
      <c r="EC114" s="21">
        <f>EXP(-LN(2)/2)*EC113+(1-EXP(-LN(2)/2))/(LN(2)/2)*DW114*DZ114*VLOOKUP('Données projet'!$B$14,Paramètres!$A$1:$I$89,3,0)*0.475*44/12</f>
        <v>0.31054711422781245</v>
      </c>
      <c r="ED114" s="22">
        <f t="shared" si="72"/>
        <v>44.285326537311938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6.8811111111111085</v>
      </c>
      <c r="EJ114" s="12">
        <f>IF('Données projet'!$A$192&gt;35,EJ113+EI114-ER113,IF(A114&lt;'Données projet'!$A$192,$EG$205^A114,IF(A114='Données projet'!$A$192,'Données projet'!$B$192,EJ113+EI114-ER113)))</f>
        <v>280.13777777777761</v>
      </c>
      <c r="EK114" s="17">
        <f>EJ114*VLOOKUP('Données projet'!$B$15,Paramètres!$A$1:$I$89,3,0)*VLOOKUP('Données projet'!$B$15,Paramètres!$A$1:$I$89,5,0)</f>
        <v>284.0597066666665</v>
      </c>
      <c r="EL114" s="13">
        <f t="shared" si="99"/>
        <v>67.824221521859315</v>
      </c>
      <c r="EM114" s="20">
        <f t="shared" si="73"/>
        <v>612.86450826168243</v>
      </c>
      <c r="EN114" s="59">
        <f t="shared" si="74"/>
        <v>906.19784159501569</v>
      </c>
      <c r="EO114" s="59">
        <f ca="1">AVERAGE(OFFSET($EN$3,0,0,'Données projet'!$E$15+1,1))-AVERAGE(OFFSET($H$3,0,0,'Données projet'!$E$15+1,1))</f>
        <v>533.26035274112917</v>
      </c>
      <c r="EP114" s="59">
        <f t="shared" si="100"/>
        <v>262.58149402282521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14.832361801136884</v>
      </c>
      <c r="EW114" s="21">
        <f>EXP(-LN(2)/25)*EW113+(1-EXP(-LN(2)/25))/(LN(2)/25)*Calculateur!ER114*Calculateur!ET114*VLOOKUP('Données projet'!$B$15,Paramètres!$A$1:$I$89,3,0)*0.475*44/12</f>
        <v>24.465117343977582</v>
      </c>
      <c r="EX114" s="21">
        <f>EXP(-LN(2)/2)*EX113+(1-EXP(-LN(2)/2))/(LN(2)/2)*ER114*EU114*VLOOKUP('Données projet'!$B$15,Paramètres!$A$1:$I$89,3,0)*0.475*44/12</f>
        <v>0.34962843594801063</v>
      </c>
      <c r="EY114" s="22">
        <f t="shared" si="75"/>
        <v>39.647107581062478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239.26156489359892</v>
      </c>
      <c r="FK114" s="59">
        <f t="shared" si="102"/>
        <v>213.97034450798111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7.13461866340739</v>
      </c>
      <c r="FR114" s="21">
        <f>EXP(-LN(2)/25)*FR113+(1-EXP(-LN(2)/25))/(LN(2)/25)*Calculateur!FM114*Calculateur!FO114*VLOOKUP('Données projet'!$B$16,Paramètres!$A$1:$I$89,3,0)*0.475*44/12</f>
        <v>35.676617851494285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42.811236514901672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8.7540000000000013</v>
      </c>
      <c r="N115" s="13">
        <f>IF('Données projet'!$A$36&gt;35,N114+M115-V114,IF(A115&lt;'Données projet'!$A$36,$K$205^A115,IF(A115='Données projet'!$A$36,'Données projet'!$B$36,N114+M115-V114)))</f>
        <v>382.42600000000027</v>
      </c>
      <c r="O115" s="13">
        <f>N115*VLOOKUP('Données projet'!$B$9,Paramètres!$A$1:$I$89,3,0)*VLOOKUP('Données projet'!$B$9,Paramètres!$A$1:$I$89,5,0)</f>
        <v>363.91658160000026</v>
      </c>
      <c r="P115" s="13">
        <f t="shared" si="87"/>
        <v>84.421544732010858</v>
      </c>
      <c r="Q115" s="20">
        <f t="shared" si="107"/>
        <v>780.85557002825271</v>
      </c>
      <c r="R115" s="59">
        <f t="shared" si="55"/>
        <v>1074.188903361586</v>
      </c>
      <c r="S115" s="59">
        <f ca="1">AVERAGE(OFFSET($R$3,0,0,'Données projet'!$E$9+1,1))-AVERAGE(OFFSET($H$3,0,0,'Données projet'!$E$9+1,1))</f>
        <v>449.28947235329758</v>
      </c>
      <c r="T115" s="59">
        <f t="shared" si="88"/>
        <v>289.36994109443964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38.285968842414626</v>
      </c>
      <c r="AA115" s="21">
        <f>EXP(-LN(2)/25)*AA114+(1-EXP(-LN(2)/25))/(LN(2)/25)*Calculateur!V115*Calculateur!X115*VLOOKUP('Données projet'!$B$9,Paramètres!$A$1:$I$89,3,0)*0.475*44/12</f>
        <v>20.154767011701857</v>
      </c>
      <c r="AB115" s="21">
        <f>EXP(-LN(2)/2)*AB114+(1-EXP(-LN(2)/2))/(LN(2)/2)*V115*Y115*VLOOKUP('Données projet'!$B$9,Paramètres!$A$1:$I$89,3,0)*0.475*44/12</f>
        <v>2.0490152654242179E-4</v>
      </c>
      <c r="AC115" s="22">
        <f t="shared" si="57"/>
        <v>58.440940755643027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-2.2737367544323206E-13</v>
      </c>
      <c r="AJ115" s="13">
        <f>AI115*VLOOKUP('Données projet'!$B$10,Paramètres!$A$1:$I$89,3,0)*VLOOKUP('Données projet'!$B$10,Paramètres!$A$1:$I$89,5,0)</f>
        <v>-1.3596945791505279E-13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349.71285006949597</v>
      </c>
      <c r="AO115" s="59">
        <f t="shared" si="90"/>
        <v>258.51550516456842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81.324717787840072</v>
      </c>
      <c r="AV115" s="21">
        <f>EXP(-LN(2)/25)*AV114+(1-EXP(-LN(2)/25))/(LN(2)/25)*Calculateur!AQ115*Calculateur!AS115*VLOOKUP('Données projet'!$B$10,Paramètres!$A$1:$I$89,3,0)*0.475*44/12</f>
        <v>21.308100307175447</v>
      </c>
      <c r="AW115" s="21">
        <f>EXP(-LN(2)/2)*AW114+(1-EXP(-LN(2)/2))/(LN(2)/2)*AQ115*AT115*VLOOKUP('Données projet'!$B$10,Paramètres!$A$1:$I$89,3,0)*0.475*44/12</f>
        <v>1.0790503357118028E-3</v>
      </c>
      <c r="AX115" s="21">
        <f t="shared" si="60"/>
        <v>102.63389714535124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1.1368683772161603E-13</v>
      </c>
      <c r="BE115" s="13">
        <f>BD115*VLOOKUP('Données projet'!$B$11,Paramètres!$A$1:$I$89,3,0)*VLOOKUP('Données projet'!$B$11,Paramètres!$A$1:$I$89,5,0)</f>
        <v>6.7984728957526396E-14</v>
      </c>
      <c r="BF115" s="13">
        <f t="shared" si="91"/>
        <v>1.0682447123141398E-12</v>
      </c>
      <c r="BG115" s="20">
        <f t="shared" si="61"/>
        <v>1.978932943548152E-12</v>
      </c>
      <c r="BH115" s="59">
        <f t="shared" si="62"/>
        <v>293.3333333333353</v>
      </c>
      <c r="BI115" s="59">
        <f ca="1">AVERAGE(OFFSET($BH$3,0,0,'Données projet'!$E$11+1,1))-AVERAGE(OFFSET($H$3,0,0,'Données projet'!$E$11+1,1))</f>
        <v>302.00825291248458</v>
      </c>
      <c r="BJ115" s="59">
        <f t="shared" si="92"/>
        <v>307.35115839449355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49.586229234308618</v>
      </c>
      <c r="BQ115" s="21">
        <f>EXP(-LN(2)/25)*BQ114+(1-EXP(-LN(2)/25))/(LN(2)/25)*Calculateur!BL115*Calculateur!BN115*VLOOKUP('Données projet'!$B$11,Paramètres!$A$1:$I$89,3,0)*0.475*44/12</f>
        <v>11.456880560459863</v>
      </c>
      <c r="BR115" s="21">
        <f>EXP(-LN(2)/2)*BR114+(1-EXP(-LN(2)/2))/(LN(2)/2)*BL115*BO115*VLOOKUP('Données projet'!$B$11,Paramètres!$A$1:$I$89,3,0)*0.475*44/12</f>
        <v>8.9349512492647013E-7</v>
      </c>
      <c r="BS115" s="22">
        <f t="shared" si="63"/>
        <v>61.04311068826361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8.2299999999999986</v>
      </c>
      <c r="BY115" s="12">
        <f>IF('Données projet'!$A$114&gt;35,BY114+BX115-CG114,IF(A115&lt;'Données projet'!$A$114,$BV$205^A115,IF(A115='Données projet'!$A$114,'Données projet'!$B$114,BY114+BX115-CG114)))</f>
        <v>403.85</v>
      </c>
      <c r="BZ115" s="13">
        <f>BY115*VLOOKUP('Données projet'!$B$12,Paramètres!$A$1:$I$89,3,0)*VLOOKUP('Données projet'!$B$12,Paramètres!$A$1:$I$89,5,0)</f>
        <v>189.0018</v>
      </c>
      <c r="CA115" s="13">
        <f t="shared" si="93"/>
        <v>47.319197393100204</v>
      </c>
      <c r="CB115" s="20">
        <f t="shared" si="64"/>
        <v>411.59240379298285</v>
      </c>
      <c r="CC115" s="59">
        <f t="shared" si="65"/>
        <v>704.92573712631611</v>
      </c>
      <c r="CD115" s="59">
        <f ca="1">AVERAGE(OFFSET($CC$3,0,0,'Données projet'!$E$12+1,1))-AVERAGE(OFFSET($H$3,0,0,'Données projet'!$E$12+1,1))</f>
        <v>337.10499990421835</v>
      </c>
      <c r="CE115" s="59">
        <f t="shared" si="94"/>
        <v>277.4254079562175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64.847825362003334</v>
      </c>
      <c r="CL115" s="21">
        <f>EXP(-LN(2)/25)*CL114+(1-EXP(-LN(2)/25))/(LN(2)/25)*Calculateur!CG115*Calculateur!CI115*VLOOKUP('Données projet'!$B$12,Paramètres!$A$1:$I$89,3,0)*0.475*44/12</f>
        <v>21.009138705962556</v>
      </c>
      <c r="CM115" s="21">
        <f>EXP(-LN(2)/2)*CM114+(1-EXP(-LN(2)/2))/(LN(2)/2)*CG115*CJ115*VLOOKUP('Données projet'!$B$12,Paramètres!$A$1:$I$89,3,0)*0.475*44/12</f>
        <v>3.5085225076991073</v>
      </c>
      <c r="CN115" s="22">
        <f t="shared" si="66"/>
        <v>89.365486575665003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6.8811111111111085</v>
      </c>
      <c r="CT115" s="12">
        <f>IF('Données projet'!$A$140&gt;35,CT114+CS115-DB114,IF(A115&lt;'Données projet'!$A$140,$CQ$205^A115,IF(A115='Données projet'!$A$140,'Données projet'!$B$140,CT114+CS115-DB114)))</f>
        <v>287.01888888888874</v>
      </c>
      <c r="CU115" s="17">
        <f>CT115*VLOOKUP('Données projet'!$B$13,Paramètres!$A$1:$I$89,3,0)*VLOOKUP('Données projet'!$B$13,Paramètres!$A$1:$I$89,5,0)</f>
        <v>286.55965866666656</v>
      </c>
      <c r="CV115" s="13">
        <f t="shared" si="95"/>
        <v>68.351379496692516</v>
      </c>
      <c r="CW115" s="20">
        <f t="shared" si="67"/>
        <v>618.13672480118373</v>
      </c>
      <c r="CX115" s="59">
        <f t="shared" si="68"/>
        <v>911.4700581345171</v>
      </c>
      <c r="CY115" s="59">
        <f ca="1">AVERAGE(OFFSET($CX$3,0,0,'Données projet'!$E$13+1,1))-AVERAGE(OFFSET($H$3,0,0,'Données projet'!$E$13+1,1))</f>
        <v>525.74725170626471</v>
      </c>
      <c r="CZ115" s="59">
        <f t="shared" si="96"/>
        <v>259.19103598192197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14.317792721786073</v>
      </c>
      <c r="DG115" s="21">
        <f>EXP(-LN(2)/25)*DG114+(1-EXP(-LN(2)/25))/(LN(2)/25)*Calculateur!DB115*Calculateur!DD115*VLOOKUP('Données projet'!$B$13,Paramètres!$A$1:$I$89,3,0)*0.475*44/12</f>
        <v>23.430023309432038</v>
      </c>
      <c r="DH115" s="21">
        <f>EXP(-LN(2)/2)*DH114+(1-EXP(-LN(2)/2))/(LN(2)/2)*DB115*DE115*VLOOKUP('Données projet'!$B$13,Paramètres!$A$1:$I$89,3,0)*0.475*44/12</f>
        <v>0.24342118198595428</v>
      </c>
      <c r="DI115" s="22">
        <f t="shared" si="69"/>
        <v>37.991237213204059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7.5129999999999999</v>
      </c>
      <c r="DO115" s="12">
        <f>IF('Données projet'!$A$166&gt;35,DO114+DN115-DW114,IF(A115&lt;'Données projet'!$A$166,$DL$205^A115,IF(A115='Données projet'!$A$166,'Données projet'!$B$166,DO114+DN115-DW114)))</f>
        <v>348.53700000000032</v>
      </c>
      <c r="DP115" s="17">
        <f>DO115*VLOOKUP('Données projet'!$B$14,Paramètres!$A$1:$I$89,3,0)*VLOOKUP('Données projet'!$B$14,Paramètres!$A$1:$I$89,5,0)</f>
        <v>315.35627760000028</v>
      </c>
      <c r="DQ115" s="13">
        <f t="shared" si="97"/>
        <v>74.386316421858538</v>
      </c>
      <c r="DR115" s="20">
        <f t="shared" si="70"/>
        <v>678.80168458807077</v>
      </c>
      <c r="DS115" s="59">
        <f t="shared" si="71"/>
        <v>972.13501792140414</v>
      </c>
      <c r="DT115" s="59">
        <f ca="1">AVERAGE(OFFSET($DS$3,0,0,'Données projet'!$E$14+1,1))-AVERAGE(OFFSET($H$3,0,0,'Données projet'!$E$14+1,1))</f>
        <v>490.06222615476065</v>
      </c>
      <c r="DU115" s="59">
        <f t="shared" si="98"/>
        <v>310.43914804089906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24.52029652211932</v>
      </c>
      <c r="EB115" s="21">
        <f>EXP(-LN(2)/25)*EB114+(1-EXP(-LN(2)/25))/(LN(2)/25)*Calculateur!DW115*Calculateur!DY115*VLOOKUP('Données projet'!$B$14,Paramètres!$A$1:$I$89,3,0)*0.475*44/12</f>
        <v>18.445464904132066</v>
      </c>
      <c r="EC115" s="21">
        <f>EXP(-LN(2)/2)*EC114+(1-EXP(-LN(2)/2))/(LN(2)/2)*DW115*DZ115*VLOOKUP('Données projet'!$B$14,Paramètres!$A$1:$I$89,3,0)*0.475*44/12</f>
        <v>0.21958997034839958</v>
      </c>
      <c r="ED115" s="22">
        <f t="shared" si="72"/>
        <v>43.185351396599792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6.8811111111111085</v>
      </c>
      <c r="EJ115" s="12">
        <f>IF('Données projet'!$A$192&gt;35,EJ114+EI115-ER114,IF(A115&lt;'Données projet'!$A$192,$EG$205^A115,IF(A115='Données projet'!$A$192,'Données projet'!$B$192,EJ114+EI115-ER114)))</f>
        <v>287.01888888888874</v>
      </c>
      <c r="EK115" s="17">
        <f>EJ115*VLOOKUP('Données projet'!$B$15,Paramètres!$A$1:$I$89,3,0)*VLOOKUP('Données projet'!$B$15,Paramètres!$A$1:$I$89,5,0)</f>
        <v>291.03715333333321</v>
      </c>
      <c r="EL115" s="13">
        <f t="shared" si="99"/>
        <v>69.294202523257042</v>
      </c>
      <c r="EM115" s="20">
        <f t="shared" si="73"/>
        <v>627.57711145022802</v>
      </c>
      <c r="EN115" s="59">
        <f t="shared" si="74"/>
        <v>920.91044478356139</v>
      </c>
      <c r="EO115" s="59">
        <f ca="1">AVERAGE(OFFSET($EN$3,0,0,'Données projet'!$E$15+1,1))-AVERAGE(OFFSET($H$3,0,0,'Données projet'!$E$15+1,1))</f>
        <v>533.26035274112917</v>
      </c>
      <c r="EP115" s="59">
        <f t="shared" si="100"/>
        <v>262.58149402282521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14.541508233063986</v>
      </c>
      <c r="EW115" s="21">
        <f>EXP(-LN(2)/25)*EW114+(1-EXP(-LN(2)/25))/(LN(2)/25)*Calculateur!ER115*Calculateur!ET115*VLOOKUP('Données projet'!$B$15,Paramètres!$A$1:$I$89,3,0)*0.475*44/12</f>
        <v>23.79611742364191</v>
      </c>
      <c r="EX115" s="21">
        <f>EXP(-LN(2)/2)*EX114+(1-EXP(-LN(2)/2))/(LN(2)/2)*ER115*EU115*VLOOKUP('Données projet'!$B$15,Paramètres!$A$1:$I$89,3,0)*0.475*44/12</f>
        <v>0.24722463795448482</v>
      </c>
      <c r="EY115" s="22">
        <f t="shared" si="75"/>
        <v>38.584850294660377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239.26156489359892</v>
      </c>
      <c r="FK115" s="59">
        <f t="shared" si="102"/>
        <v>213.97034450798111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6.9947131431056624</v>
      </c>
      <c r="FR115" s="21">
        <f>EXP(-LN(2)/25)*FR114+(1-EXP(-LN(2)/25))/(LN(2)/25)*Calculateur!FM115*Calculateur!FO115*VLOOKUP('Données projet'!$B$16,Paramètres!$A$1:$I$89,3,0)*0.475*44/12</f>
        <v>34.701038860193378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41.695752003299042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391.18</v>
      </c>
      <c r="L116" s="12">
        <f>VLOOKUP(A116,'Données projet'!$A$35:$I$55,9,0)</f>
        <v>8.7540000000000013</v>
      </c>
      <c r="M116" s="12">
        <f t="array" ref="M116">INDEX(L:L,MIN(IF(ISNUMBER(L116:L312),ROW(L116:L312),"")))</f>
        <v>8.7540000000000013</v>
      </c>
      <c r="N116" s="13">
        <f>IF('Données projet'!$A$36&gt;35,N115+M116-V115,IF(A116&lt;'Données projet'!$A$36,$K$205^A116,IF(A116='Données projet'!$A$36,'Données projet'!$B$36,N115+M116-V115)))</f>
        <v>391.18000000000029</v>
      </c>
      <c r="O116" s="13">
        <f>N116*VLOOKUP('Données projet'!$B$9,Paramètres!$A$1:$I$89,3,0)*VLOOKUP('Données projet'!$B$9,Paramètres!$A$1:$I$89,5,0)</f>
        <v>372.2468880000003</v>
      </c>
      <c r="P116" s="13">
        <f t="shared" si="87"/>
        <v>86.126818217596863</v>
      </c>
      <c r="Q116" s="20">
        <f t="shared" si="107"/>
        <v>798.33420499564829</v>
      </c>
      <c r="R116" s="59">
        <f t="shared" si="55"/>
        <v>1091.6675383289817</v>
      </c>
      <c r="S116" s="59">
        <f ca="1">AVERAGE(OFFSET($R$3,0,0,'Données projet'!$E$9+1,1))-AVERAGE(OFFSET($H$3,0,0,'Données projet'!$E$9+1,1))</f>
        <v>449.28947235329758</v>
      </c>
      <c r="T116" s="59">
        <f t="shared" si="88"/>
        <v>289.36994109443964</v>
      </c>
      <c r="U116" s="15">
        <f>IF(ISNA(VLOOKUP(A116,'Données projet'!$A$35:$I$55,3,0)),0,VLOOKUP(A116,'Données projet'!$A$35:$I$55,3,0))</f>
        <v>10</v>
      </c>
      <c r="V116" s="15">
        <f>IF(ISNA(VLOOKUP(A116,'Données projet'!$A$35:$I$55,4,0)),0,VLOOKUP(A116,'Données projet'!$A$35:$I$55,4,0))</f>
        <v>68.670000000000016</v>
      </c>
      <c r="W116" s="16">
        <f>IF(ISNA(VLOOKUP(A116,'Données projet'!$A$35:$I$55,5,0)),0%,VLOOKUP(A116,'Données projet'!$A$35:$I$55,5,0)*VLOOKUP('Données projet'!$B$9,Paramètres!$A$1:$I$89,7,0))</f>
        <v>0.215</v>
      </c>
      <c r="X116" s="16">
        <f>IF(ISNA(VLOOKUP(A116,'Données projet'!$A$35:$I$55,6,0)),0%,VLOOKUP(A116,'Données projet'!$A$35:$I$55,6,0)*VLOOKUP('Données projet'!$B$9,Paramètres!$A$1:$I$89,7,0))</f>
        <v>8.6000000000000007E-2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53.066477256577429</v>
      </c>
      <c r="AA116" s="21">
        <f>EXP(-LN(2)/25)*AA115+(1-EXP(-LN(2)/25))/(LN(2)/25)*Calculateur!V116*Calculateur!X116*VLOOKUP('Données projet'!$B$9,Paramètres!$A$1:$I$89,3,0)*0.475*44/12</f>
        <v>25.791681996552835</v>
      </c>
      <c r="AB116" s="21">
        <f>EXP(-LN(2)/2)*AB115+(1-EXP(-LN(2)/2))/(LN(2)/2)*V116*Y116*VLOOKUP('Données projet'!$B$9,Paramètres!$A$1:$I$89,3,0)*0.475*44/12</f>
        <v>1.448872588936218E-4</v>
      </c>
      <c r="AC116" s="22">
        <f t="shared" si="57"/>
        <v>78.858304140389166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-2.2737367544323206E-13</v>
      </c>
      <c r="AJ116" s="13">
        <f>AI116*VLOOKUP('Données projet'!$B$10,Paramètres!$A$1:$I$89,3,0)*VLOOKUP('Données projet'!$B$10,Paramètres!$A$1:$I$89,5,0)</f>
        <v>-1.3596945791505279E-13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349.71285006949597</v>
      </c>
      <c r="AO116" s="59">
        <f t="shared" si="90"/>
        <v>258.51550516456842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79.729989675200471</v>
      </c>
      <c r="AV116" s="21">
        <f>EXP(-LN(2)/25)*AV115+(1-EXP(-LN(2)/25))/(LN(2)/25)*Calculateur!AQ116*Calculateur!AS116*VLOOKUP('Données projet'!$B$10,Paramètres!$A$1:$I$89,3,0)*0.475*44/12</f>
        <v>20.725429183731439</v>
      </c>
      <c r="AW116" s="21">
        <f>EXP(-LN(2)/2)*AW115+(1-EXP(-LN(2)/2))/(LN(2)/2)*AQ116*AT116*VLOOKUP('Données projet'!$B$10,Paramètres!$A$1:$I$89,3,0)*0.475*44/12</f>
        <v>7.6300380962343638E-4</v>
      </c>
      <c r="AX116" s="21">
        <f t="shared" si="60"/>
        <v>100.45618186274153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1.1368683772161603E-13</v>
      </c>
      <c r="BE116" s="13">
        <f>BD116*VLOOKUP('Données projet'!$B$11,Paramètres!$A$1:$I$89,3,0)*VLOOKUP('Données projet'!$B$11,Paramètres!$A$1:$I$89,5,0)</f>
        <v>6.7984728957526396E-14</v>
      </c>
      <c r="BF116" s="13">
        <f t="shared" si="91"/>
        <v>1.0682447123141398E-12</v>
      </c>
      <c r="BG116" s="20">
        <f t="shared" si="61"/>
        <v>1.978932943548152E-12</v>
      </c>
      <c r="BH116" s="59">
        <f t="shared" si="62"/>
        <v>293.3333333333353</v>
      </c>
      <c r="BI116" s="59">
        <f ca="1">AVERAGE(OFFSET($BH$3,0,0,'Données projet'!$E$11+1,1))-AVERAGE(OFFSET($H$3,0,0,'Données projet'!$E$11+1,1))</f>
        <v>302.00825291248458</v>
      </c>
      <c r="BJ116" s="59">
        <f t="shared" si="92"/>
        <v>307.35115839449355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48.613873523637253</v>
      </c>
      <c r="BQ116" s="21">
        <f>EXP(-LN(2)/25)*BQ115+(1-EXP(-LN(2)/25))/(LN(2)/25)*Calculateur!BL116*Calculateur!BN116*VLOOKUP('Données projet'!$B$11,Paramètres!$A$1:$I$89,3,0)*0.475*44/12</f>
        <v>11.143591559042925</v>
      </c>
      <c r="BR116" s="21">
        <f>EXP(-LN(2)/2)*BR115+(1-EXP(-LN(2)/2))/(LN(2)/2)*BL116*BO116*VLOOKUP('Données projet'!$B$11,Paramètres!$A$1:$I$89,3,0)*0.475*44/12</f>
        <v>6.3179646179262845E-7</v>
      </c>
      <c r="BS116" s="22">
        <f t="shared" si="63"/>
        <v>59.757465714476638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8.2299999999999986</v>
      </c>
      <c r="BY116" s="12">
        <f>IF('Données projet'!$A$114&gt;35,BY115+BX116-CG115,IF(A116&lt;'Données projet'!$A$114,$BV$205^A116,IF(A116='Données projet'!$A$114,'Données projet'!$B$114,BY115+BX116-CG115)))</f>
        <v>412.08000000000004</v>
      </c>
      <c r="BZ116" s="13">
        <f>BY116*VLOOKUP('Données projet'!$B$12,Paramètres!$A$1:$I$89,3,0)*VLOOKUP('Données projet'!$B$12,Paramètres!$A$1:$I$89,5,0)</f>
        <v>192.85344000000003</v>
      </c>
      <c r="CA116" s="13">
        <f t="shared" si="93"/>
        <v>48.170259577628116</v>
      </c>
      <c r="CB116" s="20">
        <f t="shared" si="64"/>
        <v>419.78294343103568</v>
      </c>
      <c r="CC116" s="59">
        <f t="shared" si="65"/>
        <v>713.11627676436899</v>
      </c>
      <c r="CD116" s="59">
        <f ca="1">AVERAGE(OFFSET($CC$3,0,0,'Données projet'!$E$12+1,1))-AVERAGE(OFFSET($H$3,0,0,'Données projet'!$E$12+1,1))</f>
        <v>337.10499990421835</v>
      </c>
      <c r="CE116" s="59">
        <f t="shared" si="94"/>
        <v>277.4254079562175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63.576199059922359</v>
      </c>
      <c r="CL116" s="21">
        <f>EXP(-LN(2)/25)*CL115+(1-EXP(-LN(2)/25))/(LN(2)/25)*Calculateur!CG116*Calculateur!CI116*VLOOKUP('Données projet'!$B$12,Paramètres!$A$1:$I$89,3,0)*0.475*44/12</f>
        <v>20.434642703225421</v>
      </c>
      <c r="CM116" s="21">
        <f>EXP(-LN(2)/2)*CM115+(1-EXP(-LN(2)/2))/(LN(2)/2)*CG116*CJ116*VLOOKUP('Données projet'!$B$12,Paramètres!$A$1:$I$89,3,0)*0.475*44/12</f>
        <v>2.48090005713967</v>
      </c>
      <c r="CN116" s="22">
        <f t="shared" si="66"/>
        <v>86.491741820287444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projet'!$A$139:$I$159,2,0)</f>
        <v>293.89999999999998</v>
      </c>
      <c r="CR116" s="12">
        <f>VLOOKUP(A116,'Données projet'!$A$139:$I$159,9,0)</f>
        <v>6.8811111111111085</v>
      </c>
      <c r="CS116" s="12">
        <f t="array" ref="CS116">INDEX(CR:CR,MIN(IF(ISNUMBER(CR116:CR312),ROW(CR116:CR312),"")))</f>
        <v>6.8811111111111085</v>
      </c>
      <c r="CT116" s="12">
        <f>IF('Données projet'!$A$140&gt;35,CT115+CS116-DB115,IF(A116&lt;'Données projet'!$A$140,$CQ$205^A116,IF(A116='Données projet'!$A$140,'Données projet'!$B$140,CT115+CS116-DB115)))</f>
        <v>293.89999999999986</v>
      </c>
      <c r="CU116" s="17">
        <f>CT116*VLOOKUP('Données projet'!$B$13,Paramètres!$A$1:$I$89,3,0)*VLOOKUP('Données projet'!$B$13,Paramètres!$A$1:$I$89,5,0)</f>
        <v>293.42975999999987</v>
      </c>
      <c r="CV116" s="13">
        <f t="shared" si="95"/>
        <v>69.797318691064845</v>
      </c>
      <c r="CW116" s="20">
        <f t="shared" si="67"/>
        <v>632.62049538693771</v>
      </c>
      <c r="CX116" s="59">
        <f t="shared" si="68"/>
        <v>925.95382872027108</v>
      </c>
      <c r="CY116" s="59">
        <f ca="1">AVERAGE(OFFSET($CX$3,0,0,'Données projet'!$E$13+1,1))-AVERAGE(OFFSET($H$3,0,0,'Données projet'!$E$13+1,1))</f>
        <v>525.74725170626471</v>
      </c>
      <c r="CZ116" s="59">
        <f t="shared" si="96"/>
        <v>259.19103598192197</v>
      </c>
      <c r="DA116" s="15">
        <f>IF(ISNA(VLOOKUP(A116,'Données projet'!$A$139:$I$159,3,0)),0,VLOOKUP(A116,'Données projet'!$A$139:$I$159,3,0))</f>
        <v>7</v>
      </c>
      <c r="DB116" s="15">
        <f>IF(ISNA(VLOOKUP(A116,'Données projet'!$A$139:$I$159,4,0)),0,VLOOKUP(A116,'Données projet'!$A$139:$I$159,4,0))</f>
        <v>41.639999999999986</v>
      </c>
      <c r="DC116" s="16">
        <f>IF(ISNA(VLOOKUP(A116,'Données projet'!$A$139:$I$159,5,0)),0%,VLOOKUP(A116,'Données projet'!$A$139:$I$159,5,0)*VLOOKUP('Données projet'!$B$13,Paramètres!$A$1:$I$89,7,0))</f>
        <v>0.15049999999999999</v>
      </c>
      <c r="DD116" s="16">
        <f>IF(ISNA(VLOOKUP(A116,'Données projet'!$A$139:$I$159,6,0)),0%,VLOOKUP(A116,'Données projet'!$A$139:$I$159,6,0)*VLOOKUP('Données projet'!$B$13,Paramètres!$A$1:$I$89,7,0))</f>
        <v>8.6000000000000007E-2</v>
      </c>
      <c r="DE116" s="16">
        <f>IF(ISNA(VLOOKUP(A116,'Données projet'!$A$139:$I$159,7,0)),0%,VLOOKUP(A116,'Données projet'!$A$139:$I$159,7,0))</f>
        <v>0.1</v>
      </c>
      <c r="DF116" s="21">
        <f>EXP(-LN(2)/35)*DF115+(1-EXP(-LN(2)/35))/(LN(2)/35)*DB116*DC116*VLOOKUP('Données projet'!$B$13,Paramètres!$A$1:$I$89,3,0)*0.475*44/12</f>
        <v>20.953728969153595</v>
      </c>
      <c r="DG116" s="21">
        <f>EXP(-LN(2)/25)*DG115+(1-EXP(-LN(2)/25))/(LN(2)/25)*Calculateur!DB116*Calculateur!DD116*VLOOKUP('Données projet'!$B$13,Paramètres!$A$1:$I$89,3,0)*0.475*44/12</f>
        <v>26.72616566049102</v>
      </c>
      <c r="DH116" s="21">
        <f>EXP(-LN(2)/2)*DH115+(1-EXP(-LN(2)/2))/(LN(2)/2)*DB116*DE116*VLOOKUP('Données projet'!$B$13,Paramètres!$A$1:$I$89,3,0)*0.475*44/12</f>
        <v>4.0946846871676819</v>
      </c>
      <c r="DI116" s="22">
        <f t="shared" si="69"/>
        <v>51.774579316812293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>
        <f>VLOOKUP(A116,'Données projet'!$A$165:$I$185,2,0)</f>
        <v>356.05</v>
      </c>
      <c r="DM116" s="12">
        <f>VLOOKUP(A116,'Données projet'!$A$165:$I$185,9,0)</f>
        <v>7.5129999999999999</v>
      </c>
      <c r="DN116" s="12">
        <f t="array" ref="DN116">INDEX(DM:DM,MIN(IF(ISNUMBER(DM116:DM312),ROW(DM116:DM312),"")))</f>
        <v>7.5129999999999999</v>
      </c>
      <c r="DO116" s="12">
        <f>IF('Données projet'!$A$166&gt;35,DO115+DN116-DW115,IF(A116&lt;'Données projet'!$A$166,$DL$205^A116,IF(A116='Données projet'!$A$166,'Données projet'!$B$166,DO115+DN116-DW115)))</f>
        <v>356.0500000000003</v>
      </c>
      <c r="DP116" s="17">
        <f>DO116*VLOOKUP('Données projet'!$B$14,Paramètres!$A$1:$I$89,3,0)*VLOOKUP('Données projet'!$B$14,Paramètres!$A$1:$I$89,5,0)</f>
        <v>322.15404000000024</v>
      </c>
      <c r="DQ116" s="13">
        <f t="shared" si="97"/>
        <v>75.801368428867207</v>
      </c>
      <c r="DR116" s="20">
        <f t="shared" si="70"/>
        <v>693.1056696802774</v>
      </c>
      <c r="DS116" s="59">
        <f t="shared" si="71"/>
        <v>986.43900301361077</v>
      </c>
      <c r="DT116" s="59">
        <f ca="1">AVERAGE(OFFSET($DS$3,0,0,'Données projet'!$E$14+1,1))-AVERAGE(OFFSET($H$3,0,0,'Données projet'!$E$14+1,1))</f>
        <v>490.06222615476065</v>
      </c>
      <c r="DU116" s="59">
        <f t="shared" si="98"/>
        <v>310.43914804089906</v>
      </c>
      <c r="DV116" s="15">
        <f>IF(ISNA(VLOOKUP(A116,'Données projet'!$A$165:$I$185,3,0)),0,VLOOKUP(A116,'Données projet'!$A$165:$I$185,3,0))</f>
        <v>9</v>
      </c>
      <c r="DW116" s="15">
        <f>IF(ISNA(VLOOKUP(A116,'Données projet'!$A$165:$I$185,4,0)),0,VLOOKUP(A116,'Données projet'!$A$165:$I$185,4,0))</f>
        <v>45.660000000000025</v>
      </c>
      <c r="DX116" s="16">
        <f>IF(ISNA(VLOOKUP(A116,'Données projet'!$A$165:$I$185,5,0)),0%,VLOOKUP(A116,'Données projet'!$A$165:$I$185,5,0)*VLOOKUP('Données projet'!$B$14,Paramètres!$A$1:$I$89,7,0))</f>
        <v>0.215</v>
      </c>
      <c r="DY116" s="16">
        <f>IF(ISNA(VLOOKUP(A116,'Données projet'!$A$165:$I$185,6,0)),0%,VLOOKUP(A116,'Données projet'!$A$165:$I$185,6,0)*VLOOKUP('Données projet'!$B$14,Paramètres!$A$1:$I$89,7,0))</f>
        <v>8.6000000000000007E-2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33.858622417588407</v>
      </c>
      <c r="EB116" s="21">
        <f>EXP(-LN(2)/25)*EB115+(1-EXP(-LN(2)/25))/(LN(2)/25)*Calculateur!DW116*Calculateur!DY116*VLOOKUP('Données projet'!$B$14,Paramètres!$A$1:$I$89,3,0)*0.475*44/12</f>
        <v>21.853269577865508</v>
      </c>
      <c r="EC116" s="21">
        <f>EXP(-LN(2)/2)*EC115+(1-EXP(-LN(2)/2))/(LN(2)/2)*DW116*DZ116*VLOOKUP('Données projet'!$B$14,Paramètres!$A$1:$I$89,3,0)*0.475*44/12</f>
        <v>0.15527355711390625</v>
      </c>
      <c r="ED116" s="22">
        <f t="shared" si="72"/>
        <v>55.867165552567819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>
        <f>VLOOKUP(A116,'Données projet'!$A$191:$I$211,2,0)</f>
        <v>293.89999999999998</v>
      </c>
      <c r="EH116" s="12">
        <f>VLOOKUP(A116,'Données projet'!$A$191:$I$211,9,0)</f>
        <v>6.8811111111111085</v>
      </c>
      <c r="EI116" s="12">
        <f t="array" ref="EI116">INDEX(EH:EH,MIN(IF(ISNUMBER(EH116:EH312),ROW(EH116:EH312),"")))</f>
        <v>6.8811111111111085</v>
      </c>
      <c r="EJ116" s="12">
        <f>IF('Données projet'!$A$192&gt;35,EJ115+EI116-ER115,IF(A116&lt;'Données projet'!$A$192,$EG$205^A116,IF(A116='Données projet'!$A$192,'Données projet'!$B$192,EJ115+EI116-ER115)))</f>
        <v>293.89999999999986</v>
      </c>
      <c r="EK116" s="17">
        <f>EJ116*VLOOKUP('Données projet'!$B$15,Paramètres!$A$1:$I$89,3,0)*VLOOKUP('Données projet'!$B$15,Paramètres!$A$1:$I$89,5,0)</f>
        <v>298.01459999999986</v>
      </c>
      <c r="EL116" s="13">
        <f t="shared" si="99"/>
        <v>70.760086666473185</v>
      </c>
      <c r="EM116" s="20">
        <f t="shared" si="73"/>
        <v>642.2825792774405</v>
      </c>
      <c r="EN116" s="59">
        <f t="shared" si="74"/>
        <v>935.61591261077388</v>
      </c>
      <c r="EO116" s="59">
        <f ca="1">AVERAGE(OFFSET($EN$3,0,0,'Données projet'!$E$15+1,1))-AVERAGE(OFFSET($H$3,0,0,'Données projet'!$E$15+1,1))</f>
        <v>533.26035274112917</v>
      </c>
      <c r="EP116" s="59">
        <f t="shared" si="100"/>
        <v>262.58149402282521</v>
      </c>
      <c r="EQ116" s="15">
        <f>IF(ISNA(VLOOKUP(A116,'Données projet'!$A$191:$I$211,3,0)),0,VLOOKUP(A116,'Données projet'!$A$191:$I$211,3,0))</f>
        <v>7</v>
      </c>
      <c r="ER116" s="15">
        <f>IF(ISNA(VLOOKUP(A116,'Données projet'!$A$191:$I$211,4,0)),0,VLOOKUP(A116,'Données projet'!$A$191:$I$211,4,0))</f>
        <v>41.639999999999986</v>
      </c>
      <c r="ES116" s="16">
        <f>IF(ISNA(VLOOKUP(A116,'Données projet'!$A$191:$I$211,5,0)),0%,VLOOKUP(A116,'Données projet'!$A$191:$I$211,5,0)*VLOOKUP('Données projet'!$B$15,Paramètres!$A$1:$I$89,7,0))</f>
        <v>0.15049999999999999</v>
      </c>
      <c r="ET116" s="16">
        <f>IF(ISNA(VLOOKUP(A116,'Données projet'!$A$191:$I$211,6,0)),0%,VLOOKUP(A116,'Données projet'!$A$191:$I$211,6,0)*VLOOKUP('Données projet'!$B$15,Paramètres!$A$1:$I$89,7,0))</f>
        <v>8.6000000000000007E-2</v>
      </c>
      <c r="EU116" s="16">
        <f>IF(ISNA(VLOOKUP(A116,'Données projet'!$A$191:$I$211,7,0)),0%,VLOOKUP(A116,'Données projet'!$A$191:$I$211,7,0))</f>
        <v>0.1</v>
      </c>
      <c r="EV116" s="21">
        <f>EXP(-LN(2)/35)*EV115+(1-EXP(-LN(2)/35))/(LN(2)/35)*ER116*ES116*VLOOKUP('Données projet'!$B$15,Paramètres!$A$1:$I$89,3,0)*0.475*44/12</f>
        <v>21.281130984296624</v>
      </c>
      <c r="EW116" s="21">
        <f>EXP(-LN(2)/25)*EW115+(1-EXP(-LN(2)/25))/(LN(2)/25)*Calculateur!ER116*Calculateur!ET116*VLOOKUP('Données projet'!$B$15,Paramètres!$A$1:$I$89,3,0)*0.475*44/12</f>
        <v>27.143761998936192</v>
      </c>
      <c r="EX116" s="21">
        <f>EXP(-LN(2)/2)*EX115+(1-EXP(-LN(2)/2))/(LN(2)/2)*ER116*EU116*VLOOKUP('Données projet'!$B$15,Paramètres!$A$1:$I$89,3,0)*0.475*44/12</f>
        <v>4.1586641354046767</v>
      </c>
      <c r="EY116" s="22">
        <f t="shared" si="75"/>
        <v>52.583557118637493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239.26156489359892</v>
      </c>
      <c r="FK116" s="59">
        <f t="shared" si="102"/>
        <v>213.97034450798111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6.8575510847231103</v>
      </c>
      <c r="FR116" s="21">
        <f>EXP(-LN(2)/25)*FR115+(1-EXP(-LN(2)/25))/(LN(2)/25)*Calculateur!FM116*Calculateur!FO116*VLOOKUP('Données projet'!$B$16,Paramètres!$A$1:$I$89,3,0)*0.475*44/12</f>
        <v>33.75213712771307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40.609688212436183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8.7019999999999982</v>
      </c>
      <c r="N117" s="13">
        <f>IF('Données projet'!$A$36&gt;35,N116+M117-V116,IF(A117&lt;'Données projet'!$A$36,$K$205^A117,IF(A117='Données projet'!$A$36,'Données projet'!$B$36,N116+M117-V116)))</f>
        <v>331.21200000000027</v>
      </c>
      <c r="O117" s="13">
        <f>N117*VLOOKUP('Données projet'!$B$9,Paramètres!$A$1:$I$89,3,0)*VLOOKUP('Données projet'!$B$9,Paramètres!$A$1:$I$89,5,0)</f>
        <v>315.18133920000031</v>
      </c>
      <c r="P117" s="13">
        <f t="shared" si="87"/>
        <v>74.349853920870757</v>
      </c>
      <c r="Q117" s="20">
        <f t="shared" si="107"/>
        <v>678.43349468551708</v>
      </c>
      <c r="R117" s="59">
        <f t="shared" si="55"/>
        <v>971.76682801885045</v>
      </c>
      <c r="S117" s="59">
        <f ca="1">AVERAGE(OFFSET($R$3,0,0,'Données projet'!$E$9+1,1))-AVERAGE(OFFSET($H$3,0,0,'Données projet'!$E$9+1,1))</f>
        <v>449.28947235329758</v>
      </c>
      <c r="T117" s="59">
        <f t="shared" si="88"/>
        <v>289.36994109443964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52.025876004931064</v>
      </c>
      <c r="AA117" s="21">
        <f>EXP(-LN(2)/25)*AA116+(1-EXP(-LN(2)/25))/(LN(2)/25)*Calculateur!V117*Calculateur!X117*VLOOKUP('Données projet'!$B$9,Paramètres!$A$1:$I$89,3,0)*0.475*44/12</f>
        <v>25.08640709603149</v>
      </c>
      <c r="AB117" s="21">
        <f>EXP(-LN(2)/2)*AB116+(1-EXP(-LN(2)/2))/(LN(2)/2)*V117*Y117*VLOOKUP('Données projet'!$B$9,Paramètres!$A$1:$I$89,3,0)*0.475*44/12</f>
        <v>1.0245076327121089E-4</v>
      </c>
      <c r="AC117" s="22">
        <f t="shared" si="57"/>
        <v>77.112385551725822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-2.2737367544323206E-13</v>
      </c>
      <c r="AJ117" s="13">
        <f>AI117*VLOOKUP('Données projet'!$B$10,Paramètres!$A$1:$I$89,3,0)*VLOOKUP('Données projet'!$B$10,Paramètres!$A$1:$I$89,5,0)</f>
        <v>-1.3596945791505279E-13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349.71285006949597</v>
      </c>
      <c r="AO117" s="59">
        <f t="shared" si="90"/>
        <v>258.51550516456842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78.166533208161624</v>
      </c>
      <c r="AV117" s="21">
        <f>EXP(-LN(2)/25)*AV116+(1-EXP(-LN(2)/25))/(LN(2)/25)*Calculateur!AQ117*Calculateur!AS117*VLOOKUP('Données projet'!$B$10,Paramètres!$A$1:$I$89,3,0)*0.475*44/12</f>
        <v>20.158691232799352</v>
      </c>
      <c r="AW117" s="21">
        <f>EXP(-LN(2)/2)*AW116+(1-EXP(-LN(2)/2))/(LN(2)/2)*AQ117*AT117*VLOOKUP('Données projet'!$B$10,Paramètres!$A$1:$I$89,3,0)*0.475*44/12</f>
        <v>5.3952516785590139E-4</v>
      </c>
      <c r="AX117" s="21">
        <f t="shared" si="60"/>
        <v>98.325763966128832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1.1368683772161603E-13</v>
      </c>
      <c r="BE117" s="13">
        <f>BD117*VLOOKUP('Données projet'!$B$11,Paramètres!$A$1:$I$89,3,0)*VLOOKUP('Données projet'!$B$11,Paramètres!$A$1:$I$89,5,0)</f>
        <v>6.7984728957526396E-14</v>
      </c>
      <c r="BF117" s="13">
        <f t="shared" si="91"/>
        <v>1.0682447123141398E-12</v>
      </c>
      <c r="BG117" s="20">
        <f t="shared" si="61"/>
        <v>1.978932943548152E-12</v>
      </c>
      <c r="BH117" s="59">
        <f t="shared" si="62"/>
        <v>293.3333333333353</v>
      </c>
      <c r="BI117" s="59">
        <f ca="1">AVERAGE(OFFSET($BH$3,0,0,'Données projet'!$E$11+1,1))-AVERAGE(OFFSET($H$3,0,0,'Données projet'!$E$11+1,1))</f>
        <v>302.00825291248458</v>
      </c>
      <c r="BJ117" s="59">
        <f t="shared" si="92"/>
        <v>307.35115839449355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47.660585115373728</v>
      </c>
      <c r="BQ117" s="21">
        <f>EXP(-LN(2)/25)*BQ116+(1-EXP(-LN(2)/25))/(LN(2)/25)*Calculateur!BL117*Calculateur!BN117*VLOOKUP('Données projet'!$B$11,Paramètres!$A$1:$I$89,3,0)*0.475*44/12</f>
        <v>10.838869461844885</v>
      </c>
      <c r="BR117" s="21">
        <f>EXP(-LN(2)/2)*BR116+(1-EXP(-LN(2)/2))/(LN(2)/2)*BL117*BO117*VLOOKUP('Données projet'!$B$11,Paramètres!$A$1:$I$89,3,0)*0.475*44/12</f>
        <v>4.4674756246323506E-7</v>
      </c>
      <c r="BS117" s="22">
        <f t="shared" si="63"/>
        <v>58.499455023966178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8.2299999999999986</v>
      </c>
      <c r="BY117" s="12">
        <f>IF('Données projet'!$A$114&gt;35,BY116+BX117-CG116,IF(A117&lt;'Données projet'!$A$114,$BV$205^A117,IF(A117='Données projet'!$A$114,'Données projet'!$B$114,BY116+BX117-CG116)))</f>
        <v>420.31000000000006</v>
      </c>
      <c r="BZ117" s="13">
        <f>BY117*VLOOKUP('Données projet'!$B$12,Paramètres!$A$1:$I$89,3,0)*VLOOKUP('Données projet'!$B$12,Paramètres!$A$1:$I$89,5,0)</f>
        <v>196.70508000000004</v>
      </c>
      <c r="CA117" s="13">
        <f t="shared" si="93"/>
        <v>49.019345437069703</v>
      </c>
      <c r="CB117" s="20">
        <f t="shared" si="64"/>
        <v>427.97004096956312</v>
      </c>
      <c r="CC117" s="59">
        <f t="shared" si="65"/>
        <v>721.30337430289637</v>
      </c>
      <c r="CD117" s="59">
        <f ca="1">AVERAGE(OFFSET($CC$3,0,0,'Données projet'!$E$12+1,1))-AVERAGE(OFFSET($H$3,0,0,'Données projet'!$E$12+1,1))</f>
        <v>337.10499990421835</v>
      </c>
      <c r="CE117" s="59">
        <f t="shared" si="94"/>
        <v>277.4254079562175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62.329508574009736</v>
      </c>
      <c r="CL117" s="21">
        <f>EXP(-LN(2)/25)*CL116+(1-EXP(-LN(2)/25))/(LN(2)/25)*Calculateur!CG117*Calculateur!CI117*VLOOKUP('Données projet'!$B$12,Paramètres!$A$1:$I$89,3,0)*0.475*44/12</f>
        <v>19.875856323894567</v>
      </c>
      <c r="CM117" s="21">
        <f>EXP(-LN(2)/2)*CM116+(1-EXP(-LN(2)/2))/(LN(2)/2)*CG117*CJ117*VLOOKUP('Données projet'!$B$12,Paramètres!$A$1:$I$89,3,0)*0.475*44/12</f>
        <v>1.7542612538495539</v>
      </c>
      <c r="CN117" s="22">
        <f t="shared" si="66"/>
        <v>83.959626151753852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7.0011111111111104</v>
      </c>
      <c r="CT117" s="12">
        <f>IF('Données projet'!$A$140&gt;35,CT116+CS117-DB116,IF(A117&lt;'Données projet'!$A$140,$CQ$205^A117,IF(A117='Données projet'!$A$140,'Données projet'!$B$140,CT116+CS117-DB116)))</f>
        <v>259.26111111111101</v>
      </c>
      <c r="CU117" s="17">
        <f>CT117*VLOOKUP('Données projet'!$B$13,Paramètres!$A$1:$I$89,3,0)*VLOOKUP('Données projet'!$B$13,Paramètres!$A$1:$I$89,5,0)</f>
        <v>258.84629333333328</v>
      </c>
      <c r="CV117" s="13">
        <f t="shared" si="95"/>
        <v>62.476390701582751</v>
      </c>
      <c r="CW117" s="20">
        <f t="shared" si="67"/>
        <v>559.63700802747883</v>
      </c>
      <c r="CX117" s="59">
        <f t="shared" si="68"/>
        <v>852.9703413608122</v>
      </c>
      <c r="CY117" s="59">
        <f ca="1">AVERAGE(OFFSET($CX$3,0,0,'Données projet'!$E$13+1,1))-AVERAGE(OFFSET($H$3,0,0,'Données projet'!$E$13+1,1))</f>
        <v>525.74725170626471</v>
      </c>
      <c r="CZ117" s="59">
        <f t="shared" si="96"/>
        <v>259.19103598192197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20.542839124581192</v>
      </c>
      <c r="DG117" s="21">
        <f>EXP(-LN(2)/25)*DG116+(1-EXP(-LN(2)/25))/(LN(2)/25)*Calculateur!DB117*Calculateur!DD117*VLOOKUP('Données projet'!$B$13,Paramètres!$A$1:$I$89,3,0)*0.475*44/12</f>
        <v>25.995337255036926</v>
      </c>
      <c r="DH117" s="21">
        <f>EXP(-LN(2)/2)*DH116+(1-EXP(-LN(2)/2))/(LN(2)/2)*DB117*DE117*VLOOKUP('Données projet'!$B$13,Paramètres!$A$1:$I$89,3,0)*0.475*44/12</f>
        <v>2.895379309116985</v>
      </c>
      <c r="DI117" s="22">
        <f t="shared" si="69"/>
        <v>49.433555688735105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7.8516666666666692</v>
      </c>
      <c r="DO117" s="12">
        <f>IF('Données projet'!$A$166&gt;35,DO116+DN117-DW116,IF(A117&lt;'Données projet'!$A$166,$DL$205^A117,IF(A117='Données projet'!$A$166,'Données projet'!$B$166,DO116+DN117-DW116)))</f>
        <v>318.24166666666696</v>
      </c>
      <c r="DP117" s="17">
        <f>DO117*VLOOKUP('Données projet'!$B$14,Paramètres!$A$1:$I$89,3,0)*VLOOKUP('Données projet'!$B$14,Paramètres!$A$1:$I$89,5,0)</f>
        <v>287.94506000000024</v>
      </c>
      <c r="DQ117" s="13">
        <f t="shared" si="97"/>
        <v>68.643284503725127</v>
      </c>
      <c r="DR117" s="20">
        <f t="shared" si="70"/>
        <v>621.05803334398831</v>
      </c>
      <c r="DS117" s="59">
        <f t="shared" si="71"/>
        <v>914.39136667732168</v>
      </c>
      <c r="DT117" s="59">
        <f ca="1">AVERAGE(OFFSET($DS$3,0,0,'Données projet'!$E$14+1,1))-AVERAGE(OFFSET($H$3,0,0,'Données projet'!$E$14+1,1))</f>
        <v>490.06222615476065</v>
      </c>
      <c r="DU117" s="59">
        <f t="shared" si="98"/>
        <v>310.43914804089906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33.194675483699982</v>
      </c>
      <c r="EB117" s="21">
        <f>EXP(-LN(2)/25)*EB116+(1-EXP(-LN(2)/25))/(LN(2)/25)*Calculateur!DW117*Calculateur!DY117*VLOOKUP('Données projet'!$B$14,Paramètres!$A$1:$I$89,3,0)*0.475*44/12</f>
        <v>21.255690772045273</v>
      </c>
      <c r="EC117" s="21">
        <f>EXP(-LN(2)/2)*EC116+(1-EXP(-LN(2)/2))/(LN(2)/2)*DW117*DZ117*VLOOKUP('Données projet'!$B$14,Paramètres!$A$1:$I$89,3,0)*0.475*44/12</f>
        <v>0.10979498517419981</v>
      </c>
      <c r="ED117" s="22">
        <f t="shared" si="72"/>
        <v>54.560161240919449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7.0011111111111104</v>
      </c>
      <c r="EJ117" s="12">
        <f>IF('Données projet'!$A$192&gt;35,EJ116+EI117-ER116,IF(A117&lt;'Données projet'!$A$192,$EG$205^A117,IF(A117='Données projet'!$A$192,'Données projet'!$B$192,EJ116+EI117-ER116)))</f>
        <v>259.26111111111101</v>
      </c>
      <c r="EK117" s="17">
        <f>EJ117*VLOOKUP('Données projet'!$B$15,Paramètres!$A$1:$I$89,3,0)*VLOOKUP('Données projet'!$B$15,Paramètres!$A$1:$I$89,5,0)</f>
        <v>262.89076666666659</v>
      </c>
      <c r="EL117" s="13">
        <f t="shared" si="99"/>
        <v>63.338175499546331</v>
      </c>
      <c r="EM117" s="20">
        <f t="shared" si="73"/>
        <v>568.18207427282073</v>
      </c>
      <c r="EN117" s="59">
        <f t="shared" si="74"/>
        <v>861.51540760615399</v>
      </c>
      <c r="EO117" s="59">
        <f ca="1">AVERAGE(OFFSET($EN$3,0,0,'Données projet'!$E$15+1,1))-AVERAGE(OFFSET($H$3,0,0,'Données projet'!$E$15+1,1))</f>
        <v>533.26035274112917</v>
      </c>
      <c r="EP117" s="59">
        <f t="shared" si="100"/>
        <v>262.58149402282521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20.863820985902777</v>
      </c>
      <c r="EW117" s="21">
        <f>EXP(-LN(2)/25)*EW116+(1-EXP(-LN(2)/25))/(LN(2)/25)*Calculateur!ER117*Calculateur!ET117*VLOOKUP('Données projet'!$B$15,Paramètres!$A$1:$I$89,3,0)*0.475*44/12</f>
        <v>26.401514399646878</v>
      </c>
      <c r="EX117" s="21">
        <f>EXP(-LN(2)/2)*EX116+(1-EXP(-LN(2)/2))/(LN(2)/2)*ER117*EU117*VLOOKUP('Données projet'!$B$15,Paramètres!$A$1:$I$89,3,0)*0.475*44/12</f>
        <v>2.9406196108219378</v>
      </c>
      <c r="EY117" s="22">
        <f t="shared" si="75"/>
        <v>50.205954996371595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239.26156489359892</v>
      </c>
      <c r="FK117" s="59">
        <f t="shared" si="102"/>
        <v>213.97034450798111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6.7230786906448454</v>
      </c>
      <c r="FR117" s="21">
        <f>EXP(-LN(2)/25)*FR116+(1-EXP(-LN(2)/25))/(LN(2)/25)*Calculateur!FM117*Calculateur!FO117*VLOOKUP('Données projet'!$B$16,Paramètres!$A$1:$I$89,3,0)*0.475*44/12</f>
        <v>32.829183163008004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39.552261853652851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8.7019999999999982</v>
      </c>
      <c r="N118" s="13">
        <f>IF('Données projet'!$A$36&gt;35,N117+M118-V117,IF(A118&lt;'Données projet'!$A$36,$K$205^A118,IF(A118='Données projet'!$A$36,'Données projet'!$B$36,N117+M118-V117)))</f>
        <v>339.91400000000027</v>
      </c>
      <c r="O118" s="13">
        <f>N118*VLOOKUP('Données projet'!$B$9,Paramètres!$A$1:$I$89,3,0)*VLOOKUP('Données projet'!$B$9,Paramètres!$A$1:$I$89,5,0)</f>
        <v>323.46216240000024</v>
      </c>
      <c r="P118" s="13">
        <f t="shared" si="87"/>
        <v>76.073272094226141</v>
      </c>
      <c r="Q118" s="20">
        <f t="shared" si="107"/>
        <v>695.85754841077744</v>
      </c>
      <c r="R118" s="59">
        <f t="shared" si="55"/>
        <v>989.19088174411081</v>
      </c>
      <c r="S118" s="59">
        <f ca="1">AVERAGE(OFFSET($R$3,0,0,'Données projet'!$E$9+1,1))-AVERAGE(OFFSET($H$3,0,0,'Données projet'!$E$9+1,1))</f>
        <v>449.28947235329758</v>
      </c>
      <c r="T118" s="59">
        <f t="shared" si="88"/>
        <v>289.36994109443964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51.005680309125388</v>
      </c>
      <c r="AA118" s="21">
        <f>EXP(-LN(2)/25)*AA117+(1-EXP(-LN(2)/25))/(LN(2)/25)*Calculateur!V118*Calculateur!X118*VLOOKUP('Données projet'!$B$9,Paramètres!$A$1:$I$89,3,0)*0.475*44/12</f>
        <v>24.400417974753694</v>
      </c>
      <c r="AB118" s="21">
        <f>EXP(-LN(2)/2)*AB117+(1-EXP(-LN(2)/2))/(LN(2)/2)*V118*Y118*VLOOKUP('Données projet'!$B$9,Paramètres!$A$1:$I$89,3,0)*0.475*44/12</f>
        <v>7.2443629446810901E-5</v>
      </c>
      <c r="AC118" s="22">
        <f t="shared" si="57"/>
        <v>75.406170727508538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-2.2737367544323206E-13</v>
      </c>
      <c r="AJ118" s="13">
        <f>AI118*VLOOKUP('Données projet'!$B$10,Paramètres!$A$1:$I$89,3,0)*VLOOKUP('Données projet'!$B$10,Paramètres!$A$1:$I$89,5,0)</f>
        <v>-1.3596945791505279E-13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349.71285006949597</v>
      </c>
      <c r="AO118" s="59">
        <f t="shared" si="90"/>
        <v>258.51550516456842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76.63373516882713</v>
      </c>
      <c r="AV118" s="21">
        <f>EXP(-LN(2)/25)*AV117+(1-EXP(-LN(2)/25))/(LN(2)/25)*Calculateur!AQ118*Calculateur!AS118*VLOOKUP('Données projet'!$B$10,Paramètres!$A$1:$I$89,3,0)*0.475*44/12</f>
        <v>19.607450760938956</v>
      </c>
      <c r="AW118" s="21">
        <f>EXP(-LN(2)/2)*AW117+(1-EXP(-LN(2)/2))/(LN(2)/2)*AQ118*AT118*VLOOKUP('Données projet'!$B$10,Paramètres!$A$1:$I$89,3,0)*0.475*44/12</f>
        <v>3.8150190481171819E-4</v>
      </c>
      <c r="AX118" s="21">
        <f t="shared" si="60"/>
        <v>96.241567431670902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1.1368683772161603E-13</v>
      </c>
      <c r="BE118" s="13">
        <f>BD118*VLOOKUP('Données projet'!$B$11,Paramètres!$A$1:$I$89,3,0)*VLOOKUP('Données projet'!$B$11,Paramètres!$A$1:$I$89,5,0)</f>
        <v>6.7984728957526396E-14</v>
      </c>
      <c r="BF118" s="13">
        <f t="shared" si="91"/>
        <v>1.0682447123141398E-12</v>
      </c>
      <c r="BG118" s="20">
        <f t="shared" si="61"/>
        <v>1.978932943548152E-12</v>
      </c>
      <c r="BH118" s="59">
        <f t="shared" si="62"/>
        <v>293.3333333333353</v>
      </c>
      <c r="BI118" s="59">
        <f ca="1">AVERAGE(OFFSET($BH$3,0,0,'Données projet'!$E$11+1,1))-AVERAGE(OFFSET($H$3,0,0,'Données projet'!$E$11+1,1))</f>
        <v>302.00825291248458</v>
      </c>
      <c r="BJ118" s="59">
        <f t="shared" si="92"/>
        <v>307.35115839449355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46.725990111347734</v>
      </c>
      <c r="BQ118" s="21">
        <f>EXP(-LN(2)/25)*BQ117+(1-EXP(-LN(2)/25))/(LN(2)/25)*Calculateur!BL118*Calculateur!BN118*VLOOKUP('Données projet'!$B$11,Paramètres!$A$1:$I$89,3,0)*0.475*44/12</f>
        <v>10.542480006419364</v>
      </c>
      <c r="BR118" s="21">
        <f>EXP(-LN(2)/2)*BR117+(1-EXP(-LN(2)/2))/(LN(2)/2)*BL118*BO118*VLOOKUP('Données projet'!$B$11,Paramètres!$A$1:$I$89,3,0)*0.475*44/12</f>
        <v>3.1589823089631423E-7</v>
      </c>
      <c r="BS118" s="22">
        <f t="shared" si="63"/>
        <v>57.268470433665328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8.2299999999999986</v>
      </c>
      <c r="BY118" s="12">
        <f>IF('Données projet'!$A$114&gt;35,BY117+BX118-CG117,IF(A118&lt;'Données projet'!$A$114,$BV$205^A118,IF(A118='Données projet'!$A$114,'Données projet'!$B$114,BY117+BX118-CG117)))</f>
        <v>428.54000000000008</v>
      </c>
      <c r="BZ118" s="13">
        <f>BY118*VLOOKUP('Données projet'!$B$12,Paramètres!$A$1:$I$89,3,0)*VLOOKUP('Données projet'!$B$12,Paramètres!$A$1:$I$89,5,0)</f>
        <v>200.55672000000001</v>
      </c>
      <c r="CA118" s="13">
        <f t="shared" si="93"/>
        <v>49.866498130238412</v>
      </c>
      <c r="CB118" s="20">
        <f t="shared" si="64"/>
        <v>436.15377157683184</v>
      </c>
      <c r="CC118" s="59">
        <f t="shared" si="65"/>
        <v>729.48710491016516</v>
      </c>
      <c r="CD118" s="59">
        <f ca="1">AVERAGE(OFFSET($CC$3,0,0,'Données projet'!$E$12+1,1))-AVERAGE(OFFSET($H$3,0,0,'Données projet'!$E$12+1,1))</f>
        <v>337.10499990421835</v>
      </c>
      <c r="CE118" s="59">
        <f t="shared" si="94"/>
        <v>277.4254079562175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61.107264928119747</v>
      </c>
      <c r="CL118" s="21">
        <f>EXP(-LN(2)/25)*CL117+(1-EXP(-LN(2)/25))/(LN(2)/25)*Calculateur!CG118*Calculateur!CI118*VLOOKUP('Données projet'!$B$12,Paramètres!$A$1:$I$89,3,0)*0.475*44/12</f>
        <v>19.332349987491813</v>
      </c>
      <c r="CM118" s="21">
        <f>EXP(-LN(2)/2)*CM117+(1-EXP(-LN(2)/2))/(LN(2)/2)*CG118*CJ118*VLOOKUP('Données projet'!$B$12,Paramètres!$A$1:$I$89,3,0)*0.475*44/12</f>
        <v>1.240450028569835</v>
      </c>
      <c r="CN118" s="22">
        <f t="shared" si="66"/>
        <v>81.680064944181396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7.0011111111111104</v>
      </c>
      <c r="CT118" s="12">
        <f>IF('Données projet'!$A$140&gt;35,CT117+CS118-DB117,IF(A118&lt;'Données projet'!$A$140,$CQ$205^A118,IF(A118='Données projet'!$A$140,'Données projet'!$B$140,CT117+CS118-DB117)))</f>
        <v>266.26222222222214</v>
      </c>
      <c r="CU118" s="17">
        <f>CT118*VLOOKUP('Données projet'!$B$13,Paramètres!$A$1:$I$89,3,0)*VLOOKUP('Données projet'!$B$13,Paramètres!$A$1:$I$89,5,0)</f>
        <v>265.83620266666657</v>
      </c>
      <c r="CV118" s="13">
        <f t="shared" si="95"/>
        <v>63.964808703823749</v>
      </c>
      <c r="CW118" s="20">
        <f t="shared" si="67"/>
        <v>574.40342813693735</v>
      </c>
      <c r="CX118" s="59">
        <f t="shared" si="68"/>
        <v>867.73676147027072</v>
      </c>
      <c r="CY118" s="59">
        <f ca="1">AVERAGE(OFFSET($CX$3,0,0,'Données projet'!$E$13+1,1))-AVERAGE(OFFSET($H$3,0,0,'Données projet'!$E$13+1,1))</f>
        <v>525.74725170626471</v>
      </c>
      <c r="CZ118" s="59">
        <f t="shared" si="96"/>
        <v>259.19103598192197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20.140006579242797</v>
      </c>
      <c r="DG118" s="21">
        <f>EXP(-LN(2)/25)*DG117+(1-EXP(-LN(2)/25))/(LN(2)/25)*Calculateur!DB118*Calculateur!DD118*VLOOKUP('Données projet'!$B$13,Paramètres!$A$1:$I$89,3,0)*0.475*44/12</f>
        <v>25.284493390762567</v>
      </c>
      <c r="DH118" s="21">
        <f>EXP(-LN(2)/2)*DH117+(1-EXP(-LN(2)/2))/(LN(2)/2)*DB118*DE118*VLOOKUP('Données projet'!$B$13,Paramètres!$A$1:$I$89,3,0)*0.475*44/12</f>
        <v>2.0473423435838414</v>
      </c>
      <c r="DI118" s="22">
        <f t="shared" si="69"/>
        <v>47.471842313589207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7.8516666666666692</v>
      </c>
      <c r="DO118" s="12">
        <f>IF('Données projet'!$A$166&gt;35,DO117+DN118-DW117,IF(A118&lt;'Données projet'!$A$166,$DL$205^A118,IF(A118='Données projet'!$A$166,'Données projet'!$B$166,DO117+DN118-DW117)))</f>
        <v>326.09333333333365</v>
      </c>
      <c r="DP118" s="17">
        <f>DO118*VLOOKUP('Données projet'!$B$14,Paramètres!$A$1:$I$89,3,0)*VLOOKUP('Données projet'!$B$14,Paramètres!$A$1:$I$89,5,0)</f>
        <v>295.04924800000026</v>
      </c>
      <c r="DQ118" s="13">
        <f t="shared" si="97"/>
        <v>70.13759270458003</v>
      </c>
      <c r="DR118" s="20">
        <f t="shared" si="70"/>
        <v>636.03374756047731</v>
      </c>
      <c r="DS118" s="59">
        <f t="shared" si="71"/>
        <v>929.36708089381068</v>
      </c>
      <c r="DT118" s="59">
        <f ca="1">AVERAGE(OFFSET($DS$3,0,0,'Données projet'!$E$14+1,1))-AVERAGE(OFFSET($H$3,0,0,'Données projet'!$E$14+1,1))</f>
        <v>490.06222615476065</v>
      </c>
      <c r="DU118" s="59">
        <f t="shared" si="98"/>
        <v>310.43914804089906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32.543748144217467</v>
      </c>
      <c r="EB118" s="21">
        <f>EXP(-LN(2)/25)*EB117+(1-EXP(-LN(2)/25))/(LN(2)/25)*Calculateur!DW118*Calculateur!DY118*VLOOKUP('Données projet'!$B$14,Paramètres!$A$1:$I$89,3,0)*0.475*44/12</f>
        <v>20.674452790095497</v>
      </c>
      <c r="EC118" s="21">
        <f>EXP(-LN(2)/2)*EC117+(1-EXP(-LN(2)/2))/(LN(2)/2)*DW118*DZ118*VLOOKUP('Données projet'!$B$14,Paramètres!$A$1:$I$89,3,0)*0.475*44/12</f>
        <v>7.763677855695314E-2</v>
      </c>
      <c r="ED118" s="22">
        <f t="shared" si="72"/>
        <v>53.295837712869911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7.0011111111111104</v>
      </c>
      <c r="EJ118" s="12">
        <f>IF('Données projet'!$A$192&gt;35,EJ117+EI118-ER117,IF(A118&lt;'Données projet'!$A$192,$EG$205^A118,IF(A118='Données projet'!$A$192,'Données projet'!$B$192,EJ117+EI118-ER117)))</f>
        <v>266.26222222222214</v>
      </c>
      <c r="EK118" s="17">
        <f>EJ118*VLOOKUP('Données projet'!$B$15,Paramètres!$A$1:$I$89,3,0)*VLOOKUP('Données projet'!$B$15,Paramètres!$A$1:$I$89,5,0)</f>
        <v>269.98989333333327</v>
      </c>
      <c r="EL118" s="13">
        <f t="shared" si="99"/>
        <v>64.847124393424096</v>
      </c>
      <c r="EM118" s="20">
        <f t="shared" si="73"/>
        <v>583.1744725407691</v>
      </c>
      <c r="EN118" s="59">
        <f t="shared" si="74"/>
        <v>876.50780587410236</v>
      </c>
      <c r="EO118" s="59">
        <f ca="1">AVERAGE(OFFSET($EN$3,0,0,'Données projet'!$E$15+1,1))-AVERAGE(OFFSET($H$3,0,0,'Données projet'!$E$15+1,1))</f>
        <v>533.26035274112917</v>
      </c>
      <c r="EP118" s="59">
        <f t="shared" si="100"/>
        <v>262.58149402282521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20.454694182043468</v>
      </c>
      <c r="EW118" s="21">
        <f>EXP(-LN(2)/25)*EW117+(1-EXP(-LN(2)/25))/(LN(2)/25)*Calculateur!ER118*Calculateur!ET118*VLOOKUP('Données projet'!$B$15,Paramètres!$A$1:$I$89,3,0)*0.475*44/12</f>
        <v>25.679563599993234</v>
      </c>
      <c r="EX118" s="21">
        <f>EXP(-LN(2)/2)*EX117+(1-EXP(-LN(2)/2))/(LN(2)/2)*ER118*EU118*VLOOKUP('Données projet'!$B$15,Paramètres!$A$1:$I$89,3,0)*0.475*44/12</f>
        <v>2.0793320677023388</v>
      </c>
      <c r="EY118" s="22">
        <f t="shared" si="75"/>
        <v>48.213589849739037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239.26156489359892</v>
      </c>
      <c r="FK118" s="59">
        <f t="shared" si="102"/>
        <v>213.97034450798111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6.5912432181943936</v>
      </c>
      <c r="FR118" s="21">
        <f>EXP(-LN(2)/25)*FR117+(1-EXP(-LN(2)/25))/(LN(2)/25)*Calculateur!FM118*Calculateur!FO118*VLOOKUP('Données projet'!$B$16,Paramètres!$A$1:$I$89,3,0)*0.475*44/12</f>
        <v>31.931467423003841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38.522710641198238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8.7019999999999982</v>
      </c>
      <c r="N119" s="13">
        <f>IF('Données projet'!$A$36&gt;35,N118+M119-V118,IF(A119&lt;'Données projet'!$A$36,$K$205^A119,IF(A119='Données projet'!$A$36,'Données projet'!$B$36,N118+M119-V118)))</f>
        <v>348.61600000000027</v>
      </c>
      <c r="O119" s="13">
        <f>N119*VLOOKUP('Données projet'!$B$9,Paramètres!$A$1:$I$89,3,0)*VLOOKUP('Données projet'!$B$9,Paramètres!$A$1:$I$89,5,0)</f>
        <v>331.74298560000028</v>
      </c>
      <c r="P119" s="13">
        <f t="shared" si="87"/>
        <v>77.791561690435074</v>
      </c>
      <c r="Q119" s="20">
        <f t="shared" si="107"/>
        <v>713.27266986417487</v>
      </c>
      <c r="R119" s="59">
        <f t="shared" si="55"/>
        <v>1006.6060031975082</v>
      </c>
      <c r="S119" s="59">
        <f ca="1">AVERAGE(OFFSET($R$3,0,0,'Données projet'!$E$9+1,1))-AVERAGE(OFFSET($H$3,0,0,'Données projet'!$E$9+1,1))</f>
        <v>449.28947235329758</v>
      </c>
      <c r="T119" s="59">
        <f t="shared" si="88"/>
        <v>289.36994109443964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50.005490028656531</v>
      </c>
      <c r="AA119" s="21">
        <f>EXP(-LN(2)/25)*AA118+(1-EXP(-LN(2)/25))/(LN(2)/25)*Calculateur!V119*Calculateur!X119*VLOOKUP('Données projet'!$B$9,Paramètres!$A$1:$I$89,3,0)*0.475*44/12</f>
        <v>23.733187262071841</v>
      </c>
      <c r="AB119" s="21">
        <f>EXP(-LN(2)/2)*AB118+(1-EXP(-LN(2)/2))/(LN(2)/2)*V119*Y119*VLOOKUP('Données projet'!$B$9,Paramètres!$A$1:$I$89,3,0)*0.475*44/12</f>
        <v>5.1225381635605447E-5</v>
      </c>
      <c r="AC119" s="22">
        <f t="shared" si="57"/>
        <v>73.738728516110015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-2.2737367544323206E-13</v>
      </c>
      <c r="AJ119" s="13">
        <f>AI119*VLOOKUP('Données projet'!$B$10,Paramètres!$A$1:$I$89,3,0)*VLOOKUP('Données projet'!$B$10,Paramètres!$A$1:$I$89,5,0)</f>
        <v>-1.3596945791505279E-13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349.71285006949597</v>
      </c>
      <c r="AO119" s="59">
        <f t="shared" si="90"/>
        <v>258.51550516456842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75.130994364129492</v>
      </c>
      <c r="AV119" s="21">
        <f>EXP(-LN(2)/25)*AV118+(1-EXP(-LN(2)/25))/(LN(2)/25)*Calculateur!AQ119*Calculateur!AS119*VLOOKUP('Données projet'!$B$10,Paramètres!$A$1:$I$89,3,0)*0.475*44/12</f>
        <v>19.071283988770059</v>
      </c>
      <c r="AW119" s="21">
        <f>EXP(-LN(2)/2)*AW118+(1-EXP(-LN(2)/2))/(LN(2)/2)*AQ119*AT119*VLOOKUP('Données projet'!$B$10,Paramètres!$A$1:$I$89,3,0)*0.475*44/12</f>
        <v>2.6976258392795069E-4</v>
      </c>
      <c r="AX119" s="21">
        <f t="shared" si="60"/>
        <v>94.202548115483481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1.1368683772161603E-13</v>
      </c>
      <c r="BE119" s="13">
        <f>BD119*VLOOKUP('Données projet'!$B$11,Paramètres!$A$1:$I$89,3,0)*VLOOKUP('Données projet'!$B$11,Paramètres!$A$1:$I$89,5,0)</f>
        <v>6.7984728957526396E-14</v>
      </c>
      <c r="BF119" s="13">
        <f t="shared" si="91"/>
        <v>1.0682447123141398E-12</v>
      </c>
      <c r="BG119" s="20">
        <f t="shared" si="61"/>
        <v>1.978932943548152E-12</v>
      </c>
      <c r="BH119" s="59">
        <f t="shared" si="62"/>
        <v>293.3333333333353</v>
      </c>
      <c r="BI119" s="59">
        <f ca="1">AVERAGE(OFFSET($BH$3,0,0,'Données projet'!$E$11+1,1))-AVERAGE(OFFSET($H$3,0,0,'Données projet'!$E$11+1,1))</f>
        <v>302.00825291248458</v>
      </c>
      <c r="BJ119" s="59">
        <f t="shared" si="92"/>
        <v>307.35115839449355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45.809721945304027</v>
      </c>
      <c r="BQ119" s="21">
        <f>EXP(-LN(2)/25)*BQ118+(1-EXP(-LN(2)/25))/(LN(2)/25)*Calculateur!BL119*Calculateur!BN119*VLOOKUP('Données projet'!$B$11,Paramètres!$A$1:$I$89,3,0)*0.475*44/12</f>
        <v>10.254195336238897</v>
      </c>
      <c r="BR119" s="21">
        <f>EXP(-LN(2)/2)*BR118+(1-EXP(-LN(2)/2))/(LN(2)/2)*BL119*BO119*VLOOKUP('Données projet'!$B$11,Paramètres!$A$1:$I$89,3,0)*0.475*44/12</f>
        <v>2.2337378123161753E-7</v>
      </c>
      <c r="BS119" s="22">
        <f t="shared" si="63"/>
        <v>56.063917504916709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8.2299999999999986</v>
      </c>
      <c r="BY119" s="12">
        <f>IF('Données projet'!$A$114&gt;35,BY118+BX119-CG118,IF(A119&lt;'Données projet'!$A$114,$BV$205^A119,IF(A119='Données projet'!$A$114,'Données projet'!$B$114,BY118+BX119-CG118)))</f>
        <v>436.7700000000001</v>
      </c>
      <c r="BZ119" s="13">
        <f>BY119*VLOOKUP('Données projet'!$B$12,Paramètres!$A$1:$I$89,3,0)*VLOOKUP('Données projet'!$B$12,Paramètres!$A$1:$I$89,5,0)</f>
        <v>204.40836000000004</v>
      </c>
      <c r="CA119" s="13">
        <f t="shared" si="93"/>
        <v>50.71175906339802</v>
      </c>
      <c r="CB119" s="20">
        <f t="shared" si="64"/>
        <v>444.33420736875161</v>
      </c>
      <c r="CC119" s="59">
        <f t="shared" si="65"/>
        <v>737.66754070208492</v>
      </c>
      <c r="CD119" s="59">
        <f ca="1">AVERAGE(OFFSET($CC$3,0,0,'Données projet'!$E$12+1,1))-AVERAGE(OFFSET($H$3,0,0,'Données projet'!$E$12+1,1))</f>
        <v>337.10499990421835</v>
      </c>
      <c r="CE119" s="59">
        <f t="shared" si="94"/>
        <v>277.4254079562175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59.908988734630647</v>
      </c>
      <c r="CL119" s="21">
        <f>EXP(-LN(2)/25)*CL118+(1-EXP(-LN(2)/25))/(LN(2)/25)*Calculateur!CG119*Calculateur!CI119*VLOOKUP('Données projet'!$B$12,Paramètres!$A$1:$I$89,3,0)*0.475*44/12</f>
        <v>18.803705860439749</v>
      </c>
      <c r="CM119" s="21">
        <f>EXP(-LN(2)/2)*CM118+(1-EXP(-LN(2)/2))/(LN(2)/2)*CG119*CJ119*VLOOKUP('Données projet'!$B$12,Paramètres!$A$1:$I$89,3,0)*0.475*44/12</f>
        <v>0.87713062692477695</v>
      </c>
      <c r="CN119" s="22">
        <f t="shared" si="66"/>
        <v>79.58982522199517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7.0011111111111104</v>
      </c>
      <c r="CT119" s="12">
        <f>IF('Données projet'!$A$140&gt;35,CT118+CS119-DB118,IF(A119&lt;'Données projet'!$A$140,$CQ$205^A119,IF(A119='Données projet'!$A$140,'Données projet'!$B$140,CT118+CS119-DB118)))</f>
        <v>273.26333333333326</v>
      </c>
      <c r="CU119" s="17">
        <f>CT119*VLOOKUP('Données projet'!$B$13,Paramètres!$A$1:$I$89,3,0)*VLOOKUP('Données projet'!$B$13,Paramètres!$A$1:$I$89,5,0)</f>
        <v>272.82611199999997</v>
      </c>
      <c r="CV119" s="13">
        <f t="shared" si="95"/>
        <v>65.448677624096888</v>
      </c>
      <c r="CW119" s="20">
        <f t="shared" si="67"/>
        <v>589.16192526196869</v>
      </c>
      <c r="CX119" s="59">
        <f t="shared" si="68"/>
        <v>882.49525859530195</v>
      </c>
      <c r="CY119" s="59">
        <f ca="1">AVERAGE(OFFSET($CX$3,0,0,'Données projet'!$E$13+1,1))-AVERAGE(OFFSET($H$3,0,0,'Données projet'!$E$13+1,1))</f>
        <v>525.74725170626471</v>
      </c>
      <c r="CZ119" s="59">
        <f t="shared" si="96"/>
        <v>259.19103598192197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19.745073334414897</v>
      </c>
      <c r="DG119" s="21">
        <f>EXP(-LN(2)/25)*DG118+(1-EXP(-LN(2)/25))/(LN(2)/25)*Calculateur!DB119*Calculateur!DD119*VLOOKUP('Données projet'!$B$13,Paramètres!$A$1:$I$89,3,0)*0.475*44/12</f>
        <v>24.593087589338445</v>
      </c>
      <c r="DH119" s="21">
        <f>EXP(-LN(2)/2)*DH118+(1-EXP(-LN(2)/2))/(LN(2)/2)*DB119*DE119*VLOOKUP('Données projet'!$B$13,Paramètres!$A$1:$I$89,3,0)*0.475*44/12</f>
        <v>1.4476896545584927</v>
      </c>
      <c r="DI119" s="22">
        <f t="shared" si="69"/>
        <v>45.785850578311837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7.8516666666666692</v>
      </c>
      <c r="DO119" s="12">
        <f>IF('Données projet'!$A$166&gt;35,DO118+DN119-DW118,IF(A119&lt;'Données projet'!$A$166,$DL$205^A119,IF(A119='Données projet'!$A$166,'Données projet'!$B$166,DO118+DN119-DW118)))</f>
        <v>333.94500000000033</v>
      </c>
      <c r="DP119" s="17">
        <f>DO119*VLOOKUP('Données projet'!$B$14,Paramètres!$A$1:$I$89,3,0)*VLOOKUP('Données projet'!$B$14,Paramètres!$A$1:$I$89,5,0)</f>
        <v>302.15343600000028</v>
      </c>
      <c r="DQ119" s="13">
        <f t="shared" si="97"/>
        <v>71.627718279800249</v>
      </c>
      <c r="DR119" s="20">
        <f t="shared" si="70"/>
        <v>651.00217703731926</v>
      </c>
      <c r="DS119" s="59">
        <f t="shared" si="71"/>
        <v>944.33551037065263</v>
      </c>
      <c r="DT119" s="59">
        <f ca="1">AVERAGE(OFFSET($DS$3,0,0,'Données projet'!$E$14+1,1))-AVERAGE(OFFSET($H$3,0,0,'Données projet'!$E$14+1,1))</f>
        <v>490.06222615476065</v>
      </c>
      <c r="DU119" s="59">
        <f t="shared" si="98"/>
        <v>310.43914804089906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31.905585092835732</v>
      </c>
      <c r="EB119" s="21">
        <f>EXP(-LN(2)/25)*EB118+(1-EXP(-LN(2)/25))/(LN(2)/25)*Calculateur!DW119*Calculateur!DY119*VLOOKUP('Données projet'!$B$14,Paramètres!$A$1:$I$89,3,0)*0.475*44/12</f>
        <v>20.109108791328115</v>
      </c>
      <c r="EC119" s="21">
        <f>EXP(-LN(2)/2)*EC118+(1-EXP(-LN(2)/2))/(LN(2)/2)*DW119*DZ119*VLOOKUP('Données projet'!$B$14,Paramètres!$A$1:$I$89,3,0)*0.475*44/12</f>
        <v>5.4897492587099909E-2</v>
      </c>
      <c r="ED119" s="22">
        <f t="shared" si="72"/>
        <v>52.06959137675095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7.0011111111111104</v>
      </c>
      <c r="EJ119" s="12">
        <f>IF('Données projet'!$A$192&gt;35,EJ118+EI119-ER118,IF(A119&lt;'Données projet'!$A$192,$EG$205^A119,IF(A119='Données projet'!$A$192,'Données projet'!$B$192,EJ118+EI119-ER118)))</f>
        <v>273.26333333333326</v>
      </c>
      <c r="EK119" s="17">
        <f>EJ119*VLOOKUP('Données projet'!$B$15,Paramètres!$A$1:$I$89,3,0)*VLOOKUP('Données projet'!$B$15,Paramètres!$A$1:$I$89,5,0)</f>
        <v>277.08901999999995</v>
      </c>
      <c r="EL119" s="13">
        <f t="shared" si="99"/>
        <v>66.351461456355509</v>
      </c>
      <c r="EM119" s="20">
        <f t="shared" si="73"/>
        <v>598.15883853648563</v>
      </c>
      <c r="EN119" s="59">
        <f t="shared" si="74"/>
        <v>891.492171869819</v>
      </c>
      <c r="EO119" s="59">
        <f ca="1">AVERAGE(OFFSET($EN$3,0,0,'Données projet'!$E$15+1,1))-AVERAGE(OFFSET($H$3,0,0,'Données projet'!$E$15+1,1))</f>
        <v>533.26035274112917</v>
      </c>
      <c r="EP119" s="59">
        <f t="shared" si="100"/>
        <v>262.58149402282521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20.05359010526513</v>
      </c>
      <c r="EW119" s="21">
        <f>EXP(-LN(2)/25)*EW118+(1-EXP(-LN(2)/25))/(LN(2)/25)*Calculateur!ER119*Calculateur!ET119*VLOOKUP('Données projet'!$B$15,Paramètres!$A$1:$I$89,3,0)*0.475*44/12</f>
        <v>24.977354582921862</v>
      </c>
      <c r="EX119" s="21">
        <f>EXP(-LN(2)/2)*EX118+(1-EXP(-LN(2)/2))/(LN(2)/2)*ER119*EU119*VLOOKUP('Données projet'!$B$15,Paramètres!$A$1:$I$89,3,0)*0.475*44/12</f>
        <v>1.4703098054109691</v>
      </c>
      <c r="EY119" s="22">
        <f t="shared" si="75"/>
        <v>46.501254493597962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239.26156489359892</v>
      </c>
      <c r="FK119" s="59">
        <f t="shared" si="102"/>
        <v>213.97034450798111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6.4619929589469969</v>
      </c>
      <c r="FR119" s="21">
        <f>EXP(-LN(2)/25)*FR118+(1-EXP(-LN(2)/25))/(LN(2)/25)*Calculateur!FM119*Calculateur!FO119*VLOOKUP('Données projet'!$B$16,Paramètres!$A$1:$I$89,3,0)*0.475*44/12</f>
        <v>31.05829976711891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37.520292726065904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8.7019999999999982</v>
      </c>
      <c r="N120" s="13">
        <f>IF('Données projet'!$A$36&gt;35,N119+M120-V119,IF(A120&lt;'Données projet'!$A$36,$K$205^A120,IF(A120='Données projet'!$A$36,'Données projet'!$B$36,N119+M120-V119)))</f>
        <v>357.31800000000027</v>
      </c>
      <c r="O120" s="13">
        <f>N120*VLOOKUP('Données projet'!$B$9,Paramètres!$A$1:$I$89,3,0)*VLOOKUP('Données projet'!$B$9,Paramètres!$A$1:$I$89,5,0)</f>
        <v>340.02380880000027</v>
      </c>
      <c r="P120" s="13">
        <f t="shared" si="87"/>
        <v>79.504865450570179</v>
      </c>
      <c r="Q120" s="20">
        <f t="shared" si="107"/>
        <v>730.67910765307681</v>
      </c>
      <c r="R120" s="59">
        <f t="shared" si="55"/>
        <v>1024.0124409864102</v>
      </c>
      <c r="S120" s="59">
        <f ca="1">AVERAGE(OFFSET($R$3,0,0,'Données projet'!$E$9+1,1))-AVERAGE(OFFSET($H$3,0,0,'Données projet'!$E$9+1,1))</f>
        <v>449.28947235329758</v>
      </c>
      <c r="T120" s="59">
        <f t="shared" si="88"/>
        <v>289.36994109443964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49.024912869531839</v>
      </c>
      <c r="AA120" s="21">
        <f>EXP(-LN(2)/25)*AA119+(1-EXP(-LN(2)/25))/(LN(2)/25)*Calculateur!V120*Calculateur!X120*VLOOKUP('Données projet'!$B$9,Paramètres!$A$1:$I$89,3,0)*0.475*44/12</f>
        <v>23.08420200831641</v>
      </c>
      <c r="AB120" s="21">
        <f>EXP(-LN(2)/2)*AB119+(1-EXP(-LN(2)/2))/(LN(2)/2)*V120*Y120*VLOOKUP('Données projet'!$B$9,Paramètres!$A$1:$I$89,3,0)*0.475*44/12</f>
        <v>3.622181472340545E-5</v>
      </c>
      <c r="AC120" s="22">
        <f t="shared" si="57"/>
        <v>72.109151099662967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-2.2737367544323206E-13</v>
      </c>
      <c r="AJ120" s="13">
        <f>AI120*VLOOKUP('Données projet'!$B$10,Paramètres!$A$1:$I$89,3,0)*VLOOKUP('Données projet'!$B$10,Paramètres!$A$1:$I$89,5,0)</f>
        <v>-1.3596945791505279E-13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349.71285006949597</v>
      </c>
      <c r="AO120" s="59">
        <f t="shared" si="90"/>
        <v>258.51550516456842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73.657721390030588</v>
      </c>
      <c r="AV120" s="21">
        <f>EXP(-LN(2)/25)*AV119+(1-EXP(-LN(2)/25))/(LN(2)/25)*Calculateur!AQ120*Calculateur!AS120*VLOOKUP('Données projet'!$B$10,Paramètres!$A$1:$I$89,3,0)*0.475*44/12</f>
        <v>18.549778725181906</v>
      </c>
      <c r="AW120" s="21">
        <f>EXP(-LN(2)/2)*AW119+(1-EXP(-LN(2)/2))/(LN(2)/2)*AQ120*AT120*VLOOKUP('Données projet'!$B$10,Paramètres!$A$1:$I$89,3,0)*0.475*44/12</f>
        <v>1.907509524058591E-4</v>
      </c>
      <c r="AX120" s="21">
        <f t="shared" si="60"/>
        <v>92.207690866164896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1.1368683772161603E-13</v>
      </c>
      <c r="BE120" s="13">
        <f>BD120*VLOOKUP('Données projet'!$B$11,Paramètres!$A$1:$I$89,3,0)*VLOOKUP('Données projet'!$B$11,Paramètres!$A$1:$I$89,5,0)</f>
        <v>6.7984728957526396E-14</v>
      </c>
      <c r="BF120" s="13">
        <f t="shared" si="91"/>
        <v>1.0682447123141398E-12</v>
      </c>
      <c r="BG120" s="20">
        <f t="shared" si="61"/>
        <v>1.978932943548152E-12</v>
      </c>
      <c r="BH120" s="59">
        <f t="shared" si="62"/>
        <v>293.3333333333353</v>
      </c>
      <c r="BI120" s="59">
        <f ca="1">AVERAGE(OFFSET($BH$3,0,0,'Données projet'!$E$11+1,1))-AVERAGE(OFFSET($H$3,0,0,'Données projet'!$E$11+1,1))</f>
        <v>302.00825291248458</v>
      </c>
      <c r="BJ120" s="59">
        <f t="shared" si="92"/>
        <v>307.35115839449355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44.911421239128039</v>
      </c>
      <c r="BQ120" s="21">
        <f>EXP(-LN(2)/25)*BQ119+(1-EXP(-LN(2)/25))/(LN(2)/25)*Calculateur!BL120*Calculateur!BN120*VLOOKUP('Données projet'!$B$11,Paramètres!$A$1:$I$89,3,0)*0.475*44/12</f>
        <v>9.9737938255247478</v>
      </c>
      <c r="BR120" s="21">
        <f>EXP(-LN(2)/2)*BR119+(1-EXP(-LN(2)/2))/(LN(2)/2)*BL120*BO120*VLOOKUP('Données projet'!$B$11,Paramètres!$A$1:$I$89,3,0)*0.475*44/12</f>
        <v>1.5794911544815711E-7</v>
      </c>
      <c r="BS120" s="22">
        <f t="shared" si="63"/>
        <v>54.8852152226019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8.2299999999999986</v>
      </c>
      <c r="BY120" s="12">
        <f>IF('Données projet'!$A$114&gt;35,BY119+BX120-CG119,IF(A120&lt;'Données projet'!$A$114,$BV$205^A120,IF(A120='Données projet'!$A$114,'Données projet'!$B$114,BY119+BX120-CG119)))</f>
        <v>445.00000000000011</v>
      </c>
      <c r="BZ120" s="13">
        <f>BY120*VLOOKUP('Données projet'!$B$12,Paramètres!$A$1:$I$89,3,0)*VLOOKUP('Données projet'!$B$12,Paramètres!$A$1:$I$89,5,0)</f>
        <v>208.26000000000008</v>
      </c>
      <c r="CA120" s="13">
        <f t="shared" si="93"/>
        <v>51.555167993086684</v>
      </c>
      <c r="CB120" s="20">
        <f t="shared" si="64"/>
        <v>452.51141758795944</v>
      </c>
      <c r="CC120" s="59">
        <f t="shared" si="65"/>
        <v>745.84475092129276</v>
      </c>
      <c r="CD120" s="59">
        <f ca="1">AVERAGE(OFFSET($CC$3,0,0,'Données projet'!$E$12+1,1))-AVERAGE(OFFSET($H$3,0,0,'Données projet'!$E$12+1,1))</f>
        <v>337.10499990421835</v>
      </c>
      <c r="CE120" s="59">
        <f t="shared" si="94"/>
        <v>277.4254079562175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58.734210006419559</v>
      </c>
      <c r="CL120" s="21">
        <f>EXP(-LN(2)/25)*CL119+(1-EXP(-LN(2)/25))/(LN(2)/25)*Calculateur!CG120*Calculateur!CI120*VLOOKUP('Données projet'!$B$12,Paramètres!$A$1:$I$89,3,0)*0.475*44/12</f>
        <v>18.289517534842108</v>
      </c>
      <c r="CM120" s="21">
        <f>EXP(-LN(2)/2)*CM119+(1-EXP(-LN(2)/2))/(LN(2)/2)*CG120*CJ120*VLOOKUP('Données projet'!$B$12,Paramètres!$A$1:$I$89,3,0)*0.475*44/12</f>
        <v>0.6202250142849175</v>
      </c>
      <c r="CN120" s="22">
        <f t="shared" si="66"/>
        <v>77.643952555546576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7.0011111111111104</v>
      </c>
      <c r="CT120" s="12">
        <f>IF('Données projet'!$A$140&gt;35,CT119+CS120-DB119,IF(A120&lt;'Données projet'!$A$140,$CQ$205^A120,IF(A120='Données projet'!$A$140,'Données projet'!$B$140,CT119+CS120-DB119)))</f>
        <v>280.26444444444439</v>
      </c>
      <c r="CU120" s="17">
        <f>CT120*VLOOKUP('Données projet'!$B$13,Paramètres!$A$1:$I$89,3,0)*VLOOKUP('Données projet'!$B$13,Paramètres!$A$1:$I$89,5,0)</f>
        <v>279.81602133333325</v>
      </c>
      <c r="CV120" s="13">
        <f t="shared" si="95"/>
        <v>66.928127412896714</v>
      </c>
      <c r="CW120" s="20">
        <f t="shared" si="67"/>
        <v>603.91272573301706</v>
      </c>
      <c r="CX120" s="59">
        <f t="shared" si="68"/>
        <v>897.24605906635043</v>
      </c>
      <c r="CY120" s="59">
        <f ca="1">AVERAGE(OFFSET($CX$3,0,0,'Données projet'!$E$13+1,1))-AVERAGE(OFFSET($H$3,0,0,'Données projet'!$E$13+1,1))</f>
        <v>525.74725170626471</v>
      </c>
      <c r="CZ120" s="59">
        <f t="shared" si="96"/>
        <v>259.19103598192197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19.357884489632578</v>
      </c>
      <c r="DG120" s="21">
        <f>EXP(-LN(2)/25)*DG119+(1-EXP(-LN(2)/25))/(LN(2)/25)*Calculateur!DB120*Calculateur!DD120*VLOOKUP('Données projet'!$B$13,Paramètres!$A$1:$I$89,3,0)*0.475*44/12</f>
        <v>23.920588315913719</v>
      </c>
      <c r="DH120" s="21">
        <f>EXP(-LN(2)/2)*DH119+(1-EXP(-LN(2)/2))/(LN(2)/2)*DB120*DE120*VLOOKUP('Données projet'!$B$13,Paramètres!$A$1:$I$89,3,0)*0.475*44/12</f>
        <v>1.0236711717919207</v>
      </c>
      <c r="DI120" s="22">
        <f t="shared" si="69"/>
        <v>44.302143977338218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7.8516666666666692</v>
      </c>
      <c r="DO120" s="12">
        <f>IF('Données projet'!$A$166&gt;35,DO119+DN120-DW119,IF(A120&lt;'Données projet'!$A$166,$DL$205^A120,IF(A120='Données projet'!$A$166,'Données projet'!$B$166,DO119+DN120-DW119)))</f>
        <v>341.79666666666702</v>
      </c>
      <c r="DP120" s="17">
        <f>DO120*VLOOKUP('Données projet'!$B$14,Paramètres!$A$1:$I$89,3,0)*VLOOKUP('Données projet'!$B$14,Paramètres!$A$1:$I$89,5,0)</f>
        <v>309.25762400000031</v>
      </c>
      <c r="DQ120" s="13">
        <f t="shared" si="97"/>
        <v>73.113770887931139</v>
      </c>
      <c r="DR120" s="20">
        <f t="shared" si="70"/>
        <v>665.96351276314715</v>
      </c>
      <c r="DS120" s="59">
        <f t="shared" si="71"/>
        <v>959.29684609648052</v>
      </c>
      <c r="DT120" s="59">
        <f ca="1">AVERAGE(OFFSET($DS$3,0,0,'Données projet'!$E$14+1,1))-AVERAGE(OFFSET($H$3,0,0,'Données projet'!$E$14+1,1))</f>
        <v>490.06222615476065</v>
      </c>
      <c r="DU120" s="59">
        <f t="shared" si="98"/>
        <v>310.43914804089906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31.279936029650568</v>
      </c>
      <c r="EB120" s="21">
        <f>EXP(-LN(2)/25)*EB119+(1-EXP(-LN(2)/25))/(LN(2)/25)*Calculateur!DW120*Calculateur!DY120*VLOOKUP('Données projet'!$B$14,Paramètres!$A$1:$I$89,3,0)*0.475*44/12</f>
        <v>19.559224153937176</v>
      </c>
      <c r="EC120" s="21">
        <f>EXP(-LN(2)/2)*EC119+(1-EXP(-LN(2)/2))/(LN(2)/2)*DW120*DZ120*VLOOKUP('Données projet'!$B$14,Paramètres!$A$1:$I$89,3,0)*0.475*44/12</f>
        <v>3.881838927847657E-2</v>
      </c>
      <c r="ED120" s="22">
        <f t="shared" si="72"/>
        <v>50.877978572866219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7.0011111111111104</v>
      </c>
      <c r="EJ120" s="12">
        <f>IF('Données projet'!$A$192&gt;35,EJ119+EI120-ER119,IF(A120&lt;'Données projet'!$A$192,$EG$205^A120,IF(A120='Données projet'!$A$192,'Données projet'!$B$192,EJ119+EI120-ER119)))</f>
        <v>280.26444444444439</v>
      </c>
      <c r="EK120" s="17">
        <f>EJ120*VLOOKUP('Données projet'!$B$15,Paramètres!$A$1:$I$89,3,0)*VLOOKUP('Données projet'!$B$15,Paramètres!$A$1:$I$89,5,0)</f>
        <v>284.18814666666663</v>
      </c>
      <c r="EL120" s="13">
        <f t="shared" si="99"/>
        <v>67.851318431342392</v>
      </c>
      <c r="EM120" s="20">
        <f t="shared" si="73"/>
        <v>613.13540171236571</v>
      </c>
      <c r="EN120" s="59">
        <f t="shared" si="74"/>
        <v>906.46873504569908</v>
      </c>
      <c r="EO120" s="59">
        <f ca="1">AVERAGE(OFFSET($EN$3,0,0,'Données projet'!$E$15+1,1))-AVERAGE(OFFSET($H$3,0,0,'Données projet'!$E$15+1,1))</f>
        <v>533.26035274112917</v>
      </c>
      <c r="EP120" s="59">
        <f t="shared" si="100"/>
        <v>262.58149402282521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19.660351434783085</v>
      </c>
      <c r="EW120" s="21">
        <f>EXP(-LN(2)/25)*EW119+(1-EXP(-LN(2)/25))/(LN(2)/25)*Calculateur!ER120*Calculateur!ET120*VLOOKUP('Données projet'!$B$15,Paramètres!$A$1:$I$89,3,0)*0.475*44/12</f>
        <v>24.294347508349873</v>
      </c>
      <c r="EX120" s="21">
        <f>EXP(-LN(2)/2)*EX119+(1-EXP(-LN(2)/2))/(LN(2)/2)*ER120*EU120*VLOOKUP('Données projet'!$B$15,Paramètres!$A$1:$I$89,3,0)*0.475*44/12</f>
        <v>1.0396660338511694</v>
      </c>
      <c r="EY120" s="22">
        <f t="shared" si="75"/>
        <v>44.994364976984123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239.26156489359892</v>
      </c>
      <c r="FK120" s="59">
        <f t="shared" si="102"/>
        <v>213.97034450798111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6.3352772184485673</v>
      </c>
      <c r="FR120" s="21">
        <f>EXP(-LN(2)/25)*FR119+(1-EXP(-LN(2)/25))/(LN(2)/25)*Calculateur!FM120*Calculateur!FO120*VLOOKUP('Données projet'!$B$16,Paramètres!$A$1:$I$89,3,0)*0.475*44/12</f>
        <v>30.209008926702044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36.544286145150608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8.7019999999999982</v>
      </c>
      <c r="N121" s="13">
        <f>IF('Données projet'!$A$36&gt;35,N120+M121-V120,IF(A121&lt;'Données projet'!$A$36,$K$205^A121,IF(A121='Données projet'!$A$36,'Données projet'!$B$36,N120+M121-V120)))</f>
        <v>366.02000000000027</v>
      </c>
      <c r="O121" s="13">
        <f>N121*VLOOKUP('Données projet'!$B$9,Paramètres!$A$1:$I$89,3,0)*VLOOKUP('Données projet'!$B$9,Paramètres!$A$1:$I$89,5,0)</f>
        <v>348.30463200000025</v>
      </c>
      <c r="P121" s="13">
        <f t="shared" si="87"/>
        <v>81.213318766761901</v>
      </c>
      <c r="Q121" s="20">
        <f t="shared" si="107"/>
        <v>748.07709758544399</v>
      </c>
      <c r="R121" s="59">
        <f t="shared" si="55"/>
        <v>1041.4104309187774</v>
      </c>
      <c r="S121" s="59">
        <f ca="1">AVERAGE(OFFSET($R$3,0,0,'Données projet'!$E$9+1,1))-AVERAGE(OFFSET($H$3,0,0,'Données projet'!$E$9+1,1))</f>
        <v>449.28947235329758</v>
      </c>
      <c r="T121" s="59">
        <f t="shared" si="88"/>
        <v>289.36994109443964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48.063564230404566</v>
      </c>
      <c r="AA121" s="21">
        <f>EXP(-LN(2)/25)*AA120+(1-EXP(-LN(2)/25))/(LN(2)/25)*Calculateur!V121*Calculateur!X121*VLOOKUP('Données projet'!$B$9,Paramètres!$A$1:$I$89,3,0)*0.475*44/12</f>
        <v>22.452963290453575</v>
      </c>
      <c r="AB121" s="21">
        <f>EXP(-LN(2)/2)*AB120+(1-EXP(-LN(2)/2))/(LN(2)/2)*V121*Y121*VLOOKUP('Données projet'!$B$9,Paramètres!$A$1:$I$89,3,0)*0.475*44/12</f>
        <v>2.5612690817802723E-5</v>
      </c>
      <c r="AC121" s="22">
        <f t="shared" si="57"/>
        <v>70.516553133548967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-2.2737367544323206E-13</v>
      </c>
      <c r="AJ121" s="13">
        <f>AI121*VLOOKUP('Données projet'!$B$10,Paramètres!$A$1:$I$89,3,0)*VLOOKUP('Données projet'!$B$10,Paramètres!$A$1:$I$89,5,0)</f>
        <v>-1.3596945791505279E-13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349.71285006949597</v>
      </c>
      <c r="AO121" s="59">
        <f t="shared" si="90"/>
        <v>258.51550516456842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72.213338400345989</v>
      </c>
      <c r="AV121" s="21">
        <f>EXP(-LN(2)/25)*AV120+(1-EXP(-LN(2)/25))/(LN(2)/25)*Calculateur!AQ121*Calculateur!AS121*VLOOKUP('Données projet'!$B$10,Paramètres!$A$1:$I$89,3,0)*0.475*44/12</f>
        <v>18.042534050451341</v>
      </c>
      <c r="AW121" s="21">
        <f>EXP(-LN(2)/2)*AW120+(1-EXP(-LN(2)/2))/(LN(2)/2)*AQ121*AT121*VLOOKUP('Données projet'!$B$10,Paramètres!$A$1:$I$89,3,0)*0.475*44/12</f>
        <v>1.3488129196397535E-4</v>
      </c>
      <c r="AX121" s="21">
        <f t="shared" si="60"/>
        <v>90.256007332089297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1.1368683772161603E-13</v>
      </c>
      <c r="BE121" s="13">
        <f>BD121*VLOOKUP('Données projet'!$B$11,Paramètres!$A$1:$I$89,3,0)*VLOOKUP('Données projet'!$B$11,Paramètres!$A$1:$I$89,5,0)</f>
        <v>6.7984728957526396E-14</v>
      </c>
      <c r="BF121" s="13">
        <f t="shared" si="91"/>
        <v>1.0682447123141398E-12</v>
      </c>
      <c r="BG121" s="20">
        <f t="shared" si="61"/>
        <v>1.978932943548152E-12</v>
      </c>
      <c r="BH121" s="59">
        <f t="shared" si="62"/>
        <v>293.3333333333353</v>
      </c>
      <c r="BI121" s="59">
        <f ca="1">AVERAGE(OFFSET($BH$3,0,0,'Données projet'!$E$11+1,1))-AVERAGE(OFFSET($H$3,0,0,'Données projet'!$E$11+1,1))</f>
        <v>302.00825291248458</v>
      </c>
      <c r="BJ121" s="59">
        <f t="shared" si="92"/>
        <v>307.35115839449355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44.030735661890837</v>
      </c>
      <c r="BQ121" s="21">
        <f>EXP(-LN(2)/25)*BQ120+(1-EXP(-LN(2)/25))/(LN(2)/25)*Calculateur!BL121*Calculateur!BN121*VLOOKUP('Données projet'!$B$11,Paramètres!$A$1:$I$89,3,0)*0.475*44/12</f>
        <v>9.7010599088667515</v>
      </c>
      <c r="BR121" s="21">
        <f>EXP(-LN(2)/2)*BR120+(1-EXP(-LN(2)/2))/(LN(2)/2)*BL121*BO121*VLOOKUP('Données projet'!$B$11,Paramètres!$A$1:$I$89,3,0)*0.475*44/12</f>
        <v>1.1168689061580877E-7</v>
      </c>
      <c r="BS121" s="22">
        <f t="shared" si="63"/>
        <v>53.731795682444478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8.2299999999999986</v>
      </c>
      <c r="BY121" s="12">
        <f>IF('Données projet'!$A$114&gt;35,BY120+BX121-CG120,IF(A121&lt;'Données projet'!$A$114,$BV$205^A121,IF(A121='Données projet'!$A$114,'Données projet'!$B$114,BY120+BX121-CG120)))</f>
        <v>453.23000000000013</v>
      </c>
      <c r="BZ121" s="13">
        <f>BY121*VLOOKUP('Données projet'!$B$12,Paramètres!$A$1:$I$89,3,0)*VLOOKUP('Données projet'!$B$12,Paramètres!$A$1:$I$89,5,0)</f>
        <v>212.11164000000005</v>
      </c>
      <c r="CA121" s="13">
        <f t="shared" si="93"/>
        <v>52.396763121120088</v>
      </c>
      <c r="CB121" s="20">
        <f t="shared" si="64"/>
        <v>460.68546876928417</v>
      </c>
      <c r="CC121" s="59">
        <f t="shared" si="65"/>
        <v>754.01880210261743</v>
      </c>
      <c r="CD121" s="59">
        <f ca="1">AVERAGE(OFFSET($CC$3,0,0,'Données projet'!$E$12+1,1))-AVERAGE(OFFSET($H$3,0,0,'Données projet'!$E$12+1,1))</f>
        <v>337.10499990421835</v>
      </c>
      <c r="CE121" s="59">
        <f t="shared" si="94"/>
        <v>277.4254079562175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57.58246797252442</v>
      </c>
      <c r="CL121" s="21">
        <f>EXP(-LN(2)/25)*CL120+(1-EXP(-LN(2)/25))/(LN(2)/25)*Calculateur!CG121*Calculateur!CI121*VLOOKUP('Données projet'!$B$12,Paramètres!$A$1:$I$89,3,0)*0.475*44/12</f>
        <v>17.789389716047925</v>
      </c>
      <c r="CM121" s="21">
        <f>EXP(-LN(2)/2)*CM120+(1-EXP(-LN(2)/2))/(LN(2)/2)*CG121*CJ121*VLOOKUP('Données projet'!$B$12,Paramètres!$A$1:$I$89,3,0)*0.475*44/12</f>
        <v>0.43856531346238847</v>
      </c>
      <c r="CN121" s="22">
        <f t="shared" si="66"/>
        <v>75.810423002034739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7.0011111111111104</v>
      </c>
      <c r="CT121" s="12">
        <f>IF('Données projet'!$A$140&gt;35,CT120+CS121-DB120,IF(A121&lt;'Données projet'!$A$140,$CQ$205^A121,IF(A121='Données projet'!$A$140,'Données projet'!$B$140,CT120+CS121-DB120)))</f>
        <v>287.26555555555552</v>
      </c>
      <c r="CU121" s="17">
        <f>CT121*VLOOKUP('Données projet'!$B$13,Paramètres!$A$1:$I$89,3,0)*VLOOKUP('Données projet'!$B$13,Paramètres!$A$1:$I$89,5,0)</f>
        <v>286.80593066666665</v>
      </c>
      <c r="CV121" s="13">
        <f t="shared" si="95"/>
        <v>68.403281158261805</v>
      </c>
      <c r="CW121" s="20">
        <f t="shared" si="67"/>
        <v>618.65604392841703</v>
      </c>
      <c r="CX121" s="59">
        <f t="shared" si="68"/>
        <v>911.98937726175041</v>
      </c>
      <c r="CY121" s="59">
        <f ca="1">AVERAGE(OFFSET($CX$3,0,0,'Données projet'!$E$13+1,1))-AVERAGE(OFFSET($H$3,0,0,'Données projet'!$E$13+1,1))</f>
        <v>525.74725170626471</v>
      </c>
      <c r="CZ121" s="59">
        <f t="shared" si="96"/>
        <v>259.19103598192197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18.978288181934563</v>
      </c>
      <c r="DG121" s="21">
        <f>EXP(-LN(2)/25)*DG120+(1-EXP(-LN(2)/25))/(LN(2)/25)*Calculateur!DB121*Calculateur!DD121*VLOOKUP('Données projet'!$B$13,Paramètres!$A$1:$I$89,3,0)*0.475*44/12</f>
        <v>23.26647857048599</v>
      </c>
      <c r="DH121" s="21">
        <f>EXP(-LN(2)/2)*DH120+(1-EXP(-LN(2)/2))/(LN(2)/2)*DB121*DE121*VLOOKUP('Données projet'!$B$13,Paramètres!$A$1:$I$89,3,0)*0.475*44/12</f>
        <v>0.72384482727924637</v>
      </c>
      <c r="DI121" s="22">
        <f t="shared" si="69"/>
        <v>42.968611579699797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7.8516666666666692</v>
      </c>
      <c r="DO121" s="12">
        <f>IF('Données projet'!$A$166&gt;35,DO120+DN121-DW120,IF(A121&lt;'Données projet'!$A$166,$DL$205^A121,IF(A121='Données projet'!$A$166,'Données projet'!$B$166,DO120+DN121-DW120)))</f>
        <v>349.64833333333371</v>
      </c>
      <c r="DP121" s="17">
        <f>DO121*VLOOKUP('Données projet'!$B$14,Paramètres!$A$1:$I$89,3,0)*VLOOKUP('Données projet'!$B$14,Paramètres!$A$1:$I$89,5,0)</f>
        <v>316.36181200000033</v>
      </c>
      <c r="DQ121" s="13">
        <f t="shared" si="97"/>
        <v>74.59585486191655</v>
      </c>
      <c r="DR121" s="20">
        <f t="shared" si="70"/>
        <v>680.91793645117184</v>
      </c>
      <c r="DS121" s="59">
        <f t="shared" si="71"/>
        <v>974.25126978450521</v>
      </c>
      <c r="DT121" s="59">
        <f ca="1">AVERAGE(OFFSET($DS$3,0,0,'Données projet'!$E$14+1,1))-AVERAGE(OFFSET($H$3,0,0,'Données projet'!$E$14+1,1))</f>
        <v>490.06222615476065</v>
      </c>
      <c r="DU121" s="59">
        <f t="shared" si="98"/>
        <v>310.43914804089906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30.666555562986215</v>
      </c>
      <c r="EB121" s="21">
        <f>EXP(-LN(2)/25)*EB120+(1-EXP(-LN(2)/25))/(LN(2)/25)*Calculateur!DW121*Calculateur!DY121*VLOOKUP('Données projet'!$B$14,Paramètres!$A$1:$I$89,3,0)*0.475*44/12</f>
        <v>19.024376140872871</v>
      </c>
      <c r="EC121" s="21">
        <f>EXP(-LN(2)/2)*EC120+(1-EXP(-LN(2)/2))/(LN(2)/2)*DW121*DZ121*VLOOKUP('Données projet'!$B$14,Paramètres!$A$1:$I$89,3,0)*0.475*44/12</f>
        <v>2.7448746293549955E-2</v>
      </c>
      <c r="ED121" s="22">
        <f t="shared" si="72"/>
        <v>49.718380450152637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7.0011111111111104</v>
      </c>
      <c r="EJ121" s="12">
        <f>IF('Données projet'!$A$192&gt;35,EJ120+EI121-ER120,IF(A121&lt;'Données projet'!$A$192,$EG$205^A121,IF(A121='Données projet'!$A$192,'Données projet'!$B$192,EJ120+EI121-ER120)))</f>
        <v>287.26555555555552</v>
      </c>
      <c r="EK121" s="17">
        <f>EJ121*VLOOKUP('Données projet'!$B$15,Paramètres!$A$1:$I$89,3,0)*VLOOKUP('Données projet'!$B$15,Paramètres!$A$1:$I$89,5,0)</f>
        <v>291.2872733333333</v>
      </c>
      <c r="EL121" s="13">
        <f t="shared" si="99"/>
        <v>69.346820104270833</v>
      </c>
      <c r="EM121" s="20">
        <f t="shared" si="73"/>
        <v>628.10437940382712</v>
      </c>
      <c r="EN121" s="59">
        <f t="shared" si="74"/>
        <v>921.43771273716038</v>
      </c>
      <c r="EO121" s="59">
        <f ca="1">AVERAGE(OFFSET($EN$3,0,0,'Données projet'!$E$15+1,1))-AVERAGE(OFFSET($H$3,0,0,'Données projet'!$E$15+1,1))</f>
        <v>533.26035274112917</v>
      </c>
      <c r="EP121" s="59">
        <f t="shared" si="100"/>
        <v>262.58149402282521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19.274823934777288</v>
      </c>
      <c r="EW121" s="21">
        <f>EXP(-LN(2)/25)*EW120+(1-EXP(-LN(2)/25))/(LN(2)/25)*Calculateur!ER121*Calculateur!ET121*VLOOKUP('Données projet'!$B$15,Paramètres!$A$1:$I$89,3,0)*0.475*44/12</f>
        <v>23.630017298149834</v>
      </c>
      <c r="EX121" s="21">
        <f>EXP(-LN(2)/2)*EX120+(1-EXP(-LN(2)/2))/(LN(2)/2)*ER121*EU121*VLOOKUP('Données projet'!$B$15,Paramètres!$A$1:$I$89,3,0)*0.475*44/12</f>
        <v>0.73515490270548456</v>
      </c>
      <c r="EY121" s="22">
        <f t="shared" si="75"/>
        <v>43.639996135632607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239.26156489359892</v>
      </c>
      <c r="FK121" s="59">
        <f t="shared" si="102"/>
        <v>213.97034450798111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6.2110462963323423</v>
      </c>
      <c r="FR121" s="21">
        <f>EXP(-LN(2)/25)*FR120+(1-EXP(-LN(2)/25))/(LN(2)/25)*Calculateur!FM121*Calculateur!FO121*VLOOKUP('Données projet'!$B$16,Paramètres!$A$1:$I$89,3,0)*0.475*44/12</f>
        <v>29.38294198897864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35.593988285310985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8.7019999999999982</v>
      </c>
      <c r="N122" s="13">
        <f>IF('Données projet'!$A$36&gt;35,N121+M122-V121,IF(A122&lt;'Données projet'!$A$36,$K$205^A122,IF(A122='Données projet'!$A$36,'Données projet'!$B$36,N121+M122-V121)))</f>
        <v>374.72200000000026</v>
      </c>
      <c r="O122" s="13">
        <f>N122*VLOOKUP('Données projet'!$B$9,Paramètres!$A$1:$I$89,3,0)*VLOOKUP('Données projet'!$B$9,Paramètres!$A$1:$I$89,5,0)</f>
        <v>356.58545520000024</v>
      </c>
      <c r="P122" s="13">
        <f t="shared" si="87"/>
        <v>82.917050226144909</v>
      </c>
      <c r="Q122" s="20">
        <f t="shared" si="107"/>
        <v>765.46686361720276</v>
      </c>
      <c r="R122" s="59">
        <f t="shared" si="55"/>
        <v>1058.800196950536</v>
      </c>
      <c r="S122" s="59">
        <f ca="1">AVERAGE(OFFSET($R$3,0,0,'Données projet'!$E$9+1,1))-AVERAGE(OFFSET($H$3,0,0,'Données projet'!$E$9+1,1))</f>
        <v>449.28947235329758</v>
      </c>
      <c r="T122" s="59">
        <f t="shared" si="88"/>
        <v>289.36994109443964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47.121067051725809</v>
      </c>
      <c r="AA122" s="21">
        <f>EXP(-LN(2)/25)*AA121+(1-EXP(-LN(2)/25))/(LN(2)/25)*Calculateur!V122*Calculateur!X122*VLOOKUP('Données projet'!$B$9,Paramètres!$A$1:$I$89,3,0)*0.475*44/12</f>
        <v>21.838985828526098</v>
      </c>
      <c r="AB122" s="21">
        <f>EXP(-LN(2)/2)*AB121+(1-EXP(-LN(2)/2))/(LN(2)/2)*V122*Y122*VLOOKUP('Données projet'!$B$9,Paramètres!$A$1:$I$89,3,0)*0.475*44/12</f>
        <v>1.8110907361702725E-5</v>
      </c>
      <c r="AC122" s="22">
        <f t="shared" si="57"/>
        <v>68.96007099115927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-2.2737367544323206E-13</v>
      </c>
      <c r="AJ122" s="13">
        <f>AI122*VLOOKUP('Données projet'!$B$10,Paramètres!$A$1:$I$89,3,0)*VLOOKUP('Données projet'!$B$10,Paramètres!$A$1:$I$89,5,0)</f>
        <v>-1.3596945791505279E-13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349.71285006949597</v>
      </c>
      <c r="AO122" s="59">
        <f t="shared" si="90"/>
        <v>258.51550516456842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70.797278880102468</v>
      </c>
      <c r="AV122" s="21">
        <f>EXP(-LN(2)/25)*AV121+(1-EXP(-LN(2)/25))/(LN(2)/25)*Calculateur!AQ122*Calculateur!AS122*VLOOKUP('Données projet'!$B$10,Paramètres!$A$1:$I$89,3,0)*0.475*44/12</f>
        <v>17.549160008026121</v>
      </c>
      <c r="AW122" s="21">
        <f>EXP(-LN(2)/2)*AW121+(1-EXP(-LN(2)/2))/(LN(2)/2)*AQ122*AT122*VLOOKUP('Données projet'!$B$10,Paramètres!$A$1:$I$89,3,0)*0.475*44/12</f>
        <v>9.5375476202929548E-5</v>
      </c>
      <c r="AX122" s="21">
        <f t="shared" si="60"/>
        <v>88.346534263604795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1.1368683772161603E-13</v>
      </c>
      <c r="BE122" s="13">
        <f>BD122*VLOOKUP('Données projet'!$B$11,Paramètres!$A$1:$I$89,3,0)*VLOOKUP('Données projet'!$B$11,Paramètres!$A$1:$I$89,5,0)</f>
        <v>6.7984728957526396E-14</v>
      </c>
      <c r="BF122" s="13">
        <f t="shared" si="91"/>
        <v>1.0682447123141398E-12</v>
      </c>
      <c r="BG122" s="20">
        <f t="shared" si="61"/>
        <v>1.978932943548152E-12</v>
      </c>
      <c r="BH122" s="59">
        <f t="shared" si="62"/>
        <v>293.3333333333353</v>
      </c>
      <c r="BI122" s="59">
        <f ca="1">AVERAGE(OFFSET($BH$3,0,0,'Données projet'!$E$11+1,1))-AVERAGE(OFFSET($H$3,0,0,'Données projet'!$E$11+1,1))</f>
        <v>302.00825291248458</v>
      </c>
      <c r="BJ122" s="59">
        <f t="shared" si="92"/>
        <v>307.35115839449355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43.167319791658095</v>
      </c>
      <c r="BQ122" s="21">
        <f>EXP(-LN(2)/25)*BQ121+(1-EXP(-LN(2)/25))/(LN(2)/25)*Calculateur!BL122*Calculateur!BN122*VLOOKUP('Données projet'!$B$11,Paramètres!$A$1:$I$89,3,0)*0.475*44/12</f>
        <v>9.4357839155022223</v>
      </c>
      <c r="BR122" s="21">
        <f>EXP(-LN(2)/2)*BR121+(1-EXP(-LN(2)/2))/(LN(2)/2)*BL122*BO122*VLOOKUP('Données projet'!$B$11,Paramètres!$A$1:$I$89,3,0)*0.475*44/12</f>
        <v>7.8974557724078556E-8</v>
      </c>
      <c r="BS122" s="22">
        <f t="shared" si="63"/>
        <v>52.603103786134874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8.2299999999999986</v>
      </c>
      <c r="BY122" s="12">
        <f>IF('Données projet'!$A$114&gt;35,BY121+BX122-CG121,IF(A122&lt;'Données projet'!$A$114,$BV$205^A122,IF(A122='Données projet'!$A$114,'Données projet'!$B$114,BY121+BX122-CG121)))</f>
        <v>461.46000000000015</v>
      </c>
      <c r="BZ122" s="13">
        <f>BY122*VLOOKUP('Données projet'!$B$12,Paramètres!$A$1:$I$89,3,0)*VLOOKUP('Données projet'!$B$12,Paramètres!$A$1:$I$89,5,0)</f>
        <v>215.96328000000008</v>
      </c>
      <c r="CA122" s="13">
        <f t="shared" si="93"/>
        <v>53.236581182498291</v>
      </c>
      <c r="CB122" s="20">
        <f t="shared" si="64"/>
        <v>468.85642489285124</v>
      </c>
      <c r="CC122" s="59">
        <f t="shared" si="65"/>
        <v>762.18975822618449</v>
      </c>
      <c r="CD122" s="59">
        <f ca="1">AVERAGE(OFFSET($CC$3,0,0,'Données projet'!$E$12+1,1))-AVERAGE(OFFSET($H$3,0,0,'Données projet'!$E$12+1,1))</f>
        <v>337.10499990421835</v>
      </c>
      <c r="CE122" s="59">
        <f t="shared" si="94"/>
        <v>277.4254079562175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56.453310897420685</v>
      </c>
      <c r="CL122" s="21">
        <f>EXP(-LN(2)/25)*CL121+(1-EXP(-LN(2)/25))/(LN(2)/25)*Calculateur!CG122*Calculateur!CI122*VLOOKUP('Données projet'!$B$12,Paramètres!$A$1:$I$89,3,0)*0.475*44/12</f>
        <v>17.302937918759248</v>
      </c>
      <c r="CM122" s="21">
        <f>EXP(-LN(2)/2)*CM121+(1-EXP(-LN(2)/2))/(LN(2)/2)*CG122*CJ122*VLOOKUP('Données projet'!$B$12,Paramètres!$A$1:$I$89,3,0)*0.475*44/12</f>
        <v>0.31011250714245875</v>
      </c>
      <c r="CN122" s="22">
        <f t="shared" si="66"/>
        <v>74.066361323322397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7.0011111111111104</v>
      </c>
      <c r="CT122" s="12">
        <f>IF('Données projet'!$A$140&gt;35,CT121+CS122-DB121,IF(A122&lt;'Données projet'!$A$140,$CQ$205^A122,IF(A122='Données projet'!$A$140,'Données projet'!$B$140,CT121+CS122-DB121)))</f>
        <v>294.26666666666665</v>
      </c>
      <c r="CU122" s="17">
        <f>CT122*VLOOKUP('Données projet'!$B$13,Paramètres!$A$1:$I$89,3,0)*VLOOKUP('Données projet'!$B$13,Paramètres!$A$1:$I$89,5,0)</f>
        <v>293.79584</v>
      </c>
      <c r="CV122" s="13">
        <f t="shared" si="95"/>
        <v>69.874255606457325</v>
      </c>
      <c r="CW122" s="20">
        <f t="shared" si="67"/>
        <v>633.39208318124645</v>
      </c>
      <c r="CX122" s="59">
        <f t="shared" si="68"/>
        <v>926.72541651457982</v>
      </c>
      <c r="CY122" s="59">
        <f ca="1">AVERAGE(OFFSET($CX$3,0,0,'Données projet'!$E$13+1,1))-AVERAGE(OFFSET($H$3,0,0,'Données projet'!$E$13+1,1))</f>
        <v>525.74725170626471</v>
      </c>
      <c r="CZ122" s="59">
        <f t="shared" si="96"/>
        <v>259.19103598192197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18.606135526299621</v>
      </c>
      <c r="DG122" s="21">
        <f>EXP(-LN(2)/25)*DG121+(1-EXP(-LN(2)/25))/(LN(2)/25)*Calculateur!DB122*Calculateur!DD122*VLOOKUP('Données projet'!$B$13,Paramètres!$A$1:$I$89,3,0)*0.475*44/12</f>
        <v>22.630255490445119</v>
      </c>
      <c r="DH122" s="21">
        <f>EXP(-LN(2)/2)*DH121+(1-EXP(-LN(2)/2))/(LN(2)/2)*DB122*DE122*VLOOKUP('Données projet'!$B$13,Paramètres!$A$1:$I$89,3,0)*0.475*44/12</f>
        <v>0.51183558589596034</v>
      </c>
      <c r="DI122" s="22">
        <f t="shared" si="69"/>
        <v>41.748226602640699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7.8516666666666692</v>
      </c>
      <c r="DO122" s="12">
        <f>IF('Données projet'!$A$166&gt;35,DO121+DN122-DW121,IF(A122&lt;'Données projet'!$A$166,$DL$205^A122,IF(A122='Données projet'!$A$166,'Données projet'!$B$166,DO121+DN122-DW121)))</f>
        <v>357.5000000000004</v>
      </c>
      <c r="DP122" s="17">
        <f>DO122*VLOOKUP('Données projet'!$B$14,Paramètres!$A$1:$I$89,3,0)*VLOOKUP('Données projet'!$B$14,Paramètres!$A$1:$I$89,5,0)</f>
        <v>323.46600000000035</v>
      </c>
      <c r="DQ122" s="13">
        <f t="shared" si="97"/>
        <v>76.074069581431218</v>
      </c>
      <c r="DR122" s="20">
        <f t="shared" si="70"/>
        <v>695.86562118765994</v>
      </c>
      <c r="DS122" s="59">
        <f t="shared" si="71"/>
        <v>989.19895452099331</v>
      </c>
      <c r="DT122" s="59">
        <f ca="1">AVERAGE(OFFSET($DS$3,0,0,'Données projet'!$E$14+1,1))-AVERAGE(OFFSET($H$3,0,0,'Données projet'!$E$14+1,1))</f>
        <v>490.06222615476065</v>
      </c>
      <c r="DU122" s="59">
        <f t="shared" si="98"/>
        <v>310.43914804089906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30.065203113148009</v>
      </c>
      <c r="EB122" s="21">
        <f>EXP(-LN(2)/25)*EB121+(1-EXP(-LN(2)/25))/(LN(2)/25)*Calculateur!DW122*Calculateur!DY122*VLOOKUP('Données projet'!$B$14,Paramètres!$A$1:$I$89,3,0)*0.475*44/12</f>
        <v>18.504153574852243</v>
      </c>
      <c r="EC122" s="21">
        <f>EXP(-LN(2)/2)*EC121+(1-EXP(-LN(2)/2))/(LN(2)/2)*DW122*DZ122*VLOOKUP('Données projet'!$B$14,Paramètres!$A$1:$I$89,3,0)*0.475*44/12</f>
        <v>1.9409194639238285E-2</v>
      </c>
      <c r="ED122" s="22">
        <f t="shared" si="72"/>
        <v>48.588765882639493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7.0011111111111104</v>
      </c>
      <c r="EJ122" s="12">
        <f>IF('Données projet'!$A$192&gt;35,EJ121+EI122-ER121,IF(A122&lt;'Données projet'!$A$192,$EG$205^A122,IF(A122='Données projet'!$A$192,'Données projet'!$B$192,EJ121+EI122-ER121)))</f>
        <v>294.26666666666665</v>
      </c>
      <c r="EK122" s="17">
        <f>EJ122*VLOOKUP('Données projet'!$B$15,Paramètres!$A$1:$I$89,3,0)*VLOOKUP('Données projet'!$B$15,Paramètres!$A$1:$I$89,5,0)</f>
        <v>298.38640000000004</v>
      </c>
      <c r="EL122" s="13">
        <f t="shared" si="99"/>
        <v>70.838084831776925</v>
      </c>
      <c r="EM122" s="20">
        <f t="shared" si="73"/>
        <v>643.06597774867816</v>
      </c>
      <c r="EN122" s="59">
        <f t="shared" si="74"/>
        <v>936.39931108201154</v>
      </c>
      <c r="EO122" s="59">
        <f ca="1">AVERAGE(OFFSET($EN$3,0,0,'Données projet'!$E$15+1,1))-AVERAGE(OFFSET($H$3,0,0,'Données projet'!$E$15+1,1))</f>
        <v>533.26035274112917</v>
      </c>
      <c r="EP122" s="59">
        <f t="shared" si="100"/>
        <v>262.58149402282521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18.896856393898048</v>
      </c>
      <c r="EW122" s="21">
        <f>EXP(-LN(2)/25)*EW121+(1-EXP(-LN(2)/25))/(LN(2)/25)*Calculateur!ER122*Calculateur!ET122*VLOOKUP('Données projet'!$B$15,Paramètres!$A$1:$I$89,3,0)*0.475*44/12</f>
        <v>22.983853232483323</v>
      </c>
      <c r="EX122" s="21">
        <f>EXP(-LN(2)/2)*EX121+(1-EXP(-LN(2)/2))/(LN(2)/2)*ER122*EU122*VLOOKUP('Données projet'!$B$15,Paramètres!$A$1:$I$89,3,0)*0.475*44/12</f>
        <v>0.5198330169255847</v>
      </c>
      <c r="EY122" s="22">
        <f t="shared" si="75"/>
        <v>42.400542643306963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239.26156489359892</v>
      </c>
      <c r="FK122" s="59">
        <f t="shared" si="102"/>
        <v>213.97034450798111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6.0892514668254361</v>
      </c>
      <c r="FR122" s="21">
        <f>EXP(-LN(2)/25)*FR121+(1-EXP(-LN(2)/25))/(LN(2)/25)*Calculateur!FM122*Calculateur!FO122*VLOOKUP('Données projet'!$B$16,Paramètres!$A$1:$I$89,3,0)*0.475*44/12</f>
        <v>28.579463895108255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34.668715361933693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8.7019999999999982</v>
      </c>
      <c r="N123" s="13">
        <f>IF('Données projet'!$A$36&gt;35,N122+M123-V122,IF(A123&lt;'Données projet'!$A$36,$K$205^A123,IF(A123='Données projet'!$A$36,'Données projet'!$B$36,N122+M123-V122)))</f>
        <v>383.42400000000026</v>
      </c>
      <c r="O123" s="13">
        <f>N123*VLOOKUP('Données projet'!$B$9,Paramètres!$A$1:$I$89,3,0)*VLOOKUP('Données projet'!$B$9,Paramètres!$A$1:$I$89,5,0)</f>
        <v>364.86627840000023</v>
      </c>
      <c r="P123" s="13">
        <f t="shared" si="87"/>
        <v>84.61618210285377</v>
      </c>
      <c r="Q123" s="20">
        <f t="shared" si="107"/>
        <v>782.84861870913744</v>
      </c>
      <c r="R123" s="59">
        <f t="shared" si="55"/>
        <v>1076.1819520424708</v>
      </c>
      <c r="S123" s="59">
        <f ca="1">AVERAGE(OFFSET($R$3,0,0,'Données projet'!$E$9+1,1))-AVERAGE(OFFSET($H$3,0,0,'Données projet'!$E$9+1,1))</f>
        <v>449.28947235329758</v>
      </c>
      <c r="T123" s="59">
        <f t="shared" si="88"/>
        <v>289.36994109443964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46.197051667854431</v>
      </c>
      <c r="AA123" s="21">
        <f>EXP(-LN(2)/25)*AA122+(1-EXP(-LN(2)/25))/(LN(2)/25)*Calculateur!V123*Calculateur!X123*VLOOKUP('Données projet'!$B$9,Paramètres!$A$1:$I$89,3,0)*0.475*44/12</f>
        <v>21.241797612582701</v>
      </c>
      <c r="AB123" s="21">
        <f>EXP(-LN(2)/2)*AB122+(1-EXP(-LN(2)/2))/(LN(2)/2)*V123*Y123*VLOOKUP('Données projet'!$B$9,Paramètres!$A$1:$I$89,3,0)*0.475*44/12</f>
        <v>1.2806345408901362E-5</v>
      </c>
      <c r="AC123" s="22">
        <f t="shared" si="57"/>
        <v>67.438862086782535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-2.2737367544323206E-13</v>
      </c>
      <c r="AJ123" s="13">
        <f>AI123*VLOOKUP('Données projet'!$B$10,Paramètres!$A$1:$I$89,3,0)*VLOOKUP('Données projet'!$B$10,Paramètres!$A$1:$I$89,5,0)</f>
        <v>-1.3596945791505279E-13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349.71285006949597</v>
      </c>
      <c r="AO123" s="59">
        <f t="shared" si="90"/>
        <v>258.51550516456842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69.408987423339894</v>
      </c>
      <c r="AV123" s="21">
        <f>EXP(-LN(2)/25)*AV122+(1-EXP(-LN(2)/25))/(LN(2)/25)*Calculateur!AQ123*Calculateur!AS123*VLOOKUP('Données projet'!$B$10,Paramètres!$A$1:$I$89,3,0)*0.475*44/12</f>
        <v>17.069277304736431</v>
      </c>
      <c r="AW123" s="21">
        <f>EXP(-LN(2)/2)*AW122+(1-EXP(-LN(2)/2))/(LN(2)/2)*AQ123*AT123*VLOOKUP('Données projet'!$B$10,Paramètres!$A$1:$I$89,3,0)*0.475*44/12</f>
        <v>6.7440645981987673E-5</v>
      </c>
      <c r="AX123" s="21">
        <f t="shared" si="60"/>
        <v>86.478332168722304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1.1368683772161603E-13</v>
      </c>
      <c r="BE123" s="13">
        <f>BD123*VLOOKUP('Données projet'!$B$11,Paramètres!$A$1:$I$89,3,0)*VLOOKUP('Données projet'!$B$11,Paramètres!$A$1:$I$89,5,0)</f>
        <v>6.7984728957526396E-14</v>
      </c>
      <c r="BF123" s="13">
        <f t="shared" si="91"/>
        <v>1.0682447123141398E-12</v>
      </c>
      <c r="BG123" s="20">
        <f t="shared" si="61"/>
        <v>1.978932943548152E-12</v>
      </c>
      <c r="BH123" s="59">
        <f t="shared" si="62"/>
        <v>293.3333333333353</v>
      </c>
      <c r="BI123" s="59">
        <f ca="1">AVERAGE(OFFSET($BH$3,0,0,'Données projet'!$E$11+1,1))-AVERAGE(OFFSET($H$3,0,0,'Données projet'!$E$11+1,1))</f>
        <v>302.00825291248458</v>
      </c>
      <c r="BJ123" s="59">
        <f t="shared" si="92"/>
        <v>307.35115839449355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42.320834980008932</v>
      </c>
      <c r="BQ123" s="21">
        <f>EXP(-LN(2)/25)*BQ122+(1-EXP(-LN(2)/25))/(LN(2)/25)*Calculateur!BL123*Calculateur!BN123*VLOOKUP('Données projet'!$B$11,Paramètres!$A$1:$I$89,3,0)*0.475*44/12</f>
        <v>9.1777619081265041</v>
      </c>
      <c r="BR123" s="21">
        <f>EXP(-LN(2)/2)*BR122+(1-EXP(-LN(2)/2))/(LN(2)/2)*BL123*BO123*VLOOKUP('Données projet'!$B$11,Paramètres!$A$1:$I$89,3,0)*0.475*44/12</f>
        <v>5.5843445307904383E-8</v>
      </c>
      <c r="BS123" s="22">
        <f t="shared" si="63"/>
        <v>51.498596943978882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8.2299999999999986</v>
      </c>
      <c r="BY123" s="12">
        <f>IF('Données projet'!$A$114&gt;35,BY122+BX123-CG122,IF(A123&lt;'Données projet'!$A$114,$BV$205^A123,IF(A123='Données projet'!$A$114,'Données projet'!$B$114,BY122+BX123-CG122)))</f>
        <v>469.69000000000017</v>
      </c>
      <c r="BZ123" s="13">
        <f>BY123*VLOOKUP('Données projet'!$B$12,Paramètres!$A$1:$I$89,3,0)*VLOOKUP('Données projet'!$B$12,Paramètres!$A$1:$I$89,5,0)</f>
        <v>219.81492000000009</v>
      </c>
      <c r="CA123" s="13">
        <f t="shared" si="93"/>
        <v>54.074657526864193</v>
      </c>
      <c r="CB123" s="20">
        <f t="shared" si="64"/>
        <v>477.02434752595531</v>
      </c>
      <c r="CC123" s="59">
        <f t="shared" si="65"/>
        <v>770.35768085928862</v>
      </c>
      <c r="CD123" s="59">
        <f ca="1">AVERAGE(OFFSET($CC$3,0,0,'Données projet'!$E$12+1,1))-AVERAGE(OFFSET($H$3,0,0,'Données projet'!$E$12+1,1))</f>
        <v>337.10499990421835</v>
      </c>
      <c r="CE123" s="59">
        <f t="shared" si="94"/>
        <v>277.4254079562175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55.346295903841927</v>
      </c>
      <c r="CL123" s="21">
        <f>EXP(-LN(2)/25)*CL122+(1-EXP(-LN(2)/25))/(LN(2)/25)*Calculateur!CG123*Calculateur!CI123*VLOOKUP('Données projet'!$B$12,Paramètres!$A$1:$I$89,3,0)*0.475*44/12</f>
        <v>16.829788171448818</v>
      </c>
      <c r="CM123" s="21">
        <f>EXP(-LN(2)/2)*CM122+(1-EXP(-LN(2)/2))/(LN(2)/2)*CG123*CJ123*VLOOKUP('Données projet'!$B$12,Paramètres!$A$1:$I$89,3,0)*0.475*44/12</f>
        <v>0.21928265673119424</v>
      </c>
      <c r="CN123" s="22">
        <f t="shared" si="66"/>
        <v>72.395366732021941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7.0011111111111104</v>
      </c>
      <c r="CT123" s="12">
        <f>IF('Données projet'!$A$140&gt;35,CT122+CS123-DB122,IF(A123&lt;'Données projet'!$A$140,$CQ$205^A123,IF(A123='Données projet'!$A$140,'Données projet'!$B$140,CT122+CS123-DB122)))</f>
        <v>301.26777777777778</v>
      </c>
      <c r="CU123" s="17">
        <f>CT123*VLOOKUP('Données projet'!$B$13,Paramètres!$A$1:$I$89,3,0)*VLOOKUP('Données projet'!$B$13,Paramètres!$A$1:$I$89,5,0)</f>
        <v>300.78574933333334</v>
      </c>
      <c r="CV123" s="13">
        <f t="shared" si="95"/>
        <v>71.341161631711415</v>
      </c>
      <c r="CW123" s="20">
        <f t="shared" si="67"/>
        <v>648.12103659745299</v>
      </c>
      <c r="CX123" s="59">
        <f t="shared" si="68"/>
        <v>941.45436993078624</v>
      </c>
      <c r="CY123" s="59">
        <f ca="1">AVERAGE(OFFSET($CX$3,0,0,'Données projet'!$E$13+1,1))-AVERAGE(OFFSET($H$3,0,0,'Données projet'!$E$13+1,1))</f>
        <v>525.74725170626471</v>
      </c>
      <c r="CZ123" s="59">
        <f t="shared" si="96"/>
        <v>259.19103598192197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18.241280557250974</v>
      </c>
      <c r="DG123" s="21">
        <f>EXP(-LN(2)/25)*DG122+(1-EXP(-LN(2)/25))/(LN(2)/25)*Calculateur!DB123*Calculateur!DD123*VLOOKUP('Données projet'!$B$13,Paramètres!$A$1:$I$89,3,0)*0.475*44/12</f>
        <v>22.011429963985485</v>
      </c>
      <c r="DH123" s="21">
        <f>EXP(-LN(2)/2)*DH122+(1-EXP(-LN(2)/2))/(LN(2)/2)*DB123*DE123*VLOOKUP('Données projet'!$B$13,Paramètres!$A$1:$I$89,3,0)*0.475*44/12</f>
        <v>0.36192241363962319</v>
      </c>
      <c r="DI123" s="22">
        <f t="shared" si="69"/>
        <v>40.614632934876084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7.8516666666666692</v>
      </c>
      <c r="DO123" s="12">
        <f>IF('Données projet'!$A$166&gt;35,DO122+DN123-DW122,IF(A123&lt;'Données projet'!$A$166,$DL$205^A123,IF(A123='Données projet'!$A$166,'Données projet'!$B$166,DO122+DN123-DW122)))</f>
        <v>365.35166666666709</v>
      </c>
      <c r="DP123" s="17">
        <f>DO123*VLOOKUP('Données projet'!$B$14,Paramètres!$A$1:$I$89,3,0)*VLOOKUP('Données projet'!$B$14,Paramètres!$A$1:$I$89,5,0)</f>
        <v>330.57018800000037</v>
      </c>
      <c r="DQ123" s="13">
        <f t="shared" si="97"/>
        <v>77.548509811581681</v>
      </c>
      <c r="DR123" s="20">
        <f t="shared" si="70"/>
        <v>710.80673202183868</v>
      </c>
      <c r="DS123" s="59">
        <f t="shared" si="71"/>
        <v>1004.1400653551721</v>
      </c>
      <c r="DT123" s="59">
        <f ca="1">AVERAGE(OFFSET($DS$3,0,0,'Données projet'!$E$14+1,1))-AVERAGE(OFFSET($H$3,0,0,'Données projet'!$E$14+1,1))</f>
        <v>490.06222615476065</v>
      </c>
      <c r="DU123" s="59">
        <f t="shared" si="98"/>
        <v>310.43914804089906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29.475642818062351</v>
      </c>
      <c r="EB123" s="21">
        <f>EXP(-LN(2)/25)*EB122+(1-EXP(-LN(2)/25))/(LN(2)/25)*Calculateur!DW123*Calculateur!DY123*VLOOKUP('Données projet'!$B$14,Paramètres!$A$1:$I$89,3,0)*0.475*44/12</f>
        <v>17.998156522256764</v>
      </c>
      <c r="EC123" s="21">
        <f>EXP(-LN(2)/2)*EC122+(1-EXP(-LN(2)/2))/(LN(2)/2)*DW123*DZ123*VLOOKUP('Données projet'!$B$14,Paramètres!$A$1:$I$89,3,0)*0.475*44/12</f>
        <v>1.3724373146774977E-2</v>
      </c>
      <c r="ED123" s="22">
        <f t="shared" si="72"/>
        <v>47.48752371346589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7.0011111111111104</v>
      </c>
      <c r="EJ123" s="12">
        <f>IF('Données projet'!$A$192&gt;35,EJ122+EI123-ER122,IF(A123&lt;'Données projet'!$A$192,$EG$205^A123,IF(A123='Données projet'!$A$192,'Données projet'!$B$192,EJ122+EI123-ER122)))</f>
        <v>301.26777777777778</v>
      </c>
      <c r="EK123" s="17">
        <f>EJ123*VLOOKUP('Données projet'!$B$15,Paramètres!$A$1:$I$89,3,0)*VLOOKUP('Données projet'!$B$15,Paramètres!$A$1:$I$89,5,0)</f>
        <v>305.48552666666666</v>
      </c>
      <c r="EL123" s="13">
        <f t="shared" si="99"/>
        <v>72.325225017462003</v>
      </c>
      <c r="EM123" s="20">
        <f t="shared" si="73"/>
        <v>658.020392516524</v>
      </c>
      <c r="EN123" s="59">
        <f t="shared" si="74"/>
        <v>951.35372584985726</v>
      </c>
      <c r="EO123" s="59">
        <f ca="1">AVERAGE(OFFSET($EN$3,0,0,'Données projet'!$E$15+1,1))-AVERAGE(OFFSET($H$3,0,0,'Données projet'!$E$15+1,1))</f>
        <v>533.26035274112917</v>
      </c>
      <c r="EP123" s="59">
        <f t="shared" si="100"/>
        <v>262.58149402282521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18.526300565958014</v>
      </c>
      <c r="EW123" s="21">
        <f>EXP(-LN(2)/25)*EW122+(1-EXP(-LN(2)/25))/(LN(2)/25)*Calculateur!ER123*Calculateur!ET123*VLOOKUP('Données projet'!$B$15,Paramètres!$A$1:$I$89,3,0)*0.475*44/12</f>
        <v>22.355358557172757</v>
      </c>
      <c r="EX123" s="21">
        <f>EXP(-LN(2)/2)*EX122+(1-EXP(-LN(2)/2))/(LN(2)/2)*ER123*EU123*VLOOKUP('Données projet'!$B$15,Paramètres!$A$1:$I$89,3,0)*0.475*44/12</f>
        <v>0.36757745135274228</v>
      </c>
      <c r="EY123" s="22">
        <f t="shared" si="75"/>
        <v>41.249236574483518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239.26156489359892</v>
      </c>
      <c r="FK123" s="59">
        <f t="shared" si="102"/>
        <v>213.97034450798111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5.9698449596376495</v>
      </c>
      <c r="FR123" s="21">
        <f>EXP(-LN(2)/25)*FR122+(1-EXP(-LN(2)/25))/(LN(2)/25)*Calculateur!FM123*Calculateur!FO123*VLOOKUP('Données projet'!$B$16,Paramètres!$A$1:$I$89,3,0)*0.475*44/12</f>
        <v>27.797956951967834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33.767801911605481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8.7019999999999982</v>
      </c>
      <c r="N124" s="13">
        <f>IF('Données projet'!$A$36&gt;35,N123+M124-V123,IF(A124&lt;'Données projet'!$A$36,$K$205^A124,IF(A124='Données projet'!$A$36,'Données projet'!$B$36,N123+M124-V123)))</f>
        <v>392.12600000000026</v>
      </c>
      <c r="O124" s="13">
        <f>N124*VLOOKUP('Données projet'!$B$9,Paramètres!$A$1:$I$89,3,0)*VLOOKUP('Données projet'!$B$9,Paramètres!$A$1:$I$89,5,0)</f>
        <v>373.14710160000027</v>
      </c>
      <c r="P124" s="13">
        <f t="shared" si="87"/>
        <v>86.310830804095133</v>
      </c>
      <c r="Q124" s="20">
        <f t="shared" si="107"/>
        <v>800.22256560379947</v>
      </c>
      <c r="R124" s="59">
        <f t="shared" si="55"/>
        <v>1093.5558989371327</v>
      </c>
      <c r="S124" s="59">
        <f ca="1">AVERAGE(OFFSET($R$3,0,0,'Données projet'!$E$9+1,1))-AVERAGE(OFFSET($H$3,0,0,'Données projet'!$E$9+1,1))</f>
        <v>449.28947235329758</v>
      </c>
      <c r="T124" s="59">
        <f t="shared" si="88"/>
        <v>289.36994109443964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45.291155662067034</v>
      </c>
      <c r="AA124" s="21">
        <f>EXP(-LN(2)/25)*AA123+(1-EXP(-LN(2)/25))/(LN(2)/25)*Calculateur!V124*Calculateur!X124*VLOOKUP('Données projet'!$B$9,Paramètres!$A$1:$I$89,3,0)*0.475*44/12</f>
        <v>20.660939539809039</v>
      </c>
      <c r="AB124" s="21">
        <f>EXP(-LN(2)/2)*AB123+(1-EXP(-LN(2)/2))/(LN(2)/2)*V124*Y124*VLOOKUP('Données projet'!$B$9,Paramètres!$A$1:$I$89,3,0)*0.475*44/12</f>
        <v>9.0554536808513626E-6</v>
      </c>
      <c r="AC124" s="22">
        <f t="shared" si="57"/>
        <v>65.952104257329751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-2.2737367544323206E-13</v>
      </c>
      <c r="AJ124" s="13">
        <f>AI124*VLOOKUP('Données projet'!$B$10,Paramètres!$A$1:$I$89,3,0)*VLOOKUP('Données projet'!$B$10,Paramètres!$A$1:$I$89,5,0)</f>
        <v>-1.3596945791505279E-13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349.71285006949597</v>
      </c>
      <c r="AO124" s="59">
        <f t="shared" si="90"/>
        <v>258.51550516456842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68.047919515270266</v>
      </c>
      <c r="AV124" s="21">
        <f>EXP(-LN(2)/25)*AV123+(1-EXP(-LN(2)/25))/(LN(2)/25)*Calculateur!AQ124*Calculateur!AS124*VLOOKUP('Données projet'!$B$10,Paramètres!$A$1:$I$89,3,0)*0.475*44/12</f>
        <v>16.602517019204132</v>
      </c>
      <c r="AW124" s="21">
        <f>EXP(-LN(2)/2)*AW123+(1-EXP(-LN(2)/2))/(LN(2)/2)*AQ124*AT124*VLOOKUP('Données projet'!$B$10,Paramètres!$A$1:$I$89,3,0)*0.475*44/12</f>
        <v>4.7687738101464774E-5</v>
      </c>
      <c r="AX124" s="21">
        <f t="shared" si="60"/>
        <v>84.650484222212498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1.1368683772161603E-13</v>
      </c>
      <c r="BE124" s="13">
        <f>BD124*VLOOKUP('Données projet'!$B$11,Paramètres!$A$1:$I$89,3,0)*VLOOKUP('Données projet'!$B$11,Paramètres!$A$1:$I$89,5,0)</f>
        <v>6.7984728957526396E-14</v>
      </c>
      <c r="BF124" s="13">
        <f t="shared" si="91"/>
        <v>1.0682447123141398E-12</v>
      </c>
      <c r="BG124" s="20">
        <f t="shared" si="61"/>
        <v>1.978932943548152E-12</v>
      </c>
      <c r="BH124" s="59">
        <f t="shared" si="62"/>
        <v>293.3333333333353</v>
      </c>
      <c r="BI124" s="59">
        <f ca="1">AVERAGE(OFFSET($BH$3,0,0,'Données projet'!$E$11+1,1))-AVERAGE(OFFSET($H$3,0,0,'Données projet'!$E$11+1,1))</f>
        <v>302.00825291248458</v>
      </c>
      <c r="BJ124" s="59">
        <f t="shared" si="92"/>
        <v>307.35115839449355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41.490949219211458</v>
      </c>
      <c r="BQ124" s="21">
        <f>EXP(-LN(2)/25)*BQ123+(1-EXP(-LN(2)/25))/(LN(2)/25)*Calculateur!BL124*Calculateur!BN124*VLOOKUP('Données projet'!$B$11,Paramètres!$A$1:$I$89,3,0)*0.475*44/12</f>
        <v>8.9267955261112615</v>
      </c>
      <c r="BR124" s="21">
        <f>EXP(-LN(2)/2)*BR123+(1-EXP(-LN(2)/2))/(LN(2)/2)*BL124*BO124*VLOOKUP('Données projet'!$B$11,Paramètres!$A$1:$I$89,3,0)*0.475*44/12</f>
        <v>3.9487278862039278E-8</v>
      </c>
      <c r="BS124" s="22">
        <f t="shared" si="63"/>
        <v>50.417744784809997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>
        <f>VLOOKUP(A124,'Données projet'!$A$113:$I$133,2,0)</f>
        <v>477.92</v>
      </c>
      <c r="BW124" s="12">
        <f>VLOOKUP(A124,'Données projet'!$A$113:$I$133,9,0)</f>
        <v>8.2299999999999986</v>
      </c>
      <c r="BX124" s="12">
        <f t="array" ref="BX124">INDEX(BW:BW,MIN(IF(ISNUMBER(BW124:BW320),ROW(BW124:BW320),"")))</f>
        <v>8.2299999999999986</v>
      </c>
      <c r="BY124" s="12">
        <f>IF('Données projet'!$A$114&gt;35,BY123+BX124-CG123,IF(A124&lt;'Données projet'!$A$114,$BV$205^A124,IF(A124='Données projet'!$A$114,'Données projet'!$B$114,BY123+BX124-CG123)))</f>
        <v>477.92000000000019</v>
      </c>
      <c r="BZ124" s="13">
        <f>BY124*VLOOKUP('Données projet'!$B$12,Paramètres!$A$1:$I$89,3,0)*VLOOKUP('Données projet'!$B$12,Paramètres!$A$1:$I$89,5,0)</f>
        <v>223.66656000000006</v>
      </c>
      <c r="CA124" s="13">
        <f t="shared" si="93"/>
        <v>54.911026194090759</v>
      </c>
      <c r="CB124" s="20">
        <f t="shared" si="64"/>
        <v>485.18929595470814</v>
      </c>
      <c r="CC124" s="59">
        <f t="shared" si="65"/>
        <v>778.52262928804146</v>
      </c>
      <c r="CD124" s="59">
        <f ca="1">AVERAGE(OFFSET($CC$3,0,0,'Données projet'!$E$12+1,1))-AVERAGE(OFFSET($H$3,0,0,'Données projet'!$E$12+1,1))</f>
        <v>337.10499990421835</v>
      </c>
      <c r="CE124" s="59">
        <f t="shared" si="94"/>
        <v>277.4254079562175</v>
      </c>
      <c r="CF124" s="15">
        <f>IF(ISNA(VLOOKUP(A124,'Données projet'!$A$113:$I$133,3,0)),0,VLOOKUP(A124,'Données projet'!$A$113:$I$133,3,0))</f>
        <v>7</v>
      </c>
      <c r="CG124" s="15">
        <f>IF(ISNA(VLOOKUP(A124,'Données projet'!$A$113:$I$133,4,0)),0,VLOOKUP(A124,'Données projet'!$A$113:$I$133,4,0))</f>
        <v>236.89000000000001</v>
      </c>
      <c r="CH124" s="16">
        <f>IF(ISNA(VLOOKUP(A124,'Données projet'!$A$113:$I$133,5,0)),0%,VLOOKUP(A124,'Données projet'!$A$113:$I$133,5,0)*VLOOKUP('Données projet'!$B$12,Paramètres!$A$1:$I$89,7,0))</f>
        <v>0.33</v>
      </c>
      <c r="CI124" s="16">
        <f>IF(ISNA(VLOOKUP(A124,'Données projet'!$A$113:$I$133,6,0)),0%,VLOOKUP(A124,'Données projet'!$A$113:$I$133,6,0)*VLOOKUP('Données projet'!$B$12,Paramètres!$A$1:$I$89,7,0))</f>
        <v>0.11000000000000001</v>
      </c>
      <c r="CJ124" s="16">
        <f>IF(ISNA(VLOOKUP(A124,'Données projet'!$A$113:$I$133,7,0)),0%,VLOOKUP(A124,'Données projet'!$A$113:$I$133,7,0))</f>
        <v>0.2</v>
      </c>
      <c r="CK124" s="21">
        <f>EXP(-LN(2)/35)*CK123+(1-EXP(-LN(2)/35))/(LN(2)/35)*CG124*CH124*VLOOKUP('Données projet'!$B$12,Paramètres!$A$1:$I$89,3,0)*0.475*44/12</f>
        <v>102.79373622752556</v>
      </c>
      <c r="CL124" s="21">
        <f>EXP(-LN(2)/25)*CL123+(1-EXP(-LN(2)/25))/(LN(2)/25)*Calculateur!CG124*Calculateur!CI124*VLOOKUP('Données projet'!$B$12,Paramètres!$A$1:$I$89,3,0)*0.475*44/12</f>
        <v>32.483461898659932</v>
      </c>
      <c r="CM124" s="21">
        <f>EXP(-LN(2)/2)*CM123+(1-EXP(-LN(2)/2))/(LN(2)/2)*CG124*CJ124*VLOOKUP('Données projet'!$B$12,Paramètres!$A$1:$I$89,3,0)*0.475*44/12</f>
        <v>25.259934292324992</v>
      </c>
      <c r="CN124" s="22">
        <f t="shared" si="66"/>
        <v>160.53713241851048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7.0011111111111104</v>
      </c>
      <c r="CT124" s="12">
        <f>IF('Données projet'!$A$140&gt;35,CT123+CS124-DB123,IF(A124&lt;'Données projet'!$A$140,$CQ$205^A124,IF(A124='Données projet'!$A$140,'Données projet'!$B$140,CT123+CS124-DB123)))</f>
        <v>308.26888888888891</v>
      </c>
      <c r="CU124" s="17">
        <f>CT124*VLOOKUP('Données projet'!$B$13,Paramètres!$A$1:$I$89,3,0)*VLOOKUP('Données projet'!$B$13,Paramètres!$A$1:$I$89,5,0)</f>
        <v>307.77565866666669</v>
      </c>
      <c r="CV124" s="13">
        <f t="shared" si="95"/>
        <v>72.804104661055376</v>
      </c>
      <c r="CW124" s="20">
        <f t="shared" si="67"/>
        <v>662.84308779578248</v>
      </c>
      <c r="CX124" s="59">
        <f t="shared" si="68"/>
        <v>956.17642112911585</v>
      </c>
      <c r="CY124" s="59">
        <f ca="1">AVERAGE(OFFSET($CX$3,0,0,'Données projet'!$E$13+1,1))-AVERAGE(OFFSET($H$3,0,0,'Données projet'!$E$13+1,1))</f>
        <v>525.74725170626471</v>
      </c>
      <c r="CZ124" s="59">
        <f t="shared" si="96"/>
        <v>259.19103598192197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17.883580171605814</v>
      </c>
      <c r="DG124" s="21">
        <f>EXP(-LN(2)/25)*DG123+(1-EXP(-LN(2)/25))/(LN(2)/25)*Calculateur!DB124*Calculateur!DD124*VLOOKUP('Données projet'!$B$13,Paramètres!$A$1:$I$89,3,0)*0.475*44/12</f>
        <v>21.409526254089506</v>
      </c>
      <c r="DH124" s="21">
        <f>EXP(-LN(2)/2)*DH123+(1-EXP(-LN(2)/2))/(LN(2)/2)*DB124*DE124*VLOOKUP('Données projet'!$B$13,Paramètres!$A$1:$I$89,3,0)*0.475*44/12</f>
        <v>0.25591779294798017</v>
      </c>
      <c r="DI124" s="22">
        <f t="shared" si="69"/>
        <v>39.549024218643304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7.8516666666666692</v>
      </c>
      <c r="DO124" s="12">
        <f>IF('Données projet'!$A$166&gt;35,DO123+DN124-DW123,IF(A124&lt;'Données projet'!$A$166,$DL$205^A124,IF(A124='Données projet'!$A$166,'Données projet'!$B$166,DO123+DN124-DW123)))</f>
        <v>373.20333333333377</v>
      </c>
      <c r="DP124" s="17">
        <f>DO124*VLOOKUP('Données projet'!$B$14,Paramètres!$A$1:$I$89,3,0)*VLOOKUP('Données projet'!$B$14,Paramètres!$A$1:$I$89,5,0)</f>
        <v>337.67437600000039</v>
      </c>
      <c r="DQ124" s="13">
        <f t="shared" si="97"/>
        <v>79.019266011670013</v>
      </c>
      <c r="DR124" s="20">
        <f t="shared" si="70"/>
        <v>725.74142650365923</v>
      </c>
      <c r="DS124" s="59">
        <f t="shared" si="71"/>
        <v>1019.0747598369926</v>
      </c>
      <c r="DT124" s="59">
        <f ca="1">AVERAGE(OFFSET($DS$3,0,0,'Données projet'!$E$14+1,1))-AVERAGE(OFFSET($H$3,0,0,'Données projet'!$E$14+1,1))</f>
        <v>490.06222615476065</v>
      </c>
      <c r="DU124" s="59">
        <f t="shared" si="98"/>
        <v>310.43914804089906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28.897643440767052</v>
      </c>
      <c r="EB124" s="21">
        <f>EXP(-LN(2)/25)*EB123+(1-EXP(-LN(2)/25))/(LN(2)/25)*Calculateur!DW124*Calculateur!DY124*VLOOKUP('Données projet'!$B$14,Paramètres!$A$1:$I$89,3,0)*0.475*44/12</f>
        <v>17.505995985673735</v>
      </c>
      <c r="EC124" s="21">
        <f>EXP(-LN(2)/2)*EC123+(1-EXP(-LN(2)/2))/(LN(2)/2)*DW124*DZ124*VLOOKUP('Données projet'!$B$14,Paramètres!$A$1:$I$89,3,0)*0.475*44/12</f>
        <v>9.7045973196191425E-3</v>
      </c>
      <c r="ED124" s="22">
        <f t="shared" si="72"/>
        <v>46.413344023760409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7.0011111111111104</v>
      </c>
      <c r="EJ124" s="12">
        <f>IF('Données projet'!$A$192&gt;35,EJ123+EI124-ER123,IF(A124&lt;'Données projet'!$A$192,$EG$205^A124,IF(A124='Données projet'!$A$192,'Données projet'!$B$192,EJ123+EI124-ER123)))</f>
        <v>308.26888888888891</v>
      </c>
      <c r="EK124" s="17">
        <f>EJ124*VLOOKUP('Données projet'!$B$15,Paramètres!$A$1:$I$89,3,0)*VLOOKUP('Données projet'!$B$15,Paramètres!$A$1:$I$89,5,0)</f>
        <v>312.58465333333339</v>
      </c>
      <c r="EL124" s="13">
        <f t="shared" si="99"/>
        <v>73.808347542593367</v>
      </c>
      <c r="EM124" s="20">
        <f t="shared" si="73"/>
        <v>672.96780985890575</v>
      </c>
      <c r="EN124" s="59">
        <f t="shared" si="74"/>
        <v>966.30114319223912</v>
      </c>
      <c r="EO124" s="59">
        <f ca="1">AVERAGE(OFFSET($EN$3,0,0,'Données projet'!$E$15+1,1))-AVERAGE(OFFSET($H$3,0,0,'Données projet'!$E$15+1,1))</f>
        <v>533.26035274112917</v>
      </c>
      <c r="EP124" s="59">
        <f t="shared" si="100"/>
        <v>262.58149402282521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18.163011111787146</v>
      </c>
      <c r="EW124" s="21">
        <f>EXP(-LN(2)/25)*EW123+(1-EXP(-LN(2)/25))/(LN(2)/25)*Calculateur!ER124*Calculateur!ET124*VLOOKUP('Données projet'!$B$15,Paramètres!$A$1:$I$89,3,0)*0.475*44/12</f>
        <v>21.744050101809655</v>
      </c>
      <c r="EX124" s="21">
        <f>EXP(-LN(2)/2)*EX123+(1-EXP(-LN(2)/2))/(LN(2)/2)*ER124*EU124*VLOOKUP('Données projet'!$B$15,Paramètres!$A$1:$I$89,3,0)*0.475*44/12</f>
        <v>0.25991650846279235</v>
      </c>
      <c r="EY124" s="22">
        <f t="shared" si="75"/>
        <v>40.166977722059599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239.26156489359892</v>
      </c>
      <c r="FK124" s="59">
        <f t="shared" si="102"/>
        <v>213.97034450798111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5.8527799412250374</v>
      </c>
      <c r="FR124" s="21">
        <f>EXP(-LN(2)/25)*FR123+(1-EXP(-LN(2)/25))/(LN(2)/25)*Calculateur!FM124*Calculateur!FO124*VLOOKUP('Données projet'!$B$16,Paramètres!$A$1:$I$89,3,0)*0.475*44/12</f>
        <v>27.037820357285248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32.890600298510286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8.7019999999999982</v>
      </c>
      <c r="N125" s="13">
        <f>IF('Données projet'!$A$36&gt;35,N124+M125-V124,IF(A125&lt;'Données projet'!$A$36,$K$205^A125,IF(A125='Données projet'!$A$36,'Données projet'!$B$36,N124+M125-V124)))</f>
        <v>400.82800000000026</v>
      </c>
      <c r="O125" s="13">
        <f>N125*VLOOKUP('Données projet'!$B$9,Paramètres!$A$1:$I$89,3,0)*VLOOKUP('Données projet'!$B$9,Paramètres!$A$1:$I$89,5,0)</f>
        <v>381.42792480000026</v>
      </c>
      <c r="P125" s="13">
        <f t="shared" si="87"/>
        <v>88.001107275506357</v>
      </c>
      <c r="Q125" s="20">
        <f t="shared" si="107"/>
        <v>817.58889753150731</v>
      </c>
      <c r="R125" s="59">
        <f t="shared" si="55"/>
        <v>1110.9222308648407</v>
      </c>
      <c r="S125" s="59">
        <f ca="1">AVERAGE(OFFSET($R$3,0,0,'Données projet'!$E$9+1,1))-AVERAGE(OFFSET($H$3,0,0,'Données projet'!$E$9+1,1))</f>
        <v>449.28947235329758</v>
      </c>
      <c r="T125" s="59">
        <f t="shared" si="88"/>
        <v>289.36994109443964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44.403023724411121</v>
      </c>
      <c r="AA125" s="21">
        <f>EXP(-LN(2)/25)*AA124+(1-EXP(-LN(2)/25))/(LN(2)/25)*Calculateur!V125*Calculateur!X125*VLOOKUP('Données projet'!$B$9,Paramètres!$A$1:$I$89,3,0)*0.475*44/12</f>
        <v>20.095965061581371</v>
      </c>
      <c r="AB125" s="21">
        <f>EXP(-LN(2)/2)*AB124+(1-EXP(-LN(2)/2))/(LN(2)/2)*V125*Y125*VLOOKUP('Données projet'!$B$9,Paramètres!$A$1:$I$89,3,0)*0.475*44/12</f>
        <v>6.4031727044506809E-6</v>
      </c>
      <c r="AC125" s="22">
        <f t="shared" si="57"/>
        <v>64.4989951891652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-2.2737367544323206E-13</v>
      </c>
      <c r="AJ125" s="13">
        <f>AI125*VLOOKUP('Données projet'!$B$10,Paramètres!$A$1:$I$89,3,0)*VLOOKUP('Données projet'!$B$10,Paramètres!$A$1:$I$89,5,0)</f>
        <v>-1.3596945791505279E-13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349.71285006949597</v>
      </c>
      <c r="AO125" s="59">
        <f t="shared" si="90"/>
        <v>258.51550516456842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66.713541318708423</v>
      </c>
      <c r="AV125" s="21">
        <f>EXP(-LN(2)/25)*AV124+(1-EXP(-LN(2)/25))/(LN(2)/25)*Calculateur!AQ125*Calculateur!AS125*VLOOKUP('Données projet'!$B$10,Paramètres!$A$1:$I$89,3,0)*0.475*44/12</f>
        <v>16.148520318225572</v>
      </c>
      <c r="AW125" s="21">
        <f>EXP(-LN(2)/2)*AW124+(1-EXP(-LN(2)/2))/(LN(2)/2)*AQ125*AT125*VLOOKUP('Données projet'!$B$10,Paramètres!$A$1:$I$89,3,0)*0.475*44/12</f>
        <v>3.3720322990993837E-5</v>
      </c>
      <c r="AX125" s="21">
        <f t="shared" si="60"/>
        <v>82.862095357256976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1.1368683772161603E-13</v>
      </c>
      <c r="BE125" s="13">
        <f>BD125*VLOOKUP('Données projet'!$B$11,Paramètres!$A$1:$I$89,3,0)*VLOOKUP('Données projet'!$B$11,Paramètres!$A$1:$I$89,5,0)</f>
        <v>6.7984728957526396E-14</v>
      </c>
      <c r="BF125" s="13">
        <f t="shared" si="91"/>
        <v>1.0682447123141398E-12</v>
      </c>
      <c r="BG125" s="20">
        <f t="shared" si="61"/>
        <v>1.978932943548152E-12</v>
      </c>
      <c r="BH125" s="59">
        <f t="shared" si="62"/>
        <v>293.3333333333353</v>
      </c>
      <c r="BI125" s="59">
        <f ca="1">AVERAGE(OFFSET($BH$3,0,0,'Données projet'!$E$11+1,1))-AVERAGE(OFFSET($H$3,0,0,'Données projet'!$E$11+1,1))</f>
        <v>302.00825291248458</v>
      </c>
      <c r="BJ125" s="59">
        <f t="shared" si="92"/>
        <v>307.35115839449355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40.677337012002887</v>
      </c>
      <c r="BQ125" s="21">
        <f>EXP(-LN(2)/25)*BQ124+(1-EXP(-LN(2)/25))/(LN(2)/25)*Calculateur!BL125*Calculateur!BN125*VLOOKUP('Données projet'!$B$11,Paramètres!$A$1:$I$89,3,0)*0.475*44/12</f>
        <v>8.682691833009974</v>
      </c>
      <c r="BR125" s="21">
        <f>EXP(-LN(2)/2)*BR124+(1-EXP(-LN(2)/2))/(LN(2)/2)*BL125*BO125*VLOOKUP('Données projet'!$B$11,Paramètres!$A$1:$I$89,3,0)*0.475*44/12</f>
        <v>2.7921722653952191E-8</v>
      </c>
      <c r="BS125" s="22">
        <f t="shared" si="63"/>
        <v>49.360028872934585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5.7330000000000014</v>
      </c>
      <c r="BY125" s="12">
        <f>IF('Données projet'!$A$114&gt;35,BY124+BX125-CG124,IF(A125&lt;'Données projet'!$A$114,$BV$205^A125,IF(A125='Données projet'!$A$114,'Données projet'!$B$114,BY124+BX125-CG124)))</f>
        <v>246.76300000000018</v>
      </c>
      <c r="BZ125" s="13">
        <f>BY125*VLOOKUP('Données projet'!$B$12,Paramètres!$A$1:$I$89,3,0)*VLOOKUP('Données projet'!$B$12,Paramètres!$A$1:$I$89,5,0)</f>
        <v>115.48508400000009</v>
      </c>
      <c r="CA125" s="13">
        <f t="shared" si="93"/>
        <v>30.619630481516761</v>
      </c>
      <c r="CB125" s="20">
        <f t="shared" si="64"/>
        <v>254.46571105530847</v>
      </c>
      <c r="CC125" s="59">
        <f t="shared" si="65"/>
        <v>547.79904438864173</v>
      </c>
      <c r="CD125" s="59">
        <f ca="1">AVERAGE(OFFSET($CC$3,0,0,'Données projet'!$E$12+1,1))-AVERAGE(OFFSET($H$3,0,0,'Données projet'!$E$12+1,1))</f>
        <v>337.10499990421835</v>
      </c>
      <c r="CE125" s="59">
        <f t="shared" si="94"/>
        <v>277.4254079562175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100.77801375809197</v>
      </c>
      <c r="CL125" s="21">
        <f>EXP(-LN(2)/25)*CL124+(1-EXP(-LN(2)/25))/(LN(2)/25)*Calculateur!CG125*Calculateur!CI125*VLOOKUP('Données projet'!$B$12,Paramètres!$A$1:$I$89,3,0)*0.475*44/12</f>
        <v>31.595199924810057</v>
      </c>
      <c r="CM125" s="21">
        <f>EXP(-LN(2)/2)*CM124+(1-EXP(-LN(2)/2))/(LN(2)/2)*CG125*CJ125*VLOOKUP('Données projet'!$B$12,Paramètres!$A$1:$I$89,3,0)*0.475*44/12</f>
        <v>17.861470830429617</v>
      </c>
      <c r="CN125" s="22">
        <f t="shared" si="66"/>
        <v>150.23468451333164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>
        <f>VLOOKUP(A125,'Données projet'!$A$139:$I$159,2,0)</f>
        <v>315.27</v>
      </c>
      <c r="CR125" s="12">
        <f>VLOOKUP(A125,'Données projet'!$A$139:$I$159,9,0)</f>
        <v>7.0011111111111104</v>
      </c>
      <c r="CS125" s="12">
        <f t="array" ref="CS125">INDEX(CR:CR,MIN(IF(ISNUMBER(CR125:CR321),ROW(CR125:CR321),"")))</f>
        <v>7.0011111111111104</v>
      </c>
      <c r="CT125" s="12">
        <f>IF('Données projet'!$A$140&gt;35,CT124+CS125-DB124,IF(A125&lt;'Données projet'!$A$140,$CQ$205^A125,IF(A125='Données projet'!$A$140,'Données projet'!$B$140,CT124+CS125-DB124)))</f>
        <v>315.27000000000004</v>
      </c>
      <c r="CU125" s="17">
        <f>CT125*VLOOKUP('Données projet'!$B$13,Paramètres!$A$1:$I$89,3,0)*VLOOKUP('Données projet'!$B$13,Paramètres!$A$1:$I$89,5,0)</f>
        <v>314.76556800000003</v>
      </c>
      <c r="CV125" s="13">
        <f t="shared" si="95"/>
        <v>74.263185059482709</v>
      </c>
      <c r="CW125" s="20">
        <f t="shared" si="67"/>
        <v>677.55841157859902</v>
      </c>
      <c r="CX125" s="59">
        <f t="shared" si="68"/>
        <v>970.89174491193239</v>
      </c>
      <c r="CY125" s="59">
        <f ca="1">AVERAGE(OFFSET($CX$3,0,0,'Données projet'!$E$13+1,1))-AVERAGE(OFFSET($H$3,0,0,'Données projet'!$E$13+1,1))</f>
        <v>525.74725170626471</v>
      </c>
      <c r="CZ125" s="59">
        <f t="shared" si="96"/>
        <v>259.19103598192197</v>
      </c>
      <c r="DA125" s="15">
        <f>IF(ISNA(VLOOKUP(A125,'Données projet'!$A$139:$I$159,3,0)),0,VLOOKUP(A125,'Données projet'!$A$139:$I$159,3,0))</f>
        <v>8</v>
      </c>
      <c r="DB125" s="15">
        <f>IF(ISNA(VLOOKUP(A125,'Données projet'!$A$139:$I$159,4,0)),0,VLOOKUP(A125,'Données projet'!$A$139:$I$159,4,0))</f>
        <v>45.829999999999984</v>
      </c>
      <c r="DC125" s="16">
        <f>IF(ISNA(VLOOKUP(A125,'Données projet'!$A$139:$I$159,5,0)),0%,VLOOKUP(A125,'Données projet'!$A$139:$I$159,5,0)*VLOOKUP('Données projet'!$B$13,Paramètres!$A$1:$I$89,7,0))</f>
        <v>0.15049999999999999</v>
      </c>
      <c r="DD125" s="16">
        <f>IF(ISNA(VLOOKUP(A125,'Données projet'!$A$139:$I$159,6,0)),0%,VLOOKUP(A125,'Données projet'!$A$139:$I$159,6,0)*VLOOKUP('Données projet'!$B$13,Paramètres!$A$1:$I$89,7,0))</f>
        <v>8.6000000000000007E-2</v>
      </c>
      <c r="DE125" s="16">
        <f>IF(ISNA(VLOOKUP(A125,'Données projet'!$A$139:$I$159,7,0)),0%,VLOOKUP(A125,'Données projet'!$A$139:$I$159,7,0))</f>
        <v>0.1</v>
      </c>
      <c r="DF125" s="21">
        <f>EXP(-LN(2)/35)*DF124+(1-EXP(-LN(2)/35))/(LN(2)/35)*DB125*DC125*VLOOKUP('Données projet'!$B$13,Paramètres!$A$1:$I$89,3,0)*0.475*44/12</f>
        <v>25.14558222942917</v>
      </c>
      <c r="DG125" s="21">
        <f>EXP(-LN(2)/25)*DG124+(1-EXP(-LN(2)/25))/(LN(2)/25)*Calculateur!DB125*Calculateur!DD125*VLOOKUP('Données projet'!$B$13,Paramètres!$A$1:$I$89,3,0)*0.475*44/12</f>
        <v>25.157061120305194</v>
      </c>
      <c r="DH125" s="21">
        <f>EXP(-LN(2)/2)*DH124+(1-EXP(-LN(2)/2))/(LN(2)/2)*DB125*DE125*VLOOKUP('Données projet'!$B$13,Paramètres!$A$1:$I$89,3,0)*0.475*44/12</f>
        <v>4.4982263622968865</v>
      </c>
      <c r="DI125" s="22">
        <f t="shared" si="69"/>
        <v>54.800869712031258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7.8516666666666692</v>
      </c>
      <c r="DO125" s="12">
        <f>IF('Données projet'!$A$166&gt;35,DO124+DN125-DW124,IF(A125&lt;'Données projet'!$A$166,$DL$205^A125,IF(A125='Données projet'!$A$166,'Données projet'!$B$166,DO124+DN125-DW124)))</f>
        <v>381.05500000000046</v>
      </c>
      <c r="DP125" s="17">
        <f>DO125*VLOOKUP('Données projet'!$B$14,Paramètres!$A$1:$I$89,3,0)*VLOOKUP('Données projet'!$B$14,Paramètres!$A$1:$I$89,5,0)</f>
        <v>344.77856400000042</v>
      </c>
      <c r="DQ125" s="13">
        <f t="shared" si="97"/>
        <v>80.486424617240047</v>
      </c>
      <c r="DR125" s="20">
        <f t="shared" si="70"/>
        <v>740.66985517502701</v>
      </c>
      <c r="DS125" s="59">
        <f t="shared" si="71"/>
        <v>1034.0031885083604</v>
      </c>
      <c r="DT125" s="59">
        <f ca="1">AVERAGE(OFFSET($DS$3,0,0,'Données projet'!$E$14+1,1))-AVERAGE(OFFSET($H$3,0,0,'Données projet'!$E$14+1,1))</f>
        <v>490.06222615476065</v>
      </c>
      <c r="DU125" s="59">
        <f t="shared" si="98"/>
        <v>310.43914804089906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28.330978278715705</v>
      </c>
      <c r="EB125" s="21">
        <f>EXP(-LN(2)/25)*EB124+(1-EXP(-LN(2)/25))/(LN(2)/25)*Calculateur!DW125*Calculateur!DY125*VLOOKUP('Données projet'!$B$14,Paramètres!$A$1:$I$89,3,0)*0.475*44/12</f>
        <v>17.02729360484517</v>
      </c>
      <c r="EC125" s="21">
        <f>EXP(-LN(2)/2)*EC124+(1-EXP(-LN(2)/2))/(LN(2)/2)*DW125*DZ125*VLOOKUP('Données projet'!$B$14,Paramètres!$A$1:$I$89,3,0)*0.475*44/12</f>
        <v>6.8621865733874887E-3</v>
      </c>
      <c r="ED125" s="22">
        <f t="shared" si="72"/>
        <v>45.36513407013426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>
        <f>VLOOKUP(A125,'Données projet'!$A$191:$I$211,2,0)</f>
        <v>315.27</v>
      </c>
      <c r="EH125" s="12">
        <f>VLOOKUP(A125,'Données projet'!$A$191:$I$211,9,0)</f>
        <v>7.0011111111111104</v>
      </c>
      <c r="EI125" s="12">
        <f t="array" ref="EI125">INDEX(EH:EH,MIN(IF(ISNUMBER(EH125:EH321),ROW(EH125:EH321),"")))</f>
        <v>7.0011111111111104</v>
      </c>
      <c r="EJ125" s="12">
        <f>IF('Données projet'!$A$192&gt;35,EJ124+EI125-ER124,IF(A125&lt;'Données projet'!$A$192,$EG$205^A125,IF(A125='Données projet'!$A$192,'Données projet'!$B$192,EJ124+EI125-ER124)))</f>
        <v>315.27000000000004</v>
      </c>
      <c r="EK125" s="17">
        <f>EJ125*VLOOKUP('Données projet'!$B$15,Paramètres!$A$1:$I$89,3,0)*VLOOKUP('Données projet'!$B$15,Paramètres!$A$1:$I$89,5,0)</f>
        <v>319.68378000000007</v>
      </c>
      <c r="EL125" s="13">
        <f t="shared" si="99"/>
        <v>75.287554156575837</v>
      </c>
      <c r="EM125" s="20">
        <f t="shared" si="73"/>
        <v>687.90840698936972</v>
      </c>
      <c r="EN125" s="59">
        <f t="shared" si="74"/>
        <v>981.24174032270298</v>
      </c>
      <c r="EO125" s="59">
        <f ca="1">AVERAGE(OFFSET($EN$3,0,0,'Données projet'!$E$15+1,1))-AVERAGE(OFFSET($H$3,0,0,'Données projet'!$E$15+1,1))</f>
        <v>533.26035274112917</v>
      </c>
      <c r="EP125" s="59">
        <f t="shared" si="100"/>
        <v>262.58149402282521</v>
      </c>
      <c r="EQ125" s="15">
        <f>IF(ISNA(VLOOKUP(A125,'Données projet'!$A$191:$I$211,3,0)),0,VLOOKUP(A125,'Données projet'!$A$191:$I$211,3,0))</f>
        <v>8</v>
      </c>
      <c r="ER125" s="15">
        <f>IF(ISNA(VLOOKUP(A125,'Données projet'!$A$191:$I$211,4,0)),0,VLOOKUP(A125,'Données projet'!$A$191:$I$211,4,0))</f>
        <v>45.829999999999984</v>
      </c>
      <c r="ES125" s="16">
        <f>IF(ISNA(VLOOKUP(A125,'Données projet'!$A$191:$I$211,5,0)),0%,VLOOKUP(A125,'Données projet'!$A$191:$I$211,5,0)*VLOOKUP('Données projet'!$B$15,Paramètres!$A$1:$I$89,7,0))</f>
        <v>0.15049999999999999</v>
      </c>
      <c r="ET125" s="16">
        <f>IF(ISNA(VLOOKUP(A125,'Données projet'!$A$191:$I$211,6,0)),0%,VLOOKUP(A125,'Données projet'!$A$191:$I$211,6,0)*VLOOKUP('Données projet'!$B$15,Paramètres!$A$1:$I$89,7,0))</f>
        <v>8.6000000000000007E-2</v>
      </c>
      <c r="EU125" s="16">
        <f>IF(ISNA(VLOOKUP(A125,'Données projet'!$A$191:$I$211,7,0)),0%,VLOOKUP(A125,'Données projet'!$A$191:$I$211,7,0))</f>
        <v>0.1</v>
      </c>
      <c r="EV125" s="21">
        <f>EXP(-LN(2)/35)*EV124+(1-EXP(-LN(2)/35))/(LN(2)/35)*ER125*ES125*VLOOKUP('Données projet'!$B$15,Paramètres!$A$1:$I$89,3,0)*0.475*44/12</f>
        <v>25.538481951763991</v>
      </c>
      <c r="EW125" s="21">
        <f>EXP(-LN(2)/25)*EW124+(1-EXP(-LN(2)/25))/(LN(2)/25)*Calculateur!ER125*Calculateur!ET125*VLOOKUP('Données projet'!$B$15,Paramètres!$A$1:$I$89,3,0)*0.475*44/12</f>
        <v>25.550140200309961</v>
      </c>
      <c r="EX125" s="21">
        <f>EXP(-LN(2)/2)*EX124+(1-EXP(-LN(2)/2))/(LN(2)/2)*ER125*EU125*VLOOKUP('Données projet'!$B$15,Paramètres!$A$1:$I$89,3,0)*0.475*44/12</f>
        <v>4.568511149207775</v>
      </c>
      <c r="EY125" s="22">
        <f t="shared" si="75"/>
        <v>55.657133301281725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239.26156489359892</v>
      </c>
      <c r="FK125" s="59">
        <f t="shared" si="102"/>
        <v>213.97034450798111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5.7380104964208858</v>
      </c>
      <c r="FR125" s="21">
        <f>EXP(-LN(2)/25)*FR124+(1-EXP(-LN(2)/25))/(LN(2)/25)*Calculateur!FM125*Calculateur!FO125*VLOOKUP('Données projet'!$B$16,Paramètres!$A$1:$I$89,3,0)*0.475*44/12</f>
        <v>26.298469737758108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32.036480234178995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409.53</v>
      </c>
      <c r="L126" s="12">
        <f>VLOOKUP(A126,'Données projet'!$A$35:$I$55,9,0)</f>
        <v>8.7019999999999982</v>
      </c>
      <c r="M126" s="12">
        <f t="array" ref="M126">INDEX(L:L,MIN(IF(ISNUMBER(L126:L322),ROW(L126:L322),"")))</f>
        <v>8.7019999999999982</v>
      </c>
      <c r="N126" s="13">
        <f>IF('Données projet'!$A$36&gt;35,N125+M126-V125,IF(A126&lt;'Données projet'!$A$36,$K$205^A126,IF(A126='Données projet'!$A$36,'Données projet'!$B$36,N125+M126-V125)))</f>
        <v>409.53000000000026</v>
      </c>
      <c r="O126" s="13">
        <f>N126*VLOOKUP('Données projet'!$B$9,Paramètres!$A$1:$I$89,3,0)*VLOOKUP('Données projet'!$B$9,Paramètres!$A$1:$I$89,5,0)</f>
        <v>389.70874800000024</v>
      </c>
      <c r="P126" s="13">
        <f t="shared" si="87"/>
        <v>89.687117370320195</v>
      </c>
      <c r="Q126" s="20">
        <f t="shared" si="107"/>
        <v>834.94779885330809</v>
      </c>
      <c r="R126" s="59">
        <f t="shared" si="55"/>
        <v>1128.2811321866413</v>
      </c>
      <c r="S126" s="59">
        <f ca="1">AVERAGE(OFFSET($R$3,0,0,'Données projet'!$E$9+1,1))-AVERAGE(OFFSET($H$3,0,0,'Données projet'!$E$9+1,1))</f>
        <v>449.28947235329758</v>
      </c>
      <c r="T126" s="59">
        <f t="shared" si="88"/>
        <v>289.36994109443964</v>
      </c>
      <c r="U126" s="15">
        <f>IF(ISNA(VLOOKUP(A126,'Données projet'!$A$35:$I$55,3,0)),0,VLOOKUP(A126,'Données projet'!$A$35:$I$55,3,0))</f>
        <v>11</v>
      </c>
      <c r="V126" s="15">
        <f>IF(ISNA(VLOOKUP(A126,'Données projet'!$A$35:$I$55,4,0)),0,VLOOKUP(A126,'Données projet'!$A$35:$I$55,4,0))</f>
        <v>203.78999999999996</v>
      </c>
      <c r="W126" s="16">
        <f>IF(ISNA(VLOOKUP(A126,'Données projet'!$A$35:$I$55,5,0)),0%,VLOOKUP(A126,'Données projet'!$A$35:$I$55,5,0)*VLOOKUP('Données projet'!$B$9,Paramètres!$A$1:$I$89,7,0))</f>
        <v>0.19350000000000001</v>
      </c>
      <c r="X126" s="16">
        <f>IF(ISNA(VLOOKUP(A126,'Données projet'!$A$35:$I$55,6,0)),0%,VLOOKUP(A126,'Données projet'!$A$35:$I$55,6,0)*VLOOKUP('Données projet'!$B$9,Paramètres!$A$1:$I$89,7,0))</f>
        <v>2.1500000000000002E-2</v>
      </c>
      <c r="Y126" s="16">
        <f>IF(ISNA(VLOOKUP(A126,'Données projet'!$A$35:$I$55,7,0)),0%,VLOOKUP(A126,'Données projet'!$A$35:$I$55,7,0))</f>
        <v>0.05</v>
      </c>
      <c r="Z126" s="21">
        <f>EXP(-LN(2)/35)*Z125+(1-EXP(-LN(2)/35))/(LN(2)/35)*V126*W126*VLOOKUP('Données projet'!$B$9,Paramètres!$A$1:$I$89,3,0)*0.475*44/12</f>
        <v>85.014851503672929</v>
      </c>
      <c r="AA126" s="21">
        <f>EXP(-LN(2)/25)*AA125+(1-EXP(-LN(2)/25))/(LN(2)/25)*Calculateur!V126*Calculateur!X126*VLOOKUP('Données projet'!$B$9,Paramètres!$A$1:$I$89,3,0)*0.475*44/12</f>
        <v>24.137463330120998</v>
      </c>
      <c r="AB126" s="21">
        <f>EXP(-LN(2)/2)*AB125+(1-EXP(-LN(2)/2))/(LN(2)/2)*V126*Y126*VLOOKUP('Données projet'!$B$9,Paramètres!$A$1:$I$89,3,0)*0.475*44/12</f>
        <v>9.1487511572740559</v>
      </c>
      <c r="AC126" s="22">
        <f t="shared" si="57"/>
        <v>118.30106599106799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-2.2737367544323206E-13</v>
      </c>
      <c r="AJ126" s="13">
        <f>AI126*VLOOKUP('Données projet'!$B$10,Paramètres!$A$1:$I$89,3,0)*VLOOKUP('Données projet'!$B$10,Paramètres!$A$1:$I$89,5,0)</f>
        <v>-1.3596945791505279E-13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349.71285006949597</v>
      </c>
      <c r="AO126" s="59">
        <f t="shared" si="90"/>
        <v>258.51550516456842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65.405329464690823</v>
      </c>
      <c r="AV126" s="21">
        <f>EXP(-LN(2)/25)*AV125+(1-EXP(-LN(2)/25))/(LN(2)/25)*Calculateur!AQ126*Calculateur!AS126*VLOOKUP('Données projet'!$B$10,Paramètres!$A$1:$I$89,3,0)*0.475*44/12</f>
        <v>15.706938180909917</v>
      </c>
      <c r="AW126" s="21">
        <f>EXP(-LN(2)/2)*AW125+(1-EXP(-LN(2)/2))/(LN(2)/2)*AQ126*AT126*VLOOKUP('Données projet'!$B$10,Paramètres!$A$1:$I$89,3,0)*0.475*44/12</f>
        <v>2.3843869050732387E-5</v>
      </c>
      <c r="AX126" s="21">
        <f t="shared" si="60"/>
        <v>81.112291489469783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1.1368683772161603E-13</v>
      </c>
      <c r="BE126" s="13">
        <f>BD126*VLOOKUP('Données projet'!$B$11,Paramètres!$A$1:$I$89,3,0)*VLOOKUP('Données projet'!$B$11,Paramètres!$A$1:$I$89,5,0)</f>
        <v>6.7984728957526396E-14</v>
      </c>
      <c r="BF126" s="13">
        <f t="shared" si="91"/>
        <v>1.0682447123141398E-12</v>
      </c>
      <c r="BG126" s="20">
        <f t="shared" si="61"/>
        <v>1.978932943548152E-12</v>
      </c>
      <c r="BH126" s="59">
        <f t="shared" si="62"/>
        <v>293.3333333333353</v>
      </c>
      <c r="BI126" s="59">
        <f ca="1">AVERAGE(OFFSET($BH$3,0,0,'Données projet'!$E$11+1,1))-AVERAGE(OFFSET($H$3,0,0,'Données projet'!$E$11+1,1))</f>
        <v>302.00825291248458</v>
      </c>
      <c r="BJ126" s="59">
        <f t="shared" si="92"/>
        <v>307.35115839449355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39.879679243923235</v>
      </c>
      <c r="BQ126" s="21">
        <f>EXP(-LN(2)/25)*BQ125+(1-EXP(-LN(2)/25))/(LN(2)/25)*Calculateur!BL126*Calculateur!BN126*VLOOKUP('Données projet'!$B$11,Paramètres!$A$1:$I$89,3,0)*0.475*44/12</f>
        <v>8.4452631682333976</v>
      </c>
      <c r="BR126" s="21">
        <f>EXP(-LN(2)/2)*BR125+(1-EXP(-LN(2)/2))/(LN(2)/2)*BL126*BO126*VLOOKUP('Données projet'!$B$11,Paramètres!$A$1:$I$89,3,0)*0.475*44/12</f>
        <v>1.9743639431019639E-8</v>
      </c>
      <c r="BS126" s="22">
        <f t="shared" si="63"/>
        <v>48.324942431900269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5.7330000000000014</v>
      </c>
      <c r="BY126" s="12">
        <f>IF('Données projet'!$A$114&gt;35,BY125+BX126-CG125,IF(A126&lt;'Données projet'!$A$114,$BV$205^A126,IF(A126='Données projet'!$A$114,'Données projet'!$B$114,BY125+BX126-CG125)))</f>
        <v>252.49600000000018</v>
      </c>
      <c r="BZ126" s="13">
        <f>BY126*VLOOKUP('Données projet'!$B$12,Paramètres!$A$1:$I$89,3,0)*VLOOKUP('Données projet'!$B$12,Paramètres!$A$1:$I$89,5,0)</f>
        <v>118.16812800000008</v>
      </c>
      <c r="CA126" s="13">
        <f t="shared" si="93"/>
        <v>31.247363461606096</v>
      </c>
      <c r="CB126" s="20">
        <f t="shared" si="64"/>
        <v>260.23198096229737</v>
      </c>
      <c r="CC126" s="59">
        <f t="shared" si="65"/>
        <v>553.56531429563074</v>
      </c>
      <c r="CD126" s="59">
        <f ca="1">AVERAGE(OFFSET($CC$3,0,0,'Données projet'!$E$12+1,1))-AVERAGE(OFFSET($H$3,0,0,'Données projet'!$E$12+1,1))</f>
        <v>337.10499990421835</v>
      </c>
      <c r="CE126" s="59">
        <f t="shared" si="94"/>
        <v>277.4254079562175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98.801818376814666</v>
      </c>
      <c r="CL126" s="21">
        <f>EXP(-LN(2)/25)*CL125+(1-EXP(-LN(2)/25))/(LN(2)/25)*Calculateur!CG126*Calculateur!CI126*VLOOKUP('Données projet'!$B$12,Paramètres!$A$1:$I$89,3,0)*0.475*44/12</f>
        <v>30.731227521346774</v>
      </c>
      <c r="CM126" s="21">
        <f>EXP(-LN(2)/2)*CM125+(1-EXP(-LN(2)/2))/(LN(2)/2)*CG126*CJ126*VLOOKUP('Données projet'!$B$12,Paramètres!$A$1:$I$89,3,0)*0.475*44/12</f>
        <v>12.629967146162498</v>
      </c>
      <c r="CN126" s="22">
        <f t="shared" si="66"/>
        <v>142.16301304432395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7.1129999999999995</v>
      </c>
      <c r="CT126" s="12">
        <f>IF('Données projet'!$A$140&gt;35,CT125+CS126-DB125,IF(A126&lt;'Données projet'!$A$140,$CQ$205^A126,IF(A126='Données projet'!$A$140,'Données projet'!$B$140,CT125+CS126-DB125)))</f>
        <v>276.55300000000005</v>
      </c>
      <c r="CU126" s="17">
        <f>CT126*VLOOKUP('Données projet'!$B$13,Paramètres!$A$1:$I$89,3,0)*VLOOKUP('Données projet'!$B$13,Paramètres!$A$1:$I$89,5,0)</f>
        <v>276.11051520000007</v>
      </c>
      <c r="CV126" s="13">
        <f t="shared" si="95"/>
        <v>66.144380953402276</v>
      </c>
      <c r="CW126" s="20">
        <f t="shared" si="67"/>
        <v>596.09394413384234</v>
      </c>
      <c r="CX126" s="59">
        <f t="shared" si="68"/>
        <v>889.4272774671756</v>
      </c>
      <c r="CY126" s="59">
        <f ca="1">AVERAGE(OFFSET($CX$3,0,0,'Données projet'!$E$13+1,1))-AVERAGE(OFFSET($H$3,0,0,'Données projet'!$E$13+1,1))</f>
        <v>525.74725170626471</v>
      </c>
      <c r="CZ126" s="59">
        <f t="shared" si="96"/>
        <v>259.19103598192197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24.652492699200792</v>
      </c>
      <c r="DG126" s="21">
        <f>EXP(-LN(2)/25)*DG125+(1-EXP(-LN(2)/25))/(LN(2)/25)*Calculateur!DB126*Calculateur!DD126*VLOOKUP('Données projet'!$B$13,Paramètres!$A$1:$I$89,3,0)*0.475*44/12</f>
        <v>24.469139961018101</v>
      </c>
      <c r="DH126" s="21">
        <f>EXP(-LN(2)/2)*DH125+(1-EXP(-LN(2)/2))/(LN(2)/2)*DB126*DE126*VLOOKUP('Données projet'!$B$13,Paramètres!$A$1:$I$89,3,0)*0.475*44/12</f>
        <v>3.1807263640922243</v>
      </c>
      <c r="DI126" s="22">
        <f t="shared" si="69"/>
        <v>52.302359024311116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7.8516666666666692</v>
      </c>
      <c r="DO126" s="12">
        <f>IF('Données projet'!$A$166&gt;35,DO125+DN126-DW125,IF(A126&lt;'Données projet'!$A$166,$DL$205^A126,IF(A126='Données projet'!$A$166,'Données projet'!$B$166,DO125+DN126-DW125)))</f>
        <v>388.90666666666715</v>
      </c>
      <c r="DP126" s="17">
        <f>DO126*VLOOKUP('Données projet'!$B$14,Paramètres!$A$1:$I$89,3,0)*VLOOKUP('Données projet'!$B$14,Paramètres!$A$1:$I$89,5,0)</f>
        <v>351.88275200000038</v>
      </c>
      <c r="DQ126" s="13">
        <f t="shared" si="97"/>
        <v>81.950068298221169</v>
      </c>
      <c r="DR126" s="20">
        <f t="shared" si="70"/>
        <v>755.59216201940251</v>
      </c>
      <c r="DS126" s="59">
        <f t="shared" si="71"/>
        <v>1048.9254953527359</v>
      </c>
      <c r="DT126" s="59">
        <f ca="1">AVERAGE(OFFSET($DS$3,0,0,'Données projet'!$E$14+1,1))-AVERAGE(OFFSET($H$3,0,0,'Données projet'!$E$14+1,1))</f>
        <v>490.06222615476065</v>
      </c>
      <c r="DU126" s="59">
        <f t="shared" si="98"/>
        <v>310.43914804089906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27.775425074860564</v>
      </c>
      <c r="EB126" s="21">
        <f>EXP(-LN(2)/25)*EB125+(1-EXP(-LN(2)/25))/(LN(2)/25)*Calculateur!DW126*Calculateur!DY126*VLOOKUP('Données projet'!$B$14,Paramètres!$A$1:$I$89,3,0)*0.475*44/12</f>
        <v>16.561681365794225</v>
      </c>
      <c r="EC126" s="21">
        <f>EXP(-LN(2)/2)*EC125+(1-EXP(-LN(2)/2))/(LN(2)/2)*DW126*DZ126*VLOOKUP('Données projet'!$B$14,Paramètres!$A$1:$I$89,3,0)*0.475*44/12</f>
        <v>4.8522986598095712E-3</v>
      </c>
      <c r="ED126" s="22">
        <f t="shared" si="72"/>
        <v>44.341958739314606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7.1129999999999995</v>
      </c>
      <c r="EJ126" s="12">
        <f>IF('Données projet'!$A$192&gt;35,EJ125+EI126-ER125,IF(A126&lt;'Données projet'!$A$192,$EG$205^A126,IF(A126='Données projet'!$A$192,'Données projet'!$B$192,EJ125+EI126-ER125)))</f>
        <v>276.55300000000005</v>
      </c>
      <c r="EK126" s="17">
        <f>EJ126*VLOOKUP('Données projet'!$B$15,Paramètres!$A$1:$I$89,3,0)*VLOOKUP('Données projet'!$B$15,Paramètres!$A$1:$I$89,5,0)</f>
        <v>280.42474200000009</v>
      </c>
      <c r="EL126" s="13">
        <f t="shared" si="99"/>
        <v>67.056761155527383</v>
      </c>
      <c r="EM126" s="20">
        <f t="shared" si="73"/>
        <v>605.19695132921026</v>
      </c>
      <c r="EN126" s="59">
        <f t="shared" si="74"/>
        <v>898.53028466254364</v>
      </c>
      <c r="EO126" s="59">
        <f ca="1">AVERAGE(OFFSET($EN$3,0,0,'Données projet'!$E$15+1,1))-AVERAGE(OFFSET($H$3,0,0,'Données projet'!$E$15+1,1))</f>
        <v>533.26035274112917</v>
      </c>
      <c r="EP126" s="59">
        <f t="shared" si="100"/>
        <v>262.58149402282521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25.037687897625794</v>
      </c>
      <c r="EW126" s="21">
        <f>EXP(-LN(2)/25)*EW125+(1-EXP(-LN(2)/25))/(LN(2)/25)*Calculateur!ER126*Calculateur!ET126*VLOOKUP('Données projet'!$B$15,Paramètres!$A$1:$I$89,3,0)*0.475*44/12</f>
        <v>24.851470272909008</v>
      </c>
      <c r="EX126" s="21">
        <f>EXP(-LN(2)/2)*EX125+(1-EXP(-LN(2)/2))/(LN(2)/2)*ER126*EU126*VLOOKUP('Données projet'!$B$15,Paramètres!$A$1:$I$89,3,0)*0.475*44/12</f>
        <v>3.2304252135311651</v>
      </c>
      <c r="EY126" s="22">
        <f t="shared" si="75"/>
        <v>53.119583384065962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239.26156489359892</v>
      </c>
      <c r="FK126" s="59">
        <f t="shared" si="102"/>
        <v>213.97034450798111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5.6254916104268942</v>
      </c>
      <c r="FR126" s="21">
        <f>EXP(-LN(2)/25)*FR125+(1-EXP(-LN(2)/25))/(LN(2)/25)*Calculateur!FM126*Calculateur!FO126*VLOOKUP('Données projet'!$B$16,Paramètres!$A$1:$I$89,3,0)*0.475*44/12</f>
        <v>25.579336699802695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31.20482831022959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4.8499999999999943</v>
      </c>
      <c r="N127" s="13">
        <f>IF('Données projet'!$A$36&gt;35,N126+M127-V126,IF(A127&lt;'Données projet'!$A$36,$K$205^A127,IF(A127='Données projet'!$A$36,'Données projet'!$B$36,N126+M127-V126)))</f>
        <v>210.59000000000026</v>
      </c>
      <c r="O127" s="13">
        <f>N127*VLOOKUP('Données projet'!$B$9,Paramètres!$A$1:$I$89,3,0)*VLOOKUP('Données projet'!$B$9,Paramètres!$A$1:$I$89,5,0)</f>
        <v>200.39744400000023</v>
      </c>
      <c r="P127" s="13">
        <f t="shared" si="87"/>
        <v>49.831503792487226</v>
      </c>
      <c r="Q127" s="20">
        <f t="shared" si="107"/>
        <v>435.81541740524904</v>
      </c>
      <c r="R127" s="59">
        <f t="shared" si="55"/>
        <v>729.14875073858229</v>
      </c>
      <c r="S127" s="59">
        <f ca="1">AVERAGE(OFFSET($R$3,0,0,'Données projet'!$E$9+1,1))-AVERAGE(OFFSET($H$3,0,0,'Données projet'!$E$9+1,1))</f>
        <v>449.28947235329758</v>
      </c>
      <c r="T127" s="59">
        <f t="shared" si="88"/>
        <v>289.36994109443964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83.347762119625173</v>
      </c>
      <c r="AA127" s="21">
        <f>EXP(-LN(2)/25)*AA126+(1-EXP(-LN(2)/25))/(LN(2)/25)*Calculateur!V127*Calculateur!X127*VLOOKUP('Données projet'!$B$9,Paramètres!$A$1:$I$89,3,0)*0.475*44/12</f>
        <v>23.47742312602481</v>
      </c>
      <c r="AB127" s="21">
        <f>EXP(-LN(2)/2)*AB126+(1-EXP(-LN(2)/2))/(LN(2)/2)*V127*Y127*VLOOKUP('Données projet'!$B$9,Paramètres!$A$1:$I$89,3,0)*0.475*44/12</f>
        <v>6.4691439826967594</v>
      </c>
      <c r="AC127" s="22">
        <f t="shared" si="57"/>
        <v>113.29432922834674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-2.2737367544323206E-13</v>
      </c>
      <c r="AJ127" s="13">
        <f>AI127*VLOOKUP('Données projet'!$B$10,Paramètres!$A$1:$I$89,3,0)*VLOOKUP('Données projet'!$B$10,Paramètres!$A$1:$I$89,5,0)</f>
        <v>-1.3596945791505279E-13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349.71285006949597</v>
      </c>
      <c r="AO127" s="59">
        <f t="shared" si="90"/>
        <v>258.51550516456842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64.122770847200073</v>
      </c>
      <c r="AV127" s="21">
        <f>EXP(-LN(2)/25)*AV126+(1-EXP(-LN(2)/25))/(LN(2)/25)*Calculateur!AQ127*Calculateur!AS127*VLOOKUP('Données projet'!$B$10,Paramètres!$A$1:$I$89,3,0)*0.475*44/12</f>
        <v>15.277431130360956</v>
      </c>
      <c r="AW127" s="21">
        <f>EXP(-LN(2)/2)*AW126+(1-EXP(-LN(2)/2))/(LN(2)/2)*AQ127*AT127*VLOOKUP('Données projet'!$B$10,Paramètres!$A$1:$I$89,3,0)*0.475*44/12</f>
        <v>1.6860161495496918E-5</v>
      </c>
      <c r="AX127" s="21">
        <f t="shared" si="60"/>
        <v>79.40021883772252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1.1368683772161603E-13</v>
      </c>
      <c r="BE127" s="13">
        <f>BD127*VLOOKUP('Données projet'!$B$11,Paramètres!$A$1:$I$89,3,0)*VLOOKUP('Données projet'!$B$11,Paramètres!$A$1:$I$89,5,0)</f>
        <v>6.7984728957526396E-14</v>
      </c>
      <c r="BF127" s="13">
        <f t="shared" si="91"/>
        <v>1.0682447123141398E-12</v>
      </c>
      <c r="BG127" s="20">
        <f t="shared" si="61"/>
        <v>1.978932943548152E-12</v>
      </c>
      <c r="BH127" s="59">
        <f t="shared" si="62"/>
        <v>293.3333333333353</v>
      </c>
      <c r="BI127" s="59">
        <f ca="1">AVERAGE(OFFSET($BH$3,0,0,'Données projet'!$E$11+1,1))-AVERAGE(OFFSET($H$3,0,0,'Données projet'!$E$11+1,1))</f>
        <v>302.00825291248458</v>
      </c>
      <c r="BJ127" s="59">
        <f t="shared" si="92"/>
        <v>307.35115839449355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39.09766305815242</v>
      </c>
      <c r="BQ127" s="21">
        <f>EXP(-LN(2)/25)*BQ126+(1-EXP(-LN(2)/25))/(LN(2)/25)*Calculateur!BL127*Calculateur!BN127*VLOOKUP('Données projet'!$B$11,Paramètres!$A$1:$I$89,3,0)*0.475*44/12</f>
        <v>8.2143270027809674</v>
      </c>
      <c r="BR127" s="21">
        <f>EXP(-LN(2)/2)*BR126+(1-EXP(-LN(2)/2))/(LN(2)/2)*BL127*BO127*VLOOKUP('Données projet'!$B$11,Paramètres!$A$1:$I$89,3,0)*0.475*44/12</f>
        <v>1.3960861326976096E-8</v>
      </c>
      <c r="BS127" s="22">
        <f t="shared" si="63"/>
        <v>47.311990074894254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5.7330000000000014</v>
      </c>
      <c r="BY127" s="12">
        <f>IF('Données projet'!$A$114&gt;35,BY126+BX127-CG126,IF(A127&lt;'Données projet'!$A$114,$BV$205^A127,IF(A127='Données projet'!$A$114,'Données projet'!$B$114,BY126+BX127-CG126)))</f>
        <v>258.22900000000016</v>
      </c>
      <c r="BZ127" s="13">
        <f>BY127*VLOOKUP('Données projet'!$B$12,Paramètres!$A$1:$I$89,3,0)*VLOOKUP('Données projet'!$B$12,Paramètres!$A$1:$I$89,5,0)</f>
        <v>120.85117200000008</v>
      </c>
      <c r="CA127" s="13">
        <f t="shared" si="93"/>
        <v>31.873439447313004</v>
      </c>
      <c r="CB127" s="20">
        <f t="shared" si="64"/>
        <v>265.99536493740356</v>
      </c>
      <c r="CC127" s="59">
        <f t="shared" si="65"/>
        <v>559.32869827073682</v>
      </c>
      <c r="CD127" s="59">
        <f ca="1">AVERAGE(OFFSET($CC$3,0,0,'Données projet'!$E$12+1,1))-AVERAGE(OFFSET($H$3,0,0,'Données projet'!$E$12+1,1))</f>
        <v>337.10499990421835</v>
      </c>
      <c r="CE127" s="59">
        <f t="shared" si="94"/>
        <v>277.4254079562175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96.864374981604044</v>
      </c>
      <c r="CL127" s="21">
        <f>EXP(-LN(2)/25)*CL126+(1-EXP(-LN(2)/25))/(LN(2)/25)*Calculateur!CG127*Calculateur!CI127*VLOOKUP('Données projet'!$B$12,Paramètres!$A$1:$I$89,3,0)*0.475*44/12</f>
        <v>29.890880488690527</v>
      </c>
      <c r="CM127" s="21">
        <f>EXP(-LN(2)/2)*CM126+(1-EXP(-LN(2)/2))/(LN(2)/2)*CG127*CJ127*VLOOKUP('Données projet'!$B$12,Paramètres!$A$1:$I$89,3,0)*0.475*44/12</f>
        <v>8.9307354152148104</v>
      </c>
      <c r="CN127" s="22">
        <f t="shared" si="66"/>
        <v>135.68599088550937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7.1129999999999995</v>
      </c>
      <c r="CT127" s="12">
        <f>IF('Données projet'!$A$140&gt;35,CT126+CS127-DB126,IF(A127&lt;'Données projet'!$A$140,$CQ$205^A127,IF(A127='Données projet'!$A$140,'Données projet'!$B$140,CT126+CS127-DB126)))</f>
        <v>283.66600000000005</v>
      </c>
      <c r="CU127" s="17">
        <f>CT127*VLOOKUP('Données projet'!$B$13,Paramètres!$A$1:$I$89,3,0)*VLOOKUP('Données projet'!$B$13,Paramètres!$A$1:$I$89,5,0)</f>
        <v>283.21213440000008</v>
      </c>
      <c r="CV127" s="13">
        <f t="shared" si="95"/>
        <v>67.645373918980169</v>
      </c>
      <c r="CW127" s="20">
        <f t="shared" si="67"/>
        <v>611.0768269888905</v>
      </c>
      <c r="CX127" s="59">
        <f t="shared" si="68"/>
        <v>904.41016032222387</v>
      </c>
      <c r="CY127" s="59">
        <f ca="1">AVERAGE(OFFSET($CX$3,0,0,'Données projet'!$E$13+1,1))-AVERAGE(OFFSET($H$3,0,0,'Données projet'!$E$13+1,1))</f>
        <v>525.74725170626471</v>
      </c>
      <c r="CZ127" s="59">
        <f t="shared" si="96"/>
        <v>259.19103598192197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24.169072353905275</v>
      </c>
      <c r="DG127" s="21">
        <f>EXP(-LN(2)/25)*DG126+(1-EXP(-LN(2)/25))/(LN(2)/25)*Calculateur!DB127*Calculateur!DD127*VLOOKUP('Données projet'!$B$13,Paramètres!$A$1:$I$89,3,0)*0.475*44/12</f>
        <v>23.800030042007915</v>
      </c>
      <c r="DH127" s="21">
        <f>EXP(-LN(2)/2)*DH126+(1-EXP(-LN(2)/2))/(LN(2)/2)*DB127*DE127*VLOOKUP('Données projet'!$B$13,Paramètres!$A$1:$I$89,3,0)*0.475*44/12</f>
        <v>2.2491131811484437</v>
      </c>
      <c r="DI127" s="22">
        <f t="shared" si="69"/>
        <v>50.218215577061635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7.8516666666666692</v>
      </c>
      <c r="DO127" s="12">
        <f>IF('Données projet'!$A$166&gt;35,DO126+DN127-DW126,IF(A127&lt;'Données projet'!$A$166,$DL$205^A127,IF(A127='Données projet'!$A$166,'Données projet'!$B$166,DO126+DN127-DW126)))</f>
        <v>396.75833333333384</v>
      </c>
      <c r="DP127" s="17">
        <f>DO127*VLOOKUP('Données projet'!$B$14,Paramètres!$A$1:$I$89,3,0)*VLOOKUP('Données projet'!$B$14,Paramètres!$A$1:$I$89,5,0)</f>
        <v>358.98694000000046</v>
      </c>
      <c r="DQ127" s="13">
        <f t="shared" si="97"/>
        <v>83.410276195636754</v>
      </c>
      <c r="DR127" s="20">
        <f t="shared" si="70"/>
        <v>770.50848487406813</v>
      </c>
      <c r="DS127" s="59">
        <f t="shared" si="71"/>
        <v>1063.8418182074015</v>
      </c>
      <c r="DT127" s="59">
        <f ca="1">AVERAGE(OFFSET($DS$3,0,0,'Données projet'!$E$14+1,1))-AVERAGE(OFFSET($H$3,0,0,'Données projet'!$E$14+1,1))</f>
        <v>490.06222615476065</v>
      </c>
      <c r="DU127" s="59">
        <f t="shared" si="98"/>
        <v>310.43914804089906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27.230765930479027</v>
      </c>
      <c r="EB127" s="21">
        <f>EXP(-LN(2)/25)*EB126+(1-EXP(-LN(2)/25))/(LN(2)/25)*Calculateur!DW127*Calculateur!DY127*VLOOKUP('Données projet'!$B$14,Paramètres!$A$1:$I$89,3,0)*0.475*44/12</f>
        <v>16.108801317905613</v>
      </c>
      <c r="EC127" s="21">
        <f>EXP(-LN(2)/2)*EC126+(1-EXP(-LN(2)/2))/(LN(2)/2)*DW127*DZ127*VLOOKUP('Données projet'!$B$14,Paramètres!$A$1:$I$89,3,0)*0.475*44/12</f>
        <v>3.4310932866937443E-3</v>
      </c>
      <c r="ED127" s="22">
        <f t="shared" si="72"/>
        <v>43.342998341671333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7.1129999999999995</v>
      </c>
      <c r="EJ127" s="12">
        <f>IF('Données projet'!$A$192&gt;35,EJ126+EI127-ER126,IF(A127&lt;'Données projet'!$A$192,$EG$205^A127,IF(A127='Données projet'!$A$192,'Données projet'!$B$192,EJ126+EI127-ER126)))</f>
        <v>283.66600000000005</v>
      </c>
      <c r="EK127" s="17">
        <f>EJ127*VLOOKUP('Données projet'!$B$15,Paramètres!$A$1:$I$89,3,0)*VLOOKUP('Données projet'!$B$15,Paramètres!$A$1:$I$89,5,0)</f>
        <v>287.63732400000009</v>
      </c>
      <c r="EL127" s="13">
        <f t="shared" si="99"/>
        <v>68.578458468860646</v>
      </c>
      <c r="EM127" s="20">
        <f t="shared" si="73"/>
        <v>620.40915446659915</v>
      </c>
      <c r="EN127" s="59">
        <f t="shared" si="74"/>
        <v>913.74248779993241</v>
      </c>
      <c r="EO127" s="59">
        <f ca="1">AVERAGE(OFFSET($EN$3,0,0,'Données projet'!$E$15+1,1))-AVERAGE(OFFSET($H$3,0,0,'Données projet'!$E$15+1,1))</f>
        <v>533.26035274112917</v>
      </c>
      <c r="EP127" s="59">
        <f t="shared" si="100"/>
        <v>262.58149402282521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24.546714109435037</v>
      </c>
      <c r="EW127" s="21">
        <f>EXP(-LN(2)/25)*EW126+(1-EXP(-LN(2)/25))/(LN(2)/25)*Calculateur!ER127*Calculateur!ET127*VLOOKUP('Données projet'!$B$15,Paramètres!$A$1:$I$89,3,0)*0.475*44/12</f>
        <v>24.171905511414288</v>
      </c>
      <c r="EX127" s="21">
        <f>EXP(-LN(2)/2)*EX126+(1-EXP(-LN(2)/2))/(LN(2)/2)*ER127*EU127*VLOOKUP('Données projet'!$B$15,Paramètres!$A$1:$I$89,3,0)*0.475*44/12</f>
        <v>2.284255574603888</v>
      </c>
      <c r="EY127" s="22">
        <f t="shared" si="75"/>
        <v>51.002875195453214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239.26156489359892</v>
      </c>
      <c r="FK127" s="59">
        <f t="shared" si="102"/>
        <v>213.97034450798111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5.5151791511575015</v>
      </c>
      <c r="FR127" s="21">
        <f>EXP(-LN(2)/25)*FR126+(1-EXP(-LN(2)/25))/(LN(2)/25)*Calculateur!FM127*Calculateur!FO127*VLOOKUP('Données projet'!$B$16,Paramètres!$A$1:$I$89,3,0)*0.475*44/12</f>
        <v>24.879868392587735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30.395047543745235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215.44</v>
      </c>
      <c r="L128" s="12">
        <f>VLOOKUP(A128,'Données projet'!$A$35:$I$55,9,0)</f>
        <v>4.8499999999999943</v>
      </c>
      <c r="M128" s="12">
        <f t="array" ref="M128">INDEX(L:L,MIN(IF(ISNUMBER(L128:L324),ROW(L128:L324),"")))</f>
        <v>4.8499999999999943</v>
      </c>
      <c r="N128" s="13">
        <f>IF('Données projet'!$A$36&gt;35,N127+M128-V127,IF(A128&lt;'Données projet'!$A$36,$K$205^A128,IF(A128='Données projet'!$A$36,'Données projet'!$B$36,N127+M128-V127)))</f>
        <v>215.44000000000025</v>
      </c>
      <c r="O128" s="13">
        <f>N128*VLOOKUP('Données projet'!$B$9,Paramètres!$A$1:$I$89,3,0)*VLOOKUP('Données projet'!$B$9,Paramètres!$A$1:$I$89,5,0)</f>
        <v>205.01270400000027</v>
      </c>
      <c r="P128" s="13">
        <f t="shared" si="87"/>
        <v>50.844216177769056</v>
      </c>
      <c r="Q128" s="20">
        <f t="shared" si="107"/>
        <v>445.61746930961482</v>
      </c>
      <c r="R128" s="59">
        <f t="shared" si="55"/>
        <v>738.95080264294813</v>
      </c>
      <c r="S128" s="59">
        <f ca="1">AVERAGE(OFFSET($R$3,0,0,'Données projet'!$E$9+1,1))-AVERAGE(OFFSET($H$3,0,0,'Données projet'!$E$9+1,1))</f>
        <v>449.28947235329758</v>
      </c>
      <c r="T128" s="59">
        <f t="shared" si="88"/>
        <v>289.36994109443964</v>
      </c>
      <c r="U128" s="15">
        <f>IF(ISNA(VLOOKUP(A128,'Données projet'!$A$35:$I$55,3,0)),0,VLOOKUP(A128,'Données projet'!$A$35:$I$55,3,0))</f>
        <v>12</v>
      </c>
      <c r="V128" s="15">
        <f>IF(ISNA(VLOOKUP(A128,'Données projet'!$A$35:$I$55,4,0)),0,VLOOKUP(A128,'Données projet'!$A$35:$I$55,4,0))</f>
        <v>70.609999999999985</v>
      </c>
      <c r="W128" s="16">
        <f>IF(ISNA(VLOOKUP(A128,'Données projet'!$A$35:$I$55,5,0)),0%,VLOOKUP(A128,'Données projet'!$A$35:$I$55,5,0)*VLOOKUP('Données projet'!$B$9,Paramètres!$A$1:$I$89,7,0))</f>
        <v>0.19350000000000001</v>
      </c>
      <c r="X128" s="16">
        <f>IF(ISNA(VLOOKUP(A128,'Données projet'!$A$35:$I$55,6,0)),0%,VLOOKUP(A128,'Données projet'!$A$35:$I$55,6,0)*VLOOKUP('Données projet'!$B$9,Paramètres!$A$1:$I$89,7,0))</f>
        <v>2.1500000000000002E-2</v>
      </c>
      <c r="Y128" s="16">
        <f>IF(ISNA(VLOOKUP(A128,'Données projet'!$A$35:$I$55,7,0)),0%,VLOOKUP(A128,'Données projet'!$A$35:$I$55,7,0))</f>
        <v>0.05</v>
      </c>
      <c r="Z128" s="21">
        <f>EXP(-LN(2)/35)*Z127+(1-EXP(-LN(2)/35))/(LN(2)/35)*V128*W128*VLOOKUP('Données projet'!$B$9,Paramètres!$A$1:$I$89,3,0)*0.475*44/12</f>
        <v>96.08640633302457</v>
      </c>
      <c r="AA128" s="21">
        <f>EXP(-LN(2)/25)*AA127+(1-EXP(-LN(2)/25))/(LN(2)/25)*Calculateur!V128*Calculateur!X128*VLOOKUP('Données projet'!$B$9,Paramètres!$A$1:$I$89,3,0)*0.475*44/12</f>
        <v>24.426148516534532</v>
      </c>
      <c r="AB128" s="21">
        <f>EXP(-LN(2)/2)*AB127+(1-EXP(-LN(2)/2))/(LN(2)/2)*V128*Y128*VLOOKUP('Données projet'!$B$9,Paramètres!$A$1:$I$89,3,0)*0.475*44/12</f>
        <v>7.7442710568858573</v>
      </c>
      <c r="AC128" s="22">
        <f t="shared" si="57"/>
        <v>128.25682590644496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-2.2737367544323206E-13</v>
      </c>
      <c r="AJ128" s="13">
        <f>AI128*VLOOKUP('Données projet'!$B$10,Paramètres!$A$1:$I$89,3,0)*VLOOKUP('Données projet'!$B$10,Paramètres!$A$1:$I$89,5,0)</f>
        <v>-1.3596945791505279E-13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349.71285006949597</v>
      </c>
      <c r="AO128" s="59">
        <f t="shared" si="90"/>
        <v>258.51550516456842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62.865362421914803</v>
      </c>
      <c r="AV128" s="21">
        <f>EXP(-LN(2)/25)*AV127+(1-EXP(-LN(2)/25))/(LN(2)/25)*Calculateur!AQ128*Calculateur!AS128*VLOOKUP('Données projet'!$B$10,Paramètres!$A$1:$I$89,3,0)*0.475*44/12</f>
        <v>14.859668972696049</v>
      </c>
      <c r="AW128" s="21">
        <f>EXP(-LN(2)/2)*AW127+(1-EXP(-LN(2)/2))/(LN(2)/2)*AQ128*AT128*VLOOKUP('Données projet'!$B$10,Paramètres!$A$1:$I$89,3,0)*0.475*44/12</f>
        <v>1.1921934525366193E-5</v>
      </c>
      <c r="AX128" s="21">
        <f t="shared" si="60"/>
        <v>77.725043316545381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1.1368683772161603E-13</v>
      </c>
      <c r="BE128" s="13">
        <f>BD128*VLOOKUP('Données projet'!$B$11,Paramètres!$A$1:$I$89,3,0)*VLOOKUP('Données projet'!$B$11,Paramètres!$A$1:$I$89,5,0)</f>
        <v>6.7984728957526396E-14</v>
      </c>
      <c r="BF128" s="13">
        <f t="shared" si="91"/>
        <v>1.0682447123141398E-12</v>
      </c>
      <c r="BG128" s="20">
        <f t="shared" si="61"/>
        <v>1.978932943548152E-12</v>
      </c>
      <c r="BH128" s="59">
        <f t="shared" si="62"/>
        <v>293.3333333333353</v>
      </c>
      <c r="BI128" s="59">
        <f ca="1">AVERAGE(OFFSET($BH$3,0,0,'Données projet'!$E$11+1,1))-AVERAGE(OFFSET($H$3,0,0,'Données projet'!$E$11+1,1))</f>
        <v>302.00825291248458</v>
      </c>
      <c r="BJ128" s="59">
        <f t="shared" si="92"/>
        <v>307.35115839449355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38.330981732801803</v>
      </c>
      <c r="BQ128" s="21">
        <f>EXP(-LN(2)/25)*BQ127+(1-EXP(-LN(2)/25))/(LN(2)/25)*Calculateur!BL128*Calculateur!BN128*VLOOKUP('Données projet'!$B$11,Paramètres!$A$1:$I$89,3,0)*0.475*44/12</f>
        <v>7.9897057989172389</v>
      </c>
      <c r="BR128" s="21">
        <f>EXP(-LN(2)/2)*BR127+(1-EXP(-LN(2)/2))/(LN(2)/2)*BL128*BO128*VLOOKUP('Données projet'!$B$11,Paramètres!$A$1:$I$89,3,0)*0.475*44/12</f>
        <v>9.8718197155098195E-9</v>
      </c>
      <c r="BS128" s="22">
        <f t="shared" si="63"/>
        <v>46.320687541590864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5.7330000000000014</v>
      </c>
      <c r="BY128" s="12">
        <f>IF('Données projet'!$A$114&gt;35,BY127+BX128-CG127,IF(A128&lt;'Données projet'!$A$114,$BV$205^A128,IF(A128='Données projet'!$A$114,'Données projet'!$B$114,BY127+BX128-CG127)))</f>
        <v>263.96200000000016</v>
      </c>
      <c r="BZ128" s="13">
        <f>BY128*VLOOKUP('Données projet'!$B$12,Paramètres!$A$1:$I$89,3,0)*VLOOKUP('Données projet'!$B$12,Paramètres!$A$1:$I$89,5,0)</f>
        <v>123.53421600000007</v>
      </c>
      <c r="CA128" s="13">
        <f t="shared" si="93"/>
        <v>32.497899461772079</v>
      </c>
      <c r="CB128" s="20">
        <f t="shared" si="64"/>
        <v>271.75593442925316</v>
      </c>
      <c r="CC128" s="59">
        <f t="shared" si="65"/>
        <v>565.08926776258647</v>
      </c>
      <c r="CD128" s="59">
        <f ca="1">AVERAGE(OFFSET($CC$3,0,0,'Données projet'!$E$12+1,1))-AVERAGE(OFFSET($H$3,0,0,'Données projet'!$E$12+1,1))</f>
        <v>337.10499990421835</v>
      </c>
      <c r="CE128" s="59">
        <f t="shared" si="94"/>
        <v>277.4254079562175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94.964923669649721</v>
      </c>
      <c r="CL128" s="21">
        <f>EXP(-LN(2)/25)*CL127+(1-EXP(-LN(2)/25))/(LN(2)/25)*Calculateur!CG128*Calculateur!CI128*VLOOKUP('Données projet'!$B$12,Paramètres!$A$1:$I$89,3,0)*0.475*44/12</f>
        <v>29.073512789834197</v>
      </c>
      <c r="CM128" s="21">
        <f>EXP(-LN(2)/2)*CM127+(1-EXP(-LN(2)/2))/(LN(2)/2)*CG128*CJ128*VLOOKUP('Données projet'!$B$12,Paramètres!$A$1:$I$89,3,0)*0.475*44/12</f>
        <v>6.3149835730812498</v>
      </c>
      <c r="CN128" s="22">
        <f t="shared" si="66"/>
        <v>130.35342003256517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7.1129999999999995</v>
      </c>
      <c r="CT128" s="12">
        <f>IF('Données projet'!$A$140&gt;35,CT127+CS128-DB127,IF(A128&lt;'Données projet'!$A$140,$CQ$205^A128,IF(A128='Données projet'!$A$140,'Données projet'!$B$140,CT127+CS128-DB127)))</f>
        <v>290.77900000000005</v>
      </c>
      <c r="CU128" s="17">
        <f>CT128*VLOOKUP('Données projet'!$B$13,Paramètres!$A$1:$I$89,3,0)*VLOOKUP('Données projet'!$B$13,Paramètres!$A$1:$I$89,5,0)</f>
        <v>290.3137536000001</v>
      </c>
      <c r="CV128" s="13">
        <f t="shared" si="95"/>
        <v>69.141991747980086</v>
      </c>
      <c r="CW128" s="20">
        <f t="shared" si="67"/>
        <v>626.05208981439876</v>
      </c>
      <c r="CX128" s="59">
        <f t="shared" si="68"/>
        <v>919.38542314773213</v>
      </c>
      <c r="CY128" s="59">
        <f ca="1">AVERAGE(OFFSET($CX$3,0,0,'Données projet'!$E$13+1,1))-AVERAGE(OFFSET($H$3,0,0,'Données projet'!$E$13+1,1))</f>
        <v>525.74725170626471</v>
      </c>
      <c r="CZ128" s="59">
        <f t="shared" si="96"/>
        <v>259.19103598192197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23.695131586723708</v>
      </c>
      <c r="DG128" s="21">
        <f>EXP(-LN(2)/25)*DG127+(1-EXP(-LN(2)/25))/(LN(2)/25)*Calculateur!DB128*Calculateur!DD128*VLOOKUP('Données projet'!$B$13,Paramètres!$A$1:$I$89,3,0)*0.475*44/12</f>
        <v>23.149216968920026</v>
      </c>
      <c r="DH128" s="21">
        <f>EXP(-LN(2)/2)*DH127+(1-EXP(-LN(2)/2))/(LN(2)/2)*DB128*DE128*VLOOKUP('Données projet'!$B$13,Paramètres!$A$1:$I$89,3,0)*0.475*44/12</f>
        <v>1.5903631820461126</v>
      </c>
      <c r="DI128" s="22">
        <f t="shared" si="69"/>
        <v>48.434711737689845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>
        <f>VLOOKUP(A128,'Données projet'!$A$165:$I$185,2,0)</f>
        <v>404.61</v>
      </c>
      <c r="DM128" s="12">
        <f>VLOOKUP(A128,'Données projet'!$A$165:$I$185,9,0)</f>
        <v>7.8516666666666692</v>
      </c>
      <c r="DN128" s="12">
        <f t="array" ref="DN128">INDEX(DM:DM,MIN(IF(ISNUMBER(DM128:DM324),ROW(DM128:DM324),"")))</f>
        <v>7.8516666666666692</v>
      </c>
      <c r="DO128" s="12">
        <f>IF('Données projet'!$A$166&gt;35,DO127+DN128-DW127,IF(A128&lt;'Données projet'!$A$166,$DL$205^A128,IF(A128='Données projet'!$A$166,'Données projet'!$B$166,DO127+DN128-DW127)))</f>
        <v>404.61000000000053</v>
      </c>
      <c r="DP128" s="17">
        <f>DO128*VLOOKUP('Données projet'!$B$14,Paramètres!$A$1:$I$89,3,0)*VLOOKUP('Données projet'!$B$14,Paramètres!$A$1:$I$89,5,0)</f>
        <v>366.09112800000048</v>
      </c>
      <c r="DQ128" s="13">
        <f t="shared" si="97"/>
        <v>84.86712413904533</v>
      </c>
      <c r="DR128" s="20">
        <f t="shared" si="70"/>
        <v>785.41895580883818</v>
      </c>
      <c r="DS128" s="59">
        <f t="shared" si="71"/>
        <v>1078.7522891421715</v>
      </c>
      <c r="DT128" s="59">
        <f ca="1">AVERAGE(OFFSET($DS$3,0,0,'Données projet'!$E$14+1,1))-AVERAGE(OFFSET($H$3,0,0,'Données projet'!$E$14+1,1))</f>
        <v>490.06222615476065</v>
      </c>
      <c r="DU128" s="59">
        <f t="shared" si="98"/>
        <v>310.43914804089906</v>
      </c>
      <c r="DV128" s="15">
        <f>IF(ISNA(VLOOKUP(A128,'Données projet'!$A$165:$I$185,3,0)),0,VLOOKUP(A128,'Données projet'!$A$165:$I$185,3,0))</f>
        <v>10</v>
      </c>
      <c r="DW128" s="15">
        <f>IF(ISNA(VLOOKUP(A128,'Données projet'!$A$165:$I$185,4,0)),0,VLOOKUP(A128,'Données projet'!$A$165:$I$185,4,0))</f>
        <v>70</v>
      </c>
      <c r="DX128" s="16">
        <f>IF(ISNA(VLOOKUP(A128,'Données projet'!$A$165:$I$185,5,0)),0%,VLOOKUP(A128,'Données projet'!$A$165:$I$185,5,0)*VLOOKUP('Données projet'!$B$14,Paramètres!$A$1:$I$89,7,0))</f>
        <v>0.215</v>
      </c>
      <c r="DY128" s="16">
        <f>IF(ISNA(VLOOKUP(A128,'Données projet'!$A$165:$I$185,6,0)),0%,VLOOKUP(A128,'Données projet'!$A$165:$I$185,6,0)*VLOOKUP('Données projet'!$B$14,Paramètres!$A$1:$I$89,7,0))</f>
        <v>8.6000000000000007E-2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41.750242690700809</v>
      </c>
      <c r="EB128" s="21">
        <f>EXP(-LN(2)/25)*EB127+(1-EXP(-LN(2)/25))/(LN(2)/25)*Calculateur!DW128*Calculateur!DY128*VLOOKUP('Données projet'!$B$14,Paramètres!$A$1:$I$89,3,0)*0.475*44/12</f>
        <v>21.665979011136745</v>
      </c>
      <c r="EC128" s="21">
        <f>EXP(-LN(2)/2)*EC127+(1-EXP(-LN(2)/2))/(LN(2)/2)*DW128*DZ128*VLOOKUP('Données projet'!$B$14,Paramètres!$A$1:$I$89,3,0)*0.475*44/12</f>
        <v>2.4261493299047856E-3</v>
      </c>
      <c r="ED128" s="22">
        <f t="shared" si="72"/>
        <v>63.418647851167464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7.1129999999999995</v>
      </c>
      <c r="EJ128" s="12">
        <f>IF('Données projet'!$A$192&gt;35,EJ127+EI128-ER127,IF(A128&lt;'Données projet'!$A$192,$EG$205^A128,IF(A128='Données projet'!$A$192,'Données projet'!$B$192,EJ127+EI128-ER127)))</f>
        <v>290.77900000000005</v>
      </c>
      <c r="EK128" s="17">
        <f>EJ128*VLOOKUP('Données projet'!$B$15,Paramètres!$A$1:$I$89,3,0)*VLOOKUP('Données projet'!$B$15,Paramètres!$A$1:$I$89,5,0)</f>
        <v>294.84990600000009</v>
      </c>
      <c r="EL128" s="13">
        <f t="shared" si="99"/>
        <v>70.095720295999868</v>
      </c>
      <c r="EM128" s="20">
        <f t="shared" si="73"/>
        <v>635.61363246553321</v>
      </c>
      <c r="EN128" s="59">
        <f t="shared" si="74"/>
        <v>928.94696579886659</v>
      </c>
      <c r="EO128" s="59">
        <f ca="1">AVERAGE(OFFSET($EN$3,0,0,'Données projet'!$E$15+1,1))-AVERAGE(OFFSET($H$3,0,0,'Données projet'!$E$15+1,1))</f>
        <v>533.26035274112917</v>
      </c>
      <c r="EP128" s="59">
        <f t="shared" si="100"/>
        <v>262.58149402282521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24.065368017766257</v>
      </c>
      <c r="EW128" s="21">
        <f>EXP(-LN(2)/25)*EW127+(1-EXP(-LN(2)/25))/(LN(2)/25)*Calculateur!ER128*Calculateur!ET128*VLOOKUP('Données projet'!$B$15,Paramètres!$A$1:$I$89,3,0)*0.475*44/12</f>
        <v>23.510923484059397</v>
      </c>
      <c r="EX128" s="21">
        <f>EXP(-LN(2)/2)*EX127+(1-EXP(-LN(2)/2))/(LN(2)/2)*ER128*EU128*VLOOKUP('Données projet'!$B$15,Paramètres!$A$1:$I$89,3,0)*0.475*44/12</f>
        <v>1.615212606765583</v>
      </c>
      <c r="EY128" s="22">
        <f t="shared" si="75"/>
        <v>49.191504108591232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239.26156489359892</v>
      </c>
      <c r="FK128" s="59">
        <f t="shared" si="102"/>
        <v>213.97034450798111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5.4070298519304245</v>
      </c>
      <c r="FR128" s="21">
        <f>EXP(-LN(2)/25)*FR127+(1-EXP(-LN(2)/25))/(LN(2)/25)*Calculateur!FM128*Calculateur!FO128*VLOOKUP('Données projet'!$B$16,Paramètres!$A$1:$I$89,3,0)*0.475*44/12</f>
        <v>24.19952708301701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29.606556934947434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3.3249999999999886</v>
      </c>
      <c r="N129" s="13">
        <f>IF('Données projet'!$A$36&gt;35,N128+M129-V128,IF(A129&lt;'Données projet'!$A$36,$K$205^A129,IF(A129='Données projet'!$A$36,'Données projet'!$B$36,N128+M129-V128)))</f>
        <v>148.15500000000026</v>
      </c>
      <c r="O129" s="13">
        <f>N129*VLOOKUP('Données projet'!$B$9,Paramètres!$A$1:$I$89,3,0)*VLOOKUP('Données projet'!$B$9,Paramètres!$A$1:$I$89,5,0)</f>
        <v>140.98429800000025</v>
      </c>
      <c r="P129" s="13">
        <f t="shared" si="87"/>
        <v>36.522402318303413</v>
      </c>
      <c r="Q129" s="20">
        <f t="shared" si="107"/>
        <v>309.15750305437888</v>
      </c>
      <c r="R129" s="59">
        <f t="shared" si="55"/>
        <v>602.49083638771219</v>
      </c>
      <c r="S129" s="59">
        <f ca="1">AVERAGE(OFFSET($R$3,0,0,'Données projet'!$E$9+1,1))-AVERAGE(OFFSET($H$3,0,0,'Données projet'!$E$9+1,1))</f>
        <v>449.28947235329758</v>
      </c>
      <c r="T129" s="59">
        <f t="shared" si="88"/>
        <v>289.36994109443964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94.20221051175487</v>
      </c>
      <c r="AA129" s="21">
        <f>EXP(-LN(2)/25)*AA128+(1-EXP(-LN(2)/25))/(LN(2)/25)*Calculateur!V129*Calculateur!X129*VLOOKUP('Données projet'!$B$9,Paramètres!$A$1:$I$89,3,0)*0.475*44/12</f>
        <v>23.758214200834573</v>
      </c>
      <c r="AB129" s="21">
        <f>EXP(-LN(2)/2)*AB128+(1-EXP(-LN(2)/2))/(LN(2)/2)*V129*Y129*VLOOKUP('Données projet'!$B$9,Paramètres!$A$1:$I$89,3,0)*0.475*44/12</f>
        <v>5.4760265796707017</v>
      </c>
      <c r="AC129" s="22">
        <f t="shared" si="57"/>
        <v>123.43645129226014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-2.2737367544323206E-13</v>
      </c>
      <c r="AJ129" s="13">
        <f>AI129*VLOOKUP('Données projet'!$B$10,Paramètres!$A$1:$I$89,3,0)*VLOOKUP('Données projet'!$B$10,Paramètres!$A$1:$I$89,5,0)</f>
        <v>-1.3596945791505279E-13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349.71285006949597</v>
      </c>
      <c r="AO129" s="59">
        <f t="shared" si="90"/>
        <v>258.51550516456842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61.632611008905968</v>
      </c>
      <c r="AV129" s="21">
        <f>EXP(-LN(2)/25)*AV128+(1-EXP(-LN(2)/25))/(LN(2)/25)*Calculateur!AQ129*Calculateur!AS129*VLOOKUP('Données projet'!$B$10,Paramètres!$A$1:$I$89,3,0)*0.475*44/12</f>
        <v>14.453330543201647</v>
      </c>
      <c r="AW129" s="21">
        <f>EXP(-LN(2)/2)*AW128+(1-EXP(-LN(2)/2))/(LN(2)/2)*AQ129*AT129*VLOOKUP('Données projet'!$B$10,Paramètres!$A$1:$I$89,3,0)*0.475*44/12</f>
        <v>8.4300807477484592E-6</v>
      </c>
      <c r="AX129" s="21">
        <f t="shared" si="60"/>
        <v>76.085949982188367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1.1368683772161603E-13</v>
      </c>
      <c r="BE129" s="13">
        <f>BD129*VLOOKUP('Données projet'!$B$11,Paramètres!$A$1:$I$89,3,0)*VLOOKUP('Données projet'!$B$11,Paramètres!$A$1:$I$89,5,0)</f>
        <v>6.7984728957526396E-14</v>
      </c>
      <c r="BF129" s="13">
        <f t="shared" si="91"/>
        <v>1.0682447123141398E-12</v>
      </c>
      <c r="BG129" s="20">
        <f t="shared" si="61"/>
        <v>1.978932943548152E-12</v>
      </c>
      <c r="BH129" s="59">
        <f t="shared" si="62"/>
        <v>293.3333333333353</v>
      </c>
      <c r="BI129" s="59">
        <f ca="1">AVERAGE(OFFSET($BH$3,0,0,'Données projet'!$E$11+1,1))-AVERAGE(OFFSET($H$3,0,0,'Données projet'!$E$11+1,1))</f>
        <v>302.00825291248458</v>
      </c>
      <c r="BJ129" s="59">
        <f t="shared" si="92"/>
        <v>307.35115839449355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37.579334560611876</v>
      </c>
      <c r="BQ129" s="21">
        <f>EXP(-LN(2)/25)*BQ128+(1-EXP(-LN(2)/25))/(LN(2)/25)*Calculateur!BL129*Calculateur!BN129*VLOOKUP('Données projet'!$B$11,Paramètres!$A$1:$I$89,3,0)*0.475*44/12</f>
        <v>7.7712268736854799</v>
      </c>
      <c r="BR129" s="21">
        <f>EXP(-LN(2)/2)*BR128+(1-EXP(-LN(2)/2))/(LN(2)/2)*BL129*BO129*VLOOKUP('Données projet'!$B$11,Paramètres!$A$1:$I$89,3,0)*0.475*44/12</f>
        <v>6.9804306634880479E-9</v>
      </c>
      <c r="BS129" s="22">
        <f t="shared" si="63"/>
        <v>45.350561441277783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5.7330000000000014</v>
      </c>
      <c r="BY129" s="12">
        <f>IF('Données projet'!$A$114&gt;35,BY128+BX129-CG128,IF(A129&lt;'Données projet'!$A$114,$BV$205^A129,IF(A129='Données projet'!$A$114,'Données projet'!$B$114,BY128+BX129-CG128)))</f>
        <v>269.69500000000016</v>
      </c>
      <c r="BZ129" s="13">
        <f>BY129*VLOOKUP('Données projet'!$B$12,Paramètres!$A$1:$I$89,3,0)*VLOOKUP('Données projet'!$B$12,Paramètres!$A$1:$I$89,5,0)</f>
        <v>126.21726000000007</v>
      </c>
      <c r="CA129" s="13">
        <f t="shared" si="93"/>
        <v>33.120782644378309</v>
      </c>
      <c r="CB129" s="20">
        <f t="shared" si="64"/>
        <v>277.5137576056257</v>
      </c>
      <c r="CC129" s="59">
        <f t="shared" si="65"/>
        <v>570.84709093895901</v>
      </c>
      <c r="CD129" s="59">
        <f ca="1">AVERAGE(OFFSET($CC$3,0,0,'Données projet'!$E$12+1,1))-AVERAGE(OFFSET($H$3,0,0,'Données projet'!$E$12+1,1))</f>
        <v>337.10499990421835</v>
      </c>
      <c r="CE129" s="59">
        <f t="shared" si="94"/>
        <v>277.4254079562175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93.102719439371924</v>
      </c>
      <c r="CL129" s="21">
        <f>EXP(-LN(2)/25)*CL128+(1-EXP(-LN(2)/25))/(LN(2)/25)*Calculateur!CG129*Calculateur!CI129*VLOOKUP('Données projet'!$B$12,Paramètres!$A$1:$I$89,3,0)*0.475*44/12</f>
        <v>28.278496053686592</v>
      </c>
      <c r="CM129" s="21">
        <f>EXP(-LN(2)/2)*CM128+(1-EXP(-LN(2)/2))/(LN(2)/2)*CG129*CJ129*VLOOKUP('Données projet'!$B$12,Paramètres!$A$1:$I$89,3,0)*0.475*44/12</f>
        <v>4.4653677076074061</v>
      </c>
      <c r="CN129" s="22">
        <f t="shared" si="66"/>
        <v>125.84658320066592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7.1129999999999995</v>
      </c>
      <c r="CT129" s="12">
        <f>IF('Données projet'!$A$140&gt;35,CT128+CS129-DB128,IF(A129&lt;'Données projet'!$A$140,$CQ$205^A129,IF(A129='Données projet'!$A$140,'Données projet'!$B$140,CT128+CS129-DB128)))</f>
        <v>297.89200000000005</v>
      </c>
      <c r="CU129" s="17">
        <f>CT129*VLOOKUP('Données projet'!$B$13,Paramètres!$A$1:$I$89,3,0)*VLOOKUP('Données projet'!$B$13,Paramètres!$A$1:$I$89,5,0)</f>
        <v>297.41537280000006</v>
      </c>
      <c r="CV129" s="13">
        <f t="shared" si="95"/>
        <v>70.634353776180404</v>
      </c>
      <c r="CW129" s="20">
        <f t="shared" si="67"/>
        <v>641.01994045351421</v>
      </c>
      <c r="CX129" s="59">
        <f t="shared" si="68"/>
        <v>934.35327378684747</v>
      </c>
      <c r="CY129" s="59">
        <f ca="1">AVERAGE(OFFSET($CX$3,0,0,'Données projet'!$E$13+1,1))-AVERAGE(OFFSET($H$3,0,0,'Données projet'!$E$13+1,1))</f>
        <v>525.74725170626471</v>
      </c>
      <c r="CZ129" s="59">
        <f t="shared" si="96"/>
        <v>259.19103598192197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23.230484508911246</v>
      </c>
      <c r="DG129" s="21">
        <f>EXP(-LN(2)/25)*DG128+(1-EXP(-LN(2)/25))/(LN(2)/25)*Calculateur!DB129*Calculateur!DD129*VLOOKUP('Données projet'!$B$13,Paramètres!$A$1:$I$89,3,0)*0.475*44/12</f>
        <v>22.516200413540496</v>
      </c>
      <c r="DH129" s="21">
        <f>EXP(-LN(2)/2)*DH128+(1-EXP(-LN(2)/2))/(LN(2)/2)*DB129*DE129*VLOOKUP('Données projet'!$B$13,Paramètres!$A$1:$I$89,3,0)*0.475*44/12</f>
        <v>1.1245565905742221</v>
      </c>
      <c r="DI129" s="22">
        <f t="shared" si="69"/>
        <v>46.871241513025964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7.7849999999999966</v>
      </c>
      <c r="DO129" s="12">
        <f>IF('Données projet'!$A$166&gt;35,DO128+DN129-DW128,IF(A129&lt;'Données projet'!$A$166,$DL$205^A129,IF(A129='Données projet'!$A$166,'Données projet'!$B$166,DO128+DN129-DW128)))</f>
        <v>342.39500000000055</v>
      </c>
      <c r="DP129" s="17">
        <f>DO129*VLOOKUP('Données projet'!$B$14,Paramètres!$A$1:$I$89,3,0)*VLOOKUP('Données projet'!$B$14,Paramètres!$A$1:$I$89,5,0)</f>
        <v>309.7989960000005</v>
      </c>
      <c r="DQ129" s="13">
        <f t="shared" si="97"/>
        <v>73.226850951914003</v>
      </c>
      <c r="DR129" s="20">
        <f t="shared" si="70"/>
        <v>667.10335010791766</v>
      </c>
      <c r="DS129" s="59">
        <f t="shared" si="71"/>
        <v>960.43668344125103</v>
      </c>
      <c r="DT129" s="59">
        <f ca="1">AVERAGE(OFFSET($DS$3,0,0,'Données projet'!$E$14+1,1))-AVERAGE(OFFSET($H$3,0,0,'Données projet'!$E$14+1,1))</f>
        <v>490.06222615476065</v>
      </c>
      <c r="DU129" s="59">
        <f t="shared" si="98"/>
        <v>310.43914804089906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40.931545896669732</v>
      </c>
      <c r="EB129" s="21">
        <f>EXP(-LN(2)/25)*EB128+(1-EXP(-LN(2)/25))/(LN(2)/25)*Calculateur!DW129*Calculateur!DY129*VLOOKUP('Données projet'!$B$14,Paramètres!$A$1:$I$89,3,0)*0.475*44/12</f>
        <v>21.073521675712893</v>
      </c>
      <c r="EC129" s="21">
        <f>EXP(-LN(2)/2)*EC128+(1-EXP(-LN(2)/2))/(LN(2)/2)*DW129*DZ129*VLOOKUP('Données projet'!$B$14,Paramètres!$A$1:$I$89,3,0)*0.475*44/12</f>
        <v>1.7155466433468722E-3</v>
      </c>
      <c r="ED129" s="22">
        <f t="shared" si="72"/>
        <v>62.006783119025975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7.1129999999999995</v>
      </c>
      <c r="EJ129" s="12">
        <f>IF('Données projet'!$A$192&gt;35,EJ128+EI129-ER128,IF(A129&lt;'Données projet'!$A$192,$EG$205^A129,IF(A129='Données projet'!$A$192,'Données projet'!$B$192,EJ128+EI129-ER128)))</f>
        <v>297.89200000000005</v>
      </c>
      <c r="EK129" s="17">
        <f>EJ129*VLOOKUP('Données projet'!$B$15,Paramètres!$A$1:$I$89,3,0)*VLOOKUP('Données projet'!$B$15,Paramètres!$A$1:$I$89,5,0)</f>
        <v>302.06248800000009</v>
      </c>
      <c r="EL129" s="13">
        <f t="shared" si="99"/>
        <v>71.608667618813385</v>
      </c>
      <c r="EM129" s="20">
        <f t="shared" si="73"/>
        <v>650.81059603610004</v>
      </c>
      <c r="EN129" s="59">
        <f t="shared" si="74"/>
        <v>944.14392936943341</v>
      </c>
      <c r="EO129" s="59">
        <f ca="1">AVERAGE(OFFSET($EN$3,0,0,'Données projet'!$E$15+1,1))-AVERAGE(OFFSET($H$3,0,0,'Données projet'!$E$15+1,1))</f>
        <v>533.26035274112917</v>
      </c>
      <c r="EP129" s="59">
        <f t="shared" si="100"/>
        <v>262.58149402282521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23.593460829362979</v>
      </c>
      <c r="EW129" s="21">
        <f>EXP(-LN(2)/25)*EW128+(1-EXP(-LN(2)/25))/(LN(2)/25)*Calculateur!ER129*Calculateur!ET129*VLOOKUP('Données projet'!$B$15,Paramètres!$A$1:$I$89,3,0)*0.475*44/12</f>
        <v>22.868016045002062</v>
      </c>
      <c r="EX129" s="21">
        <f>EXP(-LN(2)/2)*EX128+(1-EXP(-LN(2)/2))/(LN(2)/2)*ER129*EU129*VLOOKUP('Données projet'!$B$15,Paramètres!$A$1:$I$89,3,0)*0.475*44/12</f>
        <v>1.1421277873019442</v>
      </c>
      <c r="EY129" s="22">
        <f t="shared" si="75"/>
        <v>47.603604661666985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239.26156489359892</v>
      </c>
      <c r="FK129" s="59">
        <f t="shared" si="102"/>
        <v>213.97034450798111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5.3010012944966318</v>
      </c>
      <c r="FR129" s="21">
        <f>EXP(-LN(2)/25)*FR128+(1-EXP(-LN(2)/25))/(LN(2)/25)*Calculateur!FM129*Calculateur!FO129*VLOOKUP('Données projet'!$B$16,Paramètres!$A$1:$I$89,3,0)*0.475*44/12</f>
        <v>23.537789742334088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28.83879103683072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151.47999999999999</v>
      </c>
      <c r="L130" s="12">
        <f>VLOOKUP(A130,'Données projet'!$A$35:$I$55,9,0)</f>
        <v>3.3249999999999886</v>
      </c>
      <c r="M130" s="12">
        <f t="array" ref="M130">INDEX(L:L,MIN(IF(ISNUMBER(L130:L326),ROW(L130:L326),"")))</f>
        <v>3.3249999999999886</v>
      </c>
      <c r="N130" s="13">
        <f>IF('Données projet'!$A$36&gt;35,N129+M130-V129,IF(A130&lt;'Données projet'!$A$36,$K$205^A130,IF(A130='Données projet'!$A$36,'Données projet'!$B$36,N129+M130-V129)))</f>
        <v>151.48000000000025</v>
      </c>
      <c r="O130" s="13">
        <f>N130*VLOOKUP('Données projet'!$B$9,Paramètres!$A$1:$I$89,3,0)*VLOOKUP('Données projet'!$B$9,Paramètres!$A$1:$I$89,5,0)</f>
        <v>144.14836800000023</v>
      </c>
      <c r="P130" s="13">
        <f t="shared" si="87"/>
        <v>37.245717260811411</v>
      </c>
      <c r="Q130" s="20">
        <f t="shared" si="107"/>
        <v>315.92803182924689</v>
      </c>
      <c r="R130" s="59">
        <f t="shared" si="55"/>
        <v>609.2613651625802</v>
      </c>
      <c r="S130" s="59">
        <f ca="1">AVERAGE(OFFSET($R$3,0,0,'Données projet'!$E$9+1,1))-AVERAGE(OFFSET($H$3,0,0,'Données projet'!$E$9+1,1))</f>
        <v>449.28947235329758</v>
      </c>
      <c r="T130" s="59">
        <f t="shared" si="88"/>
        <v>289.36994109443964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46.039999999999992</v>
      </c>
      <c r="W130" s="16">
        <f>IF(ISNA(VLOOKUP(A130,'Données projet'!$A$35:$I$55,5,0)),0%,VLOOKUP(A130,'Données projet'!$A$35:$I$55,5,0)*VLOOKUP('Données projet'!$B$9,Paramètres!$A$1:$I$89,7,0))</f>
        <v>0.19350000000000001</v>
      </c>
      <c r="X130" s="16">
        <f>IF(ISNA(VLOOKUP(A130,'Données projet'!$A$35:$I$55,6,0)),0%,VLOOKUP(A130,'Données projet'!$A$35:$I$55,6,0)*VLOOKUP('Données projet'!$B$9,Paramètres!$A$1:$I$89,7,0))</f>
        <v>2.1500000000000002E-2</v>
      </c>
      <c r="Y130" s="16">
        <f>IF(ISNA(VLOOKUP(A130,'Données projet'!$A$35:$I$55,7,0)),0%,VLOOKUP(A130,'Données projet'!$A$35:$I$55,7,0))</f>
        <v>0.05</v>
      </c>
      <c r="Z130" s="21">
        <f>EXP(-LN(2)/35)*Z129+(1-EXP(-LN(2)/35))/(LN(2)/35)*V130*W130*VLOOKUP('Données projet'!$B$9,Paramètres!$A$1:$I$89,3,0)*0.475*44/12</f>
        <v>101.72665075790898</v>
      </c>
      <c r="AA130" s="21">
        <f>EXP(-LN(2)/25)*AA129+(1-EXP(-LN(2)/25))/(LN(2)/25)*Calculateur!V130*Calculateur!X130*VLOOKUP('Données projet'!$B$9,Paramètres!$A$1:$I$89,3,0)*0.475*44/12</f>
        <v>24.145743276292311</v>
      </c>
      <c r="AB130" s="21">
        <f>EXP(-LN(2)/2)*AB129+(1-EXP(-LN(2)/2))/(LN(2)/2)*V130*Y130*VLOOKUP('Données projet'!$B$9,Paramètres!$A$1:$I$89,3,0)*0.475*44/12</f>
        <v>5.9390097363253265</v>
      </c>
      <c r="AC130" s="22">
        <f t="shared" si="57"/>
        <v>131.81140377052662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-2.2737367544323206E-13</v>
      </c>
      <c r="AJ130" s="13">
        <f>AI130*VLOOKUP('Données projet'!$B$10,Paramètres!$A$1:$I$89,3,0)*VLOOKUP('Données projet'!$B$10,Paramètres!$A$1:$I$89,5,0)</f>
        <v>-1.3596945791505279E-13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349.71285006949597</v>
      </c>
      <c r="AO130" s="59">
        <f t="shared" si="90"/>
        <v>258.51550516456842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60.42403309920212</v>
      </c>
      <c r="AV130" s="21">
        <f>EXP(-LN(2)/25)*AV129+(1-EXP(-LN(2)/25))/(LN(2)/25)*Calculateur!AQ130*Calculateur!AS130*VLOOKUP('Données projet'!$B$10,Paramètres!$A$1:$I$89,3,0)*0.475*44/12</f>
        <v>14.058103459430178</v>
      </c>
      <c r="AW130" s="21">
        <f>EXP(-LN(2)/2)*AW129+(1-EXP(-LN(2)/2))/(LN(2)/2)*AQ130*AT130*VLOOKUP('Données projet'!$B$10,Paramètres!$A$1:$I$89,3,0)*0.475*44/12</f>
        <v>5.9609672626830967E-6</v>
      </c>
      <c r="AX130" s="21">
        <f t="shared" si="60"/>
        <v>74.482142519599563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1.1368683772161603E-13</v>
      </c>
      <c r="BE130" s="13">
        <f>BD130*VLOOKUP('Données projet'!$B$11,Paramètres!$A$1:$I$89,3,0)*VLOOKUP('Données projet'!$B$11,Paramètres!$A$1:$I$89,5,0)</f>
        <v>6.7984728957526396E-14</v>
      </c>
      <c r="BF130" s="13">
        <f t="shared" si="91"/>
        <v>1.0682447123141398E-12</v>
      </c>
      <c r="BG130" s="20">
        <f t="shared" si="61"/>
        <v>1.978932943548152E-12</v>
      </c>
      <c r="BH130" s="59">
        <f t="shared" si="62"/>
        <v>293.3333333333353</v>
      </c>
      <c r="BI130" s="59">
        <f ca="1">AVERAGE(OFFSET($BH$3,0,0,'Données projet'!$E$11+1,1))-AVERAGE(OFFSET($H$3,0,0,'Données projet'!$E$11+1,1))</f>
        <v>302.00825291248458</v>
      </c>
      <c r="BJ130" s="59">
        <f t="shared" si="92"/>
        <v>307.35115839449355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36.842426731009084</v>
      </c>
      <c r="BQ130" s="21">
        <f>EXP(-LN(2)/25)*BQ129+(1-EXP(-LN(2)/25))/(LN(2)/25)*Calculateur!BL130*Calculateur!BN130*VLOOKUP('Données projet'!$B$11,Paramètres!$A$1:$I$89,3,0)*0.475*44/12</f>
        <v>7.5587222661534907</v>
      </c>
      <c r="BR130" s="21">
        <f>EXP(-LN(2)/2)*BR129+(1-EXP(-LN(2)/2))/(LN(2)/2)*BL130*BO130*VLOOKUP('Données projet'!$B$11,Paramètres!$A$1:$I$89,3,0)*0.475*44/12</f>
        <v>4.9359098577549098E-9</v>
      </c>
      <c r="BS130" s="22">
        <f t="shared" si="63"/>
        <v>44.401149002098485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5.7330000000000014</v>
      </c>
      <c r="BY130" s="12">
        <f>IF('Données projet'!$A$114&gt;35,BY129+BX130-CG129,IF(A130&lt;'Données projet'!$A$114,$BV$205^A130,IF(A130='Données projet'!$A$114,'Données projet'!$B$114,BY129+BX130-CG129)))</f>
        <v>275.42800000000017</v>
      </c>
      <c r="BZ130" s="13">
        <f>BY130*VLOOKUP('Données projet'!$B$12,Paramètres!$A$1:$I$89,3,0)*VLOOKUP('Données projet'!$B$12,Paramètres!$A$1:$I$89,5,0)</f>
        <v>128.90030400000006</v>
      </c>
      <c r="CA130" s="13">
        <f t="shared" si="93"/>
        <v>33.74212637546124</v>
      </c>
      <c r="CB130" s="20">
        <f t="shared" si="64"/>
        <v>283.26889957059507</v>
      </c>
      <c r="CC130" s="59">
        <f t="shared" si="65"/>
        <v>576.60223290392832</v>
      </c>
      <c r="CD130" s="59">
        <f ca="1">AVERAGE(OFFSET($CC$3,0,0,'Données projet'!$E$12+1,1))-AVERAGE(OFFSET($H$3,0,0,'Données projet'!$E$12+1,1))</f>
        <v>337.10499990421835</v>
      </c>
      <c r="CE130" s="59">
        <f t="shared" si="94"/>
        <v>277.4254079562175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91.277031898217444</v>
      </c>
      <c r="CL130" s="21">
        <f>EXP(-LN(2)/25)*CL129+(1-EXP(-LN(2)/25))/(LN(2)/25)*Calculateur!CG130*Calculateur!CI130*VLOOKUP('Données projet'!$B$12,Paramètres!$A$1:$I$89,3,0)*0.475*44/12</f>
        <v>27.505219091997056</v>
      </c>
      <c r="CM130" s="21">
        <f>EXP(-LN(2)/2)*CM129+(1-EXP(-LN(2)/2))/(LN(2)/2)*CG130*CJ130*VLOOKUP('Données projet'!$B$12,Paramètres!$A$1:$I$89,3,0)*0.475*44/12</f>
        <v>3.1574917865406258</v>
      </c>
      <c r="CN130" s="22">
        <f t="shared" si="66"/>
        <v>121.93974277675512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7.1129999999999995</v>
      </c>
      <c r="CT130" s="12">
        <f>IF('Données projet'!$A$140&gt;35,CT129+CS130-DB129,IF(A130&lt;'Données projet'!$A$140,$CQ$205^A130,IF(A130='Données projet'!$A$140,'Données projet'!$B$140,CT129+CS130-DB129)))</f>
        <v>305.00500000000005</v>
      </c>
      <c r="CU130" s="17">
        <f>CT130*VLOOKUP('Données projet'!$B$13,Paramètres!$A$1:$I$89,3,0)*VLOOKUP('Données projet'!$B$13,Paramètres!$A$1:$I$89,5,0)</f>
        <v>304.51699200000007</v>
      </c>
      <c r="CV130" s="13">
        <f t="shared" si="95"/>
        <v>72.122573315382965</v>
      </c>
      <c r="CW130" s="20">
        <f t="shared" si="67"/>
        <v>655.98057625762533</v>
      </c>
      <c r="CX130" s="59">
        <f t="shared" si="68"/>
        <v>949.3139095909587</v>
      </c>
      <c r="CY130" s="59">
        <f ca="1">AVERAGE(OFFSET($CX$3,0,0,'Données projet'!$E$13+1,1))-AVERAGE(OFFSET($H$3,0,0,'Données projet'!$E$13+1,1))</f>
        <v>525.74725170626471</v>
      </c>
      <c r="CZ130" s="59">
        <f t="shared" si="96"/>
        <v>259.19103598192197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22.774948876887954</v>
      </c>
      <c r="DG130" s="21">
        <f>EXP(-LN(2)/25)*DG129+(1-EXP(-LN(2)/25))/(LN(2)/25)*Calculateur!DB130*Calculateur!DD130*VLOOKUP('Données projet'!$B$13,Paramètres!$A$1:$I$89,3,0)*0.475*44/12</f>
        <v>21.900493729156711</v>
      </c>
      <c r="DH130" s="21">
        <f>EXP(-LN(2)/2)*DH129+(1-EXP(-LN(2)/2))/(LN(2)/2)*DB130*DE130*VLOOKUP('Données projet'!$B$13,Paramètres!$A$1:$I$89,3,0)*0.475*44/12</f>
        <v>0.79518159102305641</v>
      </c>
      <c r="DI130" s="22">
        <f t="shared" si="69"/>
        <v>45.470624197067728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7.7849999999999966</v>
      </c>
      <c r="DO130" s="12">
        <f>IF('Données projet'!$A$166&gt;35,DO129+DN130-DW129,IF(A130&lt;'Données projet'!$A$166,$DL$205^A130,IF(A130='Données projet'!$A$166,'Données projet'!$B$166,DO129+DN130-DW129)))</f>
        <v>350.18000000000052</v>
      </c>
      <c r="DP130" s="17">
        <f>DO130*VLOOKUP('Données projet'!$B$14,Paramètres!$A$1:$I$89,3,0)*VLOOKUP('Données projet'!$B$14,Paramètres!$A$1:$I$89,5,0)</f>
        <v>316.84286400000047</v>
      </c>
      <c r="DQ130" s="13">
        <f t="shared" si="97"/>
        <v>74.696071529813665</v>
      </c>
      <c r="DR130" s="20">
        <f t="shared" si="70"/>
        <v>681.93031271442624</v>
      </c>
      <c r="DS130" s="59">
        <f t="shared" si="71"/>
        <v>975.26364604775949</v>
      </c>
      <c r="DT130" s="59">
        <f ca="1">AVERAGE(OFFSET($DS$3,0,0,'Données projet'!$E$14+1,1))-AVERAGE(OFFSET($H$3,0,0,'Données projet'!$E$14+1,1))</f>
        <v>490.06222615476065</v>
      </c>
      <c r="DU130" s="59">
        <f t="shared" si="98"/>
        <v>310.43914804089906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40.128903247413866</v>
      </c>
      <c r="EB130" s="21">
        <f>EXP(-LN(2)/25)*EB129+(1-EXP(-LN(2)/25))/(LN(2)/25)*Calculateur!DW130*Calculateur!DY130*VLOOKUP('Données projet'!$B$14,Paramètres!$A$1:$I$89,3,0)*0.475*44/12</f>
        <v>20.497265117282183</v>
      </c>
      <c r="EC130" s="21">
        <f>EXP(-LN(2)/2)*EC129+(1-EXP(-LN(2)/2))/(LN(2)/2)*DW130*DZ130*VLOOKUP('Données projet'!$B$14,Paramètres!$A$1:$I$89,3,0)*0.475*44/12</f>
        <v>1.2130746649523928E-3</v>
      </c>
      <c r="ED130" s="22">
        <f t="shared" si="72"/>
        <v>60.627381439361002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7.1129999999999995</v>
      </c>
      <c r="EJ130" s="12">
        <f>IF('Données projet'!$A$192&gt;35,EJ129+EI130-ER129,IF(A130&lt;'Données projet'!$A$192,$EG$205^A130,IF(A130='Données projet'!$A$192,'Données projet'!$B$192,EJ129+EI130-ER129)))</f>
        <v>305.00500000000005</v>
      </c>
      <c r="EK130" s="17">
        <f>EJ130*VLOOKUP('Données projet'!$B$15,Paramètres!$A$1:$I$89,3,0)*VLOOKUP('Données projet'!$B$15,Paramètres!$A$1:$I$89,5,0)</f>
        <v>309.27507000000008</v>
      </c>
      <c r="EL130" s="13">
        <f t="shared" si="99"/>
        <v>73.117415312099666</v>
      </c>
      <c r="EM130" s="20">
        <f t="shared" si="73"/>
        <v>666.00024525190713</v>
      </c>
      <c r="EN130" s="59">
        <f t="shared" si="74"/>
        <v>959.3335785852405</v>
      </c>
      <c r="EO130" s="59">
        <f ca="1">AVERAGE(OFFSET($EN$3,0,0,'Données projet'!$E$15+1,1))-AVERAGE(OFFSET($H$3,0,0,'Données projet'!$E$15+1,1))</f>
        <v>533.26035274112917</v>
      </c>
      <c r="EP130" s="59">
        <f t="shared" si="100"/>
        <v>262.58149402282521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23.130807453089325</v>
      </c>
      <c r="EW130" s="21">
        <f>EXP(-LN(2)/25)*EW129+(1-EXP(-LN(2)/25))/(LN(2)/25)*Calculateur!ER130*Calculateur!ET130*VLOOKUP('Données projet'!$B$15,Paramètres!$A$1:$I$89,3,0)*0.475*44/12</f>
        <v>22.242688943674782</v>
      </c>
      <c r="EX130" s="21">
        <f>EXP(-LN(2)/2)*EX129+(1-EXP(-LN(2)/2))/(LN(2)/2)*ER130*EU130*VLOOKUP('Données projet'!$B$15,Paramètres!$A$1:$I$89,3,0)*0.475*44/12</f>
        <v>0.8076063033827916</v>
      </c>
      <c r="EY130" s="22">
        <f t="shared" si="75"/>
        <v>46.181102700146901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239.26156489359892</v>
      </c>
      <c r="FK130" s="59">
        <f t="shared" si="102"/>
        <v>213.97034450798111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5.1970518924030813</v>
      </c>
      <c r="FR130" s="21">
        <f>EXP(-LN(2)/25)*FR129+(1-EXP(-LN(2)/25))/(LN(2)/25)*Calculateur!FM130*Calculateur!FO130*VLOOKUP('Données projet'!$B$16,Paramètres!$A$1:$I$89,3,0)*0.475*44/12</f>
        <v>22.894147644031396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28.091199536434477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2.4366666666666674</v>
      </c>
      <c r="N131" s="13">
        <f>IF('Données projet'!$A$36&gt;35,N130+M131-V130,IF(A131&lt;'Données projet'!$A$36,$K$205^A131,IF(A131='Données projet'!$A$36,'Données projet'!$B$36,N130+M131-V130)))</f>
        <v>107.87666666666692</v>
      </c>
      <c r="O131" s="13">
        <f>N131*VLOOKUP('Données projet'!$B$9,Paramètres!$A$1:$I$89,3,0)*VLOOKUP('Données projet'!$B$9,Paramètres!$A$1:$I$89,5,0)</f>
        <v>102.65543600000025</v>
      </c>
      <c r="P131" s="13">
        <f t="shared" si="87"/>
        <v>27.593650392739352</v>
      </c>
      <c r="Q131" s="20">
        <f t="shared" ref="Q131:Q153" si="108">(O131+P131)*0.475*44/12</f>
        <v>226.85049213402147</v>
      </c>
      <c r="R131" s="59">
        <f t="shared" ref="R131:R194" si="109">Q131+(I131+J131)*44/12</f>
        <v>520.18382546735484</v>
      </c>
      <c r="S131" s="59">
        <f ca="1">AVERAGE(OFFSET($R$3,0,0,'Données projet'!$E$9+1,1))-AVERAGE(OFFSET($H$3,0,0,'Données projet'!$E$9+1,1))</f>
        <v>449.28947235329758</v>
      </c>
      <c r="T131" s="59">
        <f t="shared" si="88"/>
        <v>289.36994109443964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99.731853183676705</v>
      </c>
      <c r="AA131" s="21">
        <f>EXP(-LN(2)/25)*AA130+(1-EXP(-LN(2)/25))/(LN(2)/25)*Calculateur!V131*Calculateur!X131*VLOOKUP('Données projet'!$B$9,Paramètres!$A$1:$I$89,3,0)*0.475*44/12</f>
        <v>23.485476656632645</v>
      </c>
      <c r="AB131" s="21">
        <f>EXP(-LN(2)/2)*AB130+(1-EXP(-LN(2)/2))/(LN(2)/2)*V131*Y131*VLOOKUP('Données projet'!$B$9,Paramètres!$A$1:$I$89,3,0)*0.475*44/12</f>
        <v>4.1995140580885684</v>
      </c>
      <c r="AC131" s="22">
        <f t="shared" si="57"/>
        <v>127.41684389839791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-2.2737367544323206E-13</v>
      </c>
      <c r="AJ131" s="13">
        <f>AI131*VLOOKUP('Données projet'!$B$10,Paramètres!$A$1:$I$89,3,0)*VLOOKUP('Données projet'!$B$10,Paramètres!$A$1:$I$89,5,0)</f>
        <v>-1.3596945791505279E-13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349.71285006949597</v>
      </c>
      <c r="AO131" s="59">
        <f t="shared" si="90"/>
        <v>258.51550516456842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59.239154665147829</v>
      </c>
      <c r="AV131" s="21">
        <f>EXP(-LN(2)/25)*AV130+(1-EXP(-LN(2)/25))/(LN(2)/25)*Calculateur!AQ131*Calculateur!AS131*VLOOKUP('Données projet'!$B$10,Paramètres!$A$1:$I$89,3,0)*0.475*44/12</f>
        <v>13.673683881048529</v>
      </c>
      <c r="AW131" s="21">
        <f>EXP(-LN(2)/2)*AW130+(1-EXP(-LN(2)/2))/(LN(2)/2)*AQ131*AT131*VLOOKUP('Données projet'!$B$10,Paramètres!$A$1:$I$89,3,0)*0.475*44/12</f>
        <v>4.2150403738742296E-6</v>
      </c>
      <c r="AX131" s="21">
        <f t="shared" si="60"/>
        <v>72.912842761236732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1.1368683772161603E-13</v>
      </c>
      <c r="BE131" s="13">
        <f>BD131*VLOOKUP('Données projet'!$B$11,Paramètres!$A$1:$I$89,3,0)*VLOOKUP('Données projet'!$B$11,Paramètres!$A$1:$I$89,5,0)</f>
        <v>6.7984728957526396E-14</v>
      </c>
      <c r="BF131" s="13">
        <f t="shared" si="91"/>
        <v>1.0682447123141398E-12</v>
      </c>
      <c r="BG131" s="20">
        <f t="shared" si="61"/>
        <v>1.978932943548152E-12</v>
      </c>
      <c r="BH131" s="59">
        <f t="shared" si="62"/>
        <v>293.3333333333353</v>
      </c>
      <c r="BI131" s="59">
        <f ca="1">AVERAGE(OFFSET($BH$3,0,0,'Données projet'!$E$11+1,1))-AVERAGE(OFFSET($H$3,0,0,'Données projet'!$E$11+1,1))</f>
        <v>302.00825291248458</v>
      </c>
      <c r="BJ131" s="59">
        <f t="shared" si="92"/>
        <v>307.35115839449355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36.119969214475411</v>
      </c>
      <c r="BQ131" s="21">
        <f>EXP(-LN(2)/25)*BQ130+(1-EXP(-LN(2)/25))/(LN(2)/25)*Calculateur!BL131*Calculateur!BN131*VLOOKUP('Données projet'!$B$11,Paramètres!$A$1:$I$89,3,0)*0.475*44/12</f>
        <v>7.3520286082895954</v>
      </c>
      <c r="BR131" s="21">
        <f>EXP(-LN(2)/2)*BR130+(1-EXP(-LN(2)/2))/(LN(2)/2)*BL131*BO131*VLOOKUP('Données projet'!$B$11,Paramètres!$A$1:$I$89,3,0)*0.475*44/12</f>
        <v>3.4902153317440239E-9</v>
      </c>
      <c r="BS131" s="22">
        <f t="shared" si="63"/>
        <v>43.471997826255219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5.7330000000000014</v>
      </c>
      <c r="BY131" s="12">
        <f>IF('Données projet'!$A$114&gt;35,BY130+BX131-CG130,IF(A131&lt;'Données projet'!$A$114,$BV$205^A131,IF(A131='Données projet'!$A$114,'Données projet'!$B$114,BY130+BX131-CG130)))</f>
        <v>281.16100000000017</v>
      </c>
      <c r="BZ131" s="13">
        <f>BY131*VLOOKUP('Données projet'!$B$12,Paramètres!$A$1:$I$89,3,0)*VLOOKUP('Données projet'!$B$12,Paramètres!$A$1:$I$89,5,0)</f>
        <v>131.58334800000009</v>
      </c>
      <c r="CA131" s="13">
        <f t="shared" si="93"/>
        <v>34.361966390286234</v>
      </c>
      <c r="CB131" s="20">
        <f t="shared" si="64"/>
        <v>289.02142256308201</v>
      </c>
      <c r="CC131" s="59">
        <f t="shared" si="65"/>
        <v>582.35475589641533</v>
      </c>
      <c r="CD131" s="59">
        <f ca="1">AVERAGE(OFFSET($CC$3,0,0,'Données projet'!$E$12+1,1))-AVERAGE(OFFSET($H$3,0,0,'Données projet'!$E$12+1,1))</f>
        <v>337.10499990421835</v>
      </c>
      <c r="CE131" s="59">
        <f t="shared" si="94"/>
        <v>277.4254079562175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89.487144976185562</v>
      </c>
      <c r="CL131" s="21">
        <f>EXP(-LN(2)/25)*CL130+(1-EXP(-LN(2)/25))/(LN(2)/25)*Calculateur!CG131*Calculateur!CI131*VLOOKUP('Données projet'!$B$12,Paramètres!$A$1:$I$89,3,0)*0.475*44/12</f>
        <v>26.753087429489788</v>
      </c>
      <c r="CM131" s="21">
        <f>EXP(-LN(2)/2)*CM130+(1-EXP(-LN(2)/2))/(LN(2)/2)*CG131*CJ131*VLOOKUP('Données projet'!$B$12,Paramètres!$A$1:$I$89,3,0)*0.475*44/12</f>
        <v>2.2326838538037035</v>
      </c>
      <c r="CN131" s="22">
        <f t="shared" si="66"/>
        <v>118.47291625947906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7.1129999999999995</v>
      </c>
      <c r="CT131" s="12">
        <f>IF('Données projet'!$A$140&gt;35,CT130+CS131-DB130,IF(A131&lt;'Données projet'!$A$140,$CQ$205^A131,IF(A131='Données projet'!$A$140,'Données projet'!$B$140,CT130+CS131-DB130)))</f>
        <v>312.11800000000005</v>
      </c>
      <c r="CU131" s="17">
        <f>CT131*VLOOKUP('Données projet'!$B$13,Paramètres!$A$1:$I$89,3,0)*VLOOKUP('Données projet'!$B$13,Paramètres!$A$1:$I$89,5,0)</f>
        <v>311.61861120000009</v>
      </c>
      <c r="CV131" s="13">
        <f t="shared" si="95"/>
        <v>73.606758090785334</v>
      </c>
      <c r="CW131" s="20">
        <f t="shared" si="67"/>
        <v>670.93418484811787</v>
      </c>
      <c r="CX131" s="59">
        <f t="shared" si="68"/>
        <v>964.26751818145112</v>
      </c>
      <c r="CY131" s="59">
        <f ca="1">AVERAGE(OFFSET($CX$3,0,0,'Données projet'!$E$13+1,1))-AVERAGE(OFFSET($H$3,0,0,'Données projet'!$E$13+1,1))</f>
        <v>525.74725170626471</v>
      </c>
      <c r="CZ131" s="59">
        <f t="shared" si="96"/>
        <v>259.19103598192197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22.328346020759341</v>
      </c>
      <c r="DG131" s="21">
        <f>EXP(-LN(2)/25)*DG130+(1-EXP(-LN(2)/25))/(LN(2)/25)*Calculateur!DB131*Calculateur!DD131*VLOOKUP('Données projet'!$B$13,Paramètres!$A$1:$I$89,3,0)*0.475*44/12</f>
        <v>21.301623576436011</v>
      </c>
      <c r="DH131" s="21">
        <f>EXP(-LN(2)/2)*DH130+(1-EXP(-LN(2)/2))/(LN(2)/2)*DB131*DE131*VLOOKUP('Données projet'!$B$13,Paramètres!$A$1:$I$89,3,0)*0.475*44/12</f>
        <v>0.56227829528711115</v>
      </c>
      <c r="DI131" s="22">
        <f t="shared" si="69"/>
        <v>44.192247892482463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7.7849999999999966</v>
      </c>
      <c r="DO131" s="12">
        <f>IF('Données projet'!$A$166&gt;35,DO130+DN131-DW130,IF(A131&lt;'Données projet'!$A$166,$DL$205^A131,IF(A131='Données projet'!$A$166,'Données projet'!$B$166,DO130+DN131-DW130)))</f>
        <v>357.96500000000049</v>
      </c>
      <c r="DP131" s="17">
        <f>DO131*VLOOKUP('Données projet'!$B$14,Paramètres!$A$1:$I$89,3,0)*VLOOKUP('Données projet'!$B$14,Paramètres!$A$1:$I$89,5,0)</f>
        <v>323.88673200000045</v>
      </c>
      <c r="DQ131" s="13">
        <f t="shared" si="97"/>
        <v>76.161494734560648</v>
      </c>
      <c r="DR131" s="20">
        <f t="shared" si="70"/>
        <v>696.75066156269395</v>
      </c>
      <c r="DS131" s="59">
        <f t="shared" si="71"/>
        <v>990.08399489602721</v>
      </c>
      <c r="DT131" s="59">
        <f ca="1">AVERAGE(OFFSET($DS$3,0,0,'Données projet'!$E$14+1,1))-AVERAGE(OFFSET($H$3,0,0,'Données projet'!$E$14+1,1))</f>
        <v>490.06222615476065</v>
      </c>
      <c r="DU131" s="59">
        <f t="shared" si="98"/>
        <v>310.43914804089906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39.341999930946237</v>
      </c>
      <c r="EB131" s="21">
        <f>EXP(-LN(2)/25)*EB130+(1-EXP(-LN(2)/25))/(LN(2)/25)*Calculateur!DW131*Calculateur!DY131*VLOOKUP('Données projet'!$B$14,Paramètres!$A$1:$I$89,3,0)*0.475*44/12</f>
        <v>19.936766324745776</v>
      </c>
      <c r="EC131" s="21">
        <f>EXP(-LN(2)/2)*EC130+(1-EXP(-LN(2)/2))/(LN(2)/2)*DW131*DZ131*VLOOKUP('Données projet'!$B$14,Paramètres!$A$1:$I$89,3,0)*0.475*44/12</f>
        <v>8.5777332167343609E-4</v>
      </c>
      <c r="ED131" s="22">
        <f t="shared" si="72"/>
        <v>59.279624029013689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7.1129999999999995</v>
      </c>
      <c r="EJ131" s="12">
        <f>IF('Données projet'!$A$192&gt;35,EJ130+EI131-ER130,IF(A131&lt;'Données projet'!$A$192,$EG$205^A131,IF(A131='Données projet'!$A$192,'Données projet'!$B$192,EJ130+EI131-ER130)))</f>
        <v>312.11800000000005</v>
      </c>
      <c r="EK131" s="17">
        <f>EJ131*VLOOKUP('Données projet'!$B$15,Paramètres!$A$1:$I$89,3,0)*VLOOKUP('Données projet'!$B$15,Paramètres!$A$1:$I$89,5,0)</f>
        <v>316.48765200000008</v>
      </c>
      <c r="EL131" s="13">
        <f t="shared" si="99"/>
        <v>74.622072586992616</v>
      </c>
      <c r="EM131" s="20">
        <f t="shared" si="73"/>
        <v>681.18277032234562</v>
      </c>
      <c r="EN131" s="59">
        <f t="shared" si="74"/>
        <v>974.51610365567899</v>
      </c>
      <c r="EO131" s="59">
        <f ca="1">AVERAGE(OFFSET($EN$3,0,0,'Données projet'!$E$15+1,1))-AVERAGE(OFFSET($H$3,0,0,'Données projet'!$E$15+1,1))</f>
        <v>533.26035274112917</v>
      </c>
      <c r="EP131" s="59">
        <f t="shared" si="100"/>
        <v>262.58149402282521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22.6772264273337</v>
      </c>
      <c r="EW131" s="21">
        <f>EXP(-LN(2)/25)*EW130+(1-EXP(-LN(2)/25))/(LN(2)/25)*Calculateur!ER131*Calculateur!ET131*VLOOKUP('Données projet'!$B$15,Paramètres!$A$1:$I$89,3,0)*0.475*44/12</f>
        <v>21.63446144481782</v>
      </c>
      <c r="EX131" s="21">
        <f>EXP(-LN(2)/2)*EX130+(1-EXP(-LN(2)/2))/(LN(2)/2)*ER131*EU131*VLOOKUP('Données projet'!$B$15,Paramètres!$A$1:$I$89,3,0)*0.475*44/12</f>
        <v>0.57106389365097221</v>
      </c>
      <c r="EY131" s="22">
        <f t="shared" si="75"/>
        <v>44.882751765802496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239.26156489359892</v>
      </c>
      <c r="FK131" s="59">
        <f t="shared" si="102"/>
        <v>213.97034450798111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5.0951408746817108</v>
      </c>
      <c r="FR131" s="21">
        <f>EXP(-LN(2)/25)*FR130+(1-EXP(-LN(2)/25))/(LN(2)/25)*Calculateur!FM131*Calculateur!FO131*VLOOKUP('Données projet'!$B$16,Paramètres!$A$1:$I$89,3,0)*0.475*44/12</f>
        <v>22.268105972754459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27.363246847436169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2.4366666666666674</v>
      </c>
      <c r="N132" s="13">
        <f>IF('Données projet'!$A$36&gt;35,N131+M132-V131,IF(A132&lt;'Données projet'!$A$36,$K$205^A132,IF(A132='Données projet'!$A$36,'Données projet'!$B$36,N131+M132-V131)))</f>
        <v>110.31333333333359</v>
      </c>
      <c r="O132" s="13">
        <f>N132*VLOOKUP('Données projet'!$B$9,Paramètres!$A$1:$I$89,3,0)*VLOOKUP('Données projet'!$B$9,Paramètres!$A$1:$I$89,5,0)</f>
        <v>104.97416800000025</v>
      </c>
      <c r="P132" s="13">
        <f t="shared" si="87"/>
        <v>28.143655751142813</v>
      </c>
      <c r="Q132" s="20">
        <f t="shared" si="108"/>
        <v>231.84687636657415</v>
      </c>
      <c r="R132" s="59">
        <f t="shared" si="109"/>
        <v>525.18020969990744</v>
      </c>
      <c r="S132" s="59">
        <f ca="1">AVERAGE(OFFSET($R$3,0,0,'Données projet'!$E$9+1,1))-AVERAGE(OFFSET($H$3,0,0,'Données projet'!$E$9+1,1))</f>
        <v>449.28947235329758</v>
      </c>
      <c r="T132" s="59">
        <f t="shared" si="88"/>
        <v>289.36994109443964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97.776172373168748</v>
      </c>
      <c r="AA132" s="21">
        <f>EXP(-LN(2)/25)*AA131+(1-EXP(-LN(2)/25))/(LN(2)/25)*Calculateur!V132*Calculateur!X132*VLOOKUP('Données projet'!$B$9,Paramètres!$A$1:$I$89,3,0)*0.475*44/12</f>
        <v>22.843265062409486</v>
      </c>
      <c r="AB132" s="21">
        <f>EXP(-LN(2)/2)*AB131+(1-EXP(-LN(2)/2))/(LN(2)/2)*V132*Y132*VLOOKUP('Données projet'!$B$9,Paramètres!$A$1:$I$89,3,0)*0.475*44/12</f>
        <v>2.9695048681626637</v>
      </c>
      <c r="AC132" s="22">
        <f t="shared" ref="AC132:AC153" si="111">SUM(Z132:AB132)</f>
        <v>123.58894230374089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-2.2737367544323206E-13</v>
      </c>
      <c r="AJ132" s="13">
        <f>AI132*VLOOKUP('Données projet'!$B$10,Paramètres!$A$1:$I$89,3,0)*VLOOKUP('Données projet'!$B$10,Paramètres!$A$1:$I$89,5,0)</f>
        <v>-1.3596945791505279E-13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349.71285006949597</v>
      </c>
      <c r="AO132" s="59">
        <f t="shared" si="90"/>
        <v>258.51550516456842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58.077510974480859</v>
      </c>
      <c r="AV132" s="21">
        <f>EXP(-LN(2)/25)*AV131+(1-EXP(-LN(2)/25))/(LN(2)/25)*Calculateur!AQ132*Calculateur!AS132*VLOOKUP('Données projet'!$B$10,Paramètres!$A$1:$I$89,3,0)*0.475*44/12</f>
        <v>13.299776276253473</v>
      </c>
      <c r="AW132" s="21">
        <f>EXP(-LN(2)/2)*AW131+(1-EXP(-LN(2)/2))/(LN(2)/2)*AQ132*AT132*VLOOKUP('Données projet'!$B$10,Paramètres!$A$1:$I$89,3,0)*0.475*44/12</f>
        <v>2.9804836313415484E-6</v>
      </c>
      <c r="AX132" s="21">
        <f t="shared" ref="AX132:AX153" si="114">SUM(AU132:AW132)</f>
        <v>71.377290231217955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1.1368683772161603E-13</v>
      </c>
      <c r="BE132" s="13">
        <f>BD132*VLOOKUP('Données projet'!$B$11,Paramètres!$A$1:$I$89,3,0)*VLOOKUP('Données projet'!$B$11,Paramètres!$A$1:$I$89,5,0)</f>
        <v>6.7984728957526396E-14</v>
      </c>
      <c r="BF132" s="13">
        <f t="shared" si="91"/>
        <v>1.0682447123141398E-12</v>
      </c>
      <c r="BG132" s="20">
        <f t="shared" ref="BG132:BG153" si="115">(BE132+BF132)*0.475*44/12</f>
        <v>1.978932943548152E-12</v>
      </c>
      <c r="BH132" s="59">
        <f t="shared" ref="BH132:BH195" si="116">BG132+(AY132+AZ132)*44/12</f>
        <v>293.3333333333353</v>
      </c>
      <c r="BI132" s="59">
        <f ca="1">AVERAGE(OFFSET($BH$3,0,0,'Données projet'!$E$11+1,1))-AVERAGE(OFFSET($H$3,0,0,'Données projet'!$E$11+1,1))</f>
        <v>302.00825291248458</v>
      </c>
      <c r="BJ132" s="59">
        <f t="shared" si="92"/>
        <v>307.35115839449355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35.41167864918539</v>
      </c>
      <c r="BQ132" s="21">
        <f>EXP(-LN(2)/25)*BQ131+(1-EXP(-LN(2)/25))/(LN(2)/25)*Calculateur!BL132*Calculateur!BN132*VLOOKUP('Données projet'!$B$11,Paramètres!$A$1:$I$89,3,0)*0.475*44/12</f>
        <v>7.1509869993695352</v>
      </c>
      <c r="BR132" s="21">
        <f>EXP(-LN(2)/2)*BR131+(1-EXP(-LN(2)/2))/(LN(2)/2)*BL132*BO132*VLOOKUP('Données projet'!$B$11,Paramètres!$A$1:$I$89,3,0)*0.475*44/12</f>
        <v>2.4679549288774549E-9</v>
      </c>
      <c r="BS132" s="22">
        <f t="shared" ref="BS132:BS153" si="117">SUM(BP132:BR132)</f>
        <v>42.562665651022883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5.7330000000000014</v>
      </c>
      <c r="BY132" s="12">
        <f>IF('Données projet'!$A$114&gt;35,BY131+BX132-CG131,IF(A132&lt;'Données projet'!$A$114,$BV$205^A132,IF(A132='Données projet'!$A$114,'Données projet'!$B$114,BY131+BX132-CG131)))</f>
        <v>286.89400000000018</v>
      </c>
      <c r="BZ132" s="13">
        <f>BY132*VLOOKUP('Données projet'!$B$12,Paramètres!$A$1:$I$89,3,0)*VLOOKUP('Données projet'!$B$12,Paramètres!$A$1:$I$89,5,0)</f>
        <v>134.26639200000008</v>
      </c>
      <c r="CA132" s="13">
        <f t="shared" si="93"/>
        <v>34.980336883494694</v>
      </c>
      <c r="CB132" s="20">
        <f t="shared" ref="CB132:CB153" si="118">(BZ132+CA132)*0.475*44/12</f>
        <v>294.77138613875337</v>
      </c>
      <c r="CC132" s="59">
        <f t="shared" ref="CC132:CC195" si="119">CB132+(BT132+BU132)*44/12</f>
        <v>588.10471947208669</v>
      </c>
      <c r="CD132" s="59">
        <f ca="1">AVERAGE(OFFSET($CC$3,0,0,'Données projet'!$E$12+1,1))-AVERAGE(OFFSET($H$3,0,0,'Données projet'!$E$12+1,1))</f>
        <v>337.10499990421835</v>
      </c>
      <c r="CE132" s="59">
        <f t="shared" si="94"/>
        <v>277.4254079562175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87.732356644971503</v>
      </c>
      <c r="CL132" s="21">
        <f>EXP(-LN(2)/25)*CL131+(1-EXP(-LN(2)/25))/(LN(2)/25)*Calculateur!CG132*Calculateur!CI132*VLOOKUP('Données projet'!$B$12,Paramètres!$A$1:$I$89,3,0)*0.475*44/12</f>
        <v>26.021522846846668</v>
      </c>
      <c r="CM132" s="21">
        <f>EXP(-LN(2)/2)*CM131+(1-EXP(-LN(2)/2))/(LN(2)/2)*CG132*CJ132*VLOOKUP('Données projet'!$B$12,Paramètres!$A$1:$I$89,3,0)*0.475*44/12</f>
        <v>1.5787458932703131</v>
      </c>
      <c r="CN132" s="22">
        <f t="shared" ref="CN132:CN153" si="120">SUM(CK132:CM132)</f>
        <v>115.33262538508848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7.1129999999999995</v>
      </c>
      <c r="CT132" s="12">
        <f>IF('Données projet'!$A$140&gt;35,CT131+CS132-DB131,IF(A132&lt;'Données projet'!$A$140,$CQ$205^A132,IF(A132='Données projet'!$A$140,'Données projet'!$B$140,CT131+CS132-DB131)))</f>
        <v>319.23100000000005</v>
      </c>
      <c r="CU132" s="17">
        <f>CT132*VLOOKUP('Données projet'!$B$13,Paramètres!$A$1:$I$89,3,0)*VLOOKUP('Données projet'!$B$13,Paramètres!$A$1:$I$89,5,0)</f>
        <v>318.72023040000005</v>
      </c>
      <c r="CV132" s="13">
        <f t="shared" si="95"/>
        <v>75.087010637359214</v>
      </c>
      <c r="CW132" s="20">
        <f t="shared" ref="CW132:CW153" si="121">(CU132+CV132)*0.475*44/12</f>
        <v>685.88094480673408</v>
      </c>
      <c r="CX132" s="59">
        <f t="shared" ref="CX132:CX195" si="122">CW132+(CO132+CP132)*44/12</f>
        <v>979.21427814006734</v>
      </c>
      <c r="CY132" s="59">
        <f ca="1">AVERAGE(OFFSET($CX$3,0,0,'Données projet'!$E$13+1,1))-AVERAGE(OFFSET($H$3,0,0,'Données projet'!$E$13+1,1))</f>
        <v>525.74725170626471</v>
      </c>
      <c r="CZ132" s="59">
        <f t="shared" si="96"/>
        <v>259.19103598192197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21.890500774238564</v>
      </c>
      <c r="DG132" s="21">
        <f>EXP(-LN(2)/25)*DG131+(1-EXP(-LN(2)/25))/(LN(2)/25)*Calculateur!DB132*Calculateur!DD132*VLOOKUP('Données projet'!$B$13,Paramètres!$A$1:$I$89,3,0)*0.475*44/12</f>
        <v>20.719129559534672</v>
      </c>
      <c r="DH132" s="21">
        <f>EXP(-LN(2)/2)*DH131+(1-EXP(-LN(2)/2))/(LN(2)/2)*DB132*DE132*VLOOKUP('Données projet'!$B$13,Paramètres!$A$1:$I$89,3,0)*0.475*44/12</f>
        <v>0.39759079551152826</v>
      </c>
      <c r="DI132" s="22">
        <f t="shared" ref="DI132:DI153" si="123">SUM(DF132:DH132)</f>
        <v>43.007221129284765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7.7849999999999966</v>
      </c>
      <c r="DO132" s="12">
        <f>IF('Données projet'!$A$166&gt;35,DO131+DN132-DW131,IF(A132&lt;'Données projet'!$A$166,$DL$205^A132,IF(A132='Données projet'!$A$166,'Données projet'!$B$166,DO131+DN132-DW131)))</f>
        <v>365.75000000000045</v>
      </c>
      <c r="DP132" s="17">
        <f>DO132*VLOOKUP('Données projet'!$B$14,Paramètres!$A$1:$I$89,3,0)*VLOOKUP('Données projet'!$B$14,Paramètres!$A$1:$I$89,5,0)</f>
        <v>330.93060000000037</v>
      </c>
      <c r="DQ132" s="13">
        <f t="shared" si="97"/>
        <v>77.623212662146571</v>
      </c>
      <c r="DR132" s="20">
        <f t="shared" ref="DR132:DR153" si="124">(DP132+DQ132)*0.475*44/12</f>
        <v>711.56455705323924</v>
      </c>
      <c r="DS132" s="59">
        <f t="shared" ref="DS132:DS195" si="125">DR132+(DJ132+DK132)*44/12</f>
        <v>1004.8978903865725</v>
      </c>
      <c r="DT132" s="59">
        <f ca="1">AVERAGE(OFFSET($DS$3,0,0,'Données projet'!$E$14+1,1))-AVERAGE(OFFSET($H$3,0,0,'Données projet'!$E$14+1,1))</f>
        <v>490.06222615476065</v>
      </c>
      <c r="DU132" s="59">
        <f t="shared" si="98"/>
        <v>310.43914804089906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38.570527308550908</v>
      </c>
      <c r="EB132" s="21">
        <f>EXP(-LN(2)/25)*EB131+(1-EXP(-LN(2)/25))/(LN(2)/25)*Calculateur!DW132*Calculateur!DY132*VLOOKUP('Données projet'!$B$14,Paramètres!$A$1:$I$89,3,0)*0.475*44/12</f>
        <v>19.391594401166628</v>
      </c>
      <c r="EC132" s="21">
        <f>EXP(-LN(2)/2)*EC131+(1-EXP(-LN(2)/2))/(LN(2)/2)*DW132*DZ132*VLOOKUP('Données projet'!$B$14,Paramètres!$A$1:$I$89,3,0)*0.475*44/12</f>
        <v>6.0653733247619641E-4</v>
      </c>
      <c r="ED132" s="22">
        <f t="shared" ref="ED132:ED153" si="126">SUM(EA132:EC132)</f>
        <v>57.962728247050009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7.1129999999999995</v>
      </c>
      <c r="EJ132" s="12">
        <f>IF('Données projet'!$A$192&gt;35,EJ131+EI132-ER131,IF(A132&lt;'Données projet'!$A$192,$EG$205^A132,IF(A132='Données projet'!$A$192,'Données projet'!$B$192,EJ131+EI132-ER131)))</f>
        <v>319.23100000000005</v>
      </c>
      <c r="EK132" s="17">
        <f>EJ132*VLOOKUP('Données projet'!$B$15,Paramètres!$A$1:$I$89,3,0)*VLOOKUP('Données projet'!$B$15,Paramètres!$A$1:$I$89,5,0)</f>
        <v>323.70023400000008</v>
      </c>
      <c r="EL132" s="13">
        <f t="shared" si="99"/>
        <v>76.122743392807436</v>
      </c>
      <c r="EM132" s="20">
        <f t="shared" ref="EM132:EM153" si="127">(EK132+EL132)*0.475*44/12</f>
        <v>696.35835229247311</v>
      </c>
      <c r="EN132" s="59">
        <f t="shared" ref="EN132:EN195" si="128">EM132+(EE132+EF132)*44/12</f>
        <v>989.69168562580649</v>
      </c>
      <c r="EO132" s="59">
        <f ca="1">AVERAGE(OFFSET($EN$3,0,0,'Données projet'!$E$15+1,1))-AVERAGE(OFFSET($H$3,0,0,'Données projet'!$E$15+1,1))</f>
        <v>533.26035274112917</v>
      </c>
      <c r="EP132" s="59">
        <f t="shared" si="100"/>
        <v>262.58149402282521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22.232539848836037</v>
      </c>
      <c r="EW132" s="21">
        <f>EXP(-LN(2)/25)*EW131+(1-EXP(-LN(2)/25))/(LN(2)/25)*Calculateur!ER132*Calculateur!ET132*VLOOKUP('Données projet'!$B$15,Paramètres!$A$1:$I$89,3,0)*0.475*44/12</f>
        <v>21.042865958902397</v>
      </c>
      <c r="EX132" s="21">
        <f>EXP(-LN(2)/2)*EX131+(1-EXP(-LN(2)/2))/(LN(2)/2)*ER132*EU132*VLOOKUP('Données projet'!$B$15,Paramètres!$A$1:$I$89,3,0)*0.475*44/12</f>
        <v>0.40380315169139586</v>
      </c>
      <c r="EY132" s="22">
        <f t="shared" ref="EY132:EY153" si="129">SUM(EV132:EX132)</f>
        <v>43.679208959429836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239.26156489359892</v>
      </c>
      <c r="FK132" s="59">
        <f t="shared" si="102"/>
        <v>213.97034450798111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4.9952282698582735</v>
      </c>
      <c r="FR132" s="21">
        <f>EXP(-LN(2)/25)*FR131+(1-EXP(-LN(2)/25))/(LN(2)/25)*Calculateur!FM132*Calculateur!FO132*VLOOKUP('Données projet'!$B$16,Paramètres!$A$1:$I$89,3,0)*0.475*44/12</f>
        <v>21.659183443900691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26.654411713758964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112.75</v>
      </c>
      <c r="L133" s="12">
        <f>VLOOKUP(A133,'Données projet'!$A$35:$I$55,9,0)</f>
        <v>2.4366666666666674</v>
      </c>
      <c r="M133" s="12">
        <f t="array" ref="M133">INDEX(L:L,MIN(IF(ISNUMBER(L133:L329),ROW(L133:L329),"")))</f>
        <v>2.4366666666666674</v>
      </c>
      <c r="N133" s="13">
        <f>IF('Données projet'!$A$36&gt;35,N132+M133-V132,IF(A133&lt;'Données projet'!$A$36,$K$205^A133,IF(A133='Données projet'!$A$36,'Données projet'!$B$36,N132+M133-V132)))</f>
        <v>112.75000000000026</v>
      </c>
      <c r="O133" s="13">
        <f>N133*VLOOKUP('Données projet'!$B$9,Paramètres!$A$1:$I$89,3,0)*VLOOKUP('Données projet'!$B$9,Paramètres!$A$1:$I$89,5,0)</f>
        <v>107.29290000000026</v>
      </c>
      <c r="P133" s="13">
        <f t="shared" ref="P133:P196" si="141">EXP(-1.0587+0.8836*LN(O133)+0.284)</f>
        <v>28.692248678828363</v>
      </c>
      <c r="Q133" s="20">
        <f t="shared" si="108"/>
        <v>236.84080061562653</v>
      </c>
      <c r="R133" s="59">
        <f t="shared" si="109"/>
        <v>530.17413394895982</v>
      </c>
      <c r="S133" s="59">
        <f ca="1">AVERAGE(OFFSET($R$3,0,0,'Données projet'!$E$9+1,1))-AVERAGE(OFFSET($H$3,0,0,'Données projet'!$E$9+1,1))</f>
        <v>449.28947235329758</v>
      </c>
      <c r="T133" s="59">
        <f t="shared" ref="T133:T196" si="142">$T$3</f>
        <v>289.36994109443964</v>
      </c>
      <c r="U133" s="15">
        <f>IF(ISNA(VLOOKUP(A133,'Données projet'!$A$35:$I$55,3,0)),0,VLOOKUP(A133,'Données projet'!$A$35:$I$55,3,0))</f>
        <v>14</v>
      </c>
      <c r="V133" s="15">
        <f>IF(ISNA(VLOOKUP(A133,'Données projet'!$A$35:$I$55,4,0)),0,VLOOKUP(A133,'Données projet'!$A$35:$I$55,4,0))</f>
        <v>112.75</v>
      </c>
      <c r="W133" s="16">
        <f>IF(ISNA(VLOOKUP(A133,'Données projet'!$A$35:$I$55,5,0)),0%,VLOOKUP(A133,'Données projet'!$A$35:$I$55,5,0)*VLOOKUP('Données projet'!$B$9,Paramètres!$A$1:$I$89,7,0))</f>
        <v>0.19350000000000001</v>
      </c>
      <c r="X133" s="16">
        <f>IF(ISNA(VLOOKUP(A133,'Données projet'!$A$35:$I$55,6,0)),0%,VLOOKUP(A133,'Données projet'!$A$35:$I$55,6,0)*VLOOKUP('Données projet'!$B$9,Paramètres!$A$1:$I$89,7,0))</f>
        <v>2.1500000000000002E-2</v>
      </c>
      <c r="Y133" s="16">
        <f>IF(ISNA(VLOOKUP(A133,'Données projet'!$A$35:$I$55,7,0)),0%,VLOOKUP(A133,'Données projet'!$A$35:$I$55,7,0))</f>
        <v>0.05</v>
      </c>
      <c r="Z133" s="21">
        <f>EXP(-LN(2)/35)*Z132+(1-EXP(-LN(2)/35))/(LN(2)/35)*V133*W133*VLOOKUP('Données projet'!$B$9,Paramètres!$A$1:$I$89,3,0)*0.475*44/12</f>
        <v>118.80970654859827</v>
      </c>
      <c r="AA133" s="21">
        <f>EXP(-LN(2)/25)*AA132+(1-EXP(-LN(2)/25))/(LN(2)/25)*Calculateur!V133*Calculateur!X133*VLOOKUP('Données projet'!$B$9,Paramètres!$A$1:$I$89,3,0)*0.475*44/12</f>
        <v>24.758670219839001</v>
      </c>
      <c r="AB133" s="21">
        <f>EXP(-LN(2)/2)*AB132+(1-EXP(-LN(2)/2))/(LN(2)/2)*V133*Y133*VLOOKUP('Données projet'!$B$9,Paramètres!$A$1:$I$89,3,0)*0.475*44/12</f>
        <v>7.1614439738475077</v>
      </c>
      <c r="AC133" s="22">
        <f t="shared" si="111"/>
        <v>150.72982074228477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-2.2737367544323206E-13</v>
      </c>
      <c r="AJ133" s="13">
        <f>AI133*VLOOKUP('Données projet'!$B$10,Paramètres!$A$1:$I$89,3,0)*VLOOKUP('Données projet'!$B$10,Paramètres!$A$1:$I$89,5,0)</f>
        <v>-1.3596945791505279E-13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349.71285006949597</v>
      </c>
      <c r="AO133" s="59">
        <f t="shared" ref="AO133:AO196" si="144">$AO$3</f>
        <v>258.51550516456842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56.938646408055178</v>
      </c>
      <c r="AV133" s="21">
        <f>EXP(-LN(2)/25)*AV132+(1-EXP(-LN(2)/25))/(LN(2)/25)*Calculateur!AQ133*Calculateur!AS133*VLOOKUP('Données projet'!$B$10,Paramètres!$A$1:$I$89,3,0)*0.475*44/12</f>
        <v>12.936093194574484</v>
      </c>
      <c r="AW133" s="21">
        <f>EXP(-LN(2)/2)*AW132+(1-EXP(-LN(2)/2))/(LN(2)/2)*AQ133*AT133*VLOOKUP('Données projet'!$B$10,Paramètres!$A$1:$I$89,3,0)*0.475*44/12</f>
        <v>2.1075201869371148E-6</v>
      </c>
      <c r="AX133" s="21">
        <f t="shared" si="114"/>
        <v>69.874741710149848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1.1368683772161603E-13</v>
      </c>
      <c r="BE133" s="13">
        <f>BD133*VLOOKUP('Données projet'!$B$11,Paramètres!$A$1:$I$89,3,0)*VLOOKUP('Données projet'!$B$11,Paramètres!$A$1:$I$89,5,0)</f>
        <v>6.7984728957526396E-14</v>
      </c>
      <c r="BF133" s="13">
        <f t="shared" ref="BF133:BF153" si="145">EXP(-1.0587+0.8836*LN(BE133)+0.284)</f>
        <v>1.0682447123141398E-12</v>
      </c>
      <c r="BG133" s="20">
        <f t="shared" si="115"/>
        <v>1.978932943548152E-12</v>
      </c>
      <c r="BH133" s="59">
        <f t="shared" si="116"/>
        <v>293.3333333333353</v>
      </c>
      <c r="BI133" s="59">
        <f ca="1">AVERAGE(OFFSET($BH$3,0,0,'Données projet'!$E$11+1,1))-AVERAGE(OFFSET($H$3,0,0,'Données projet'!$E$11+1,1))</f>
        <v>302.00825291248458</v>
      </c>
      <c r="BJ133" s="59">
        <f t="shared" ref="BJ133:BJ196" si="146">$BJ$3</f>
        <v>307.35115839449355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34.71727722986612</v>
      </c>
      <c r="BQ133" s="21">
        <f>EXP(-LN(2)/25)*BQ132+(1-EXP(-LN(2)/25))/(LN(2)/25)*Calculateur!BL133*Calculateur!BN133*VLOOKUP('Données projet'!$B$11,Paramètres!$A$1:$I$89,3,0)*0.475*44/12</f>
        <v>6.9554428838177129</v>
      </c>
      <c r="BR133" s="21">
        <f>EXP(-LN(2)/2)*BR132+(1-EXP(-LN(2)/2))/(LN(2)/2)*BL133*BO133*VLOOKUP('Données projet'!$B$11,Paramètres!$A$1:$I$89,3,0)*0.475*44/12</f>
        <v>1.745107665872012E-9</v>
      </c>
      <c r="BS133" s="22">
        <f t="shared" si="117"/>
        <v>41.672720115428938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5.7330000000000014</v>
      </c>
      <c r="BY133" s="12">
        <f>IF('Données projet'!$A$114&gt;35,BY132+BX133-CG132,IF(A133&lt;'Données projet'!$A$114,$BV$205^A133,IF(A133='Données projet'!$A$114,'Données projet'!$B$114,BY132+BX133-CG132)))</f>
        <v>292.62700000000018</v>
      </c>
      <c r="BZ133" s="13">
        <f>BY133*VLOOKUP('Données projet'!$B$12,Paramètres!$A$1:$I$89,3,0)*VLOOKUP('Données projet'!$B$12,Paramètres!$A$1:$I$89,5,0)</f>
        <v>136.94943600000008</v>
      </c>
      <c r="CA133" s="13">
        <f t="shared" ref="CA133:CA153" si="147">EXP(-1.0587+0.8836*LN(BZ133)+0.284)</f>
        <v>35.59727060496035</v>
      </c>
      <c r="CB133" s="20">
        <f t="shared" si="118"/>
        <v>300.51884733697273</v>
      </c>
      <c r="CC133" s="59">
        <f t="shared" si="119"/>
        <v>593.8521806703061</v>
      </c>
      <c r="CD133" s="59">
        <f ca="1">AVERAGE(OFFSET($CC$3,0,0,'Données projet'!$E$12+1,1))-AVERAGE(OFFSET($H$3,0,0,'Données projet'!$E$12+1,1))</f>
        <v>337.10499990421835</v>
      </c>
      <c r="CE133" s="59">
        <f t="shared" ref="CE133:CE196" si="148">$CE$3</f>
        <v>277.4254079562175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86.01197864261735</v>
      </c>
      <c r="CL133" s="21">
        <f>EXP(-LN(2)/25)*CL132+(1-EXP(-LN(2)/25))/(LN(2)/25)*Calculateur!CG133*Calculateur!CI133*VLOOKUP('Données projet'!$B$12,Paramètres!$A$1:$I$89,3,0)*0.475*44/12</f>
        <v>25.309962936187233</v>
      </c>
      <c r="CM133" s="21">
        <f>EXP(-LN(2)/2)*CM132+(1-EXP(-LN(2)/2))/(LN(2)/2)*CG133*CJ133*VLOOKUP('Données projet'!$B$12,Paramètres!$A$1:$I$89,3,0)*0.475*44/12</f>
        <v>1.116341926901852</v>
      </c>
      <c r="CN133" s="22">
        <f t="shared" si="120"/>
        <v>112.43828350570644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7.1129999999999995</v>
      </c>
      <c r="CT133" s="12">
        <f>IF('Données projet'!$A$140&gt;35,CT132+CS133-DB132,IF(A133&lt;'Données projet'!$A$140,$CQ$205^A133,IF(A133='Données projet'!$A$140,'Données projet'!$B$140,CT132+CS133-DB132)))</f>
        <v>326.34400000000005</v>
      </c>
      <c r="CU133" s="17">
        <f>CT133*VLOOKUP('Données projet'!$B$13,Paramètres!$A$1:$I$89,3,0)*VLOOKUP('Données projet'!$B$13,Paramètres!$A$1:$I$89,5,0)</f>
        <v>325.82184960000006</v>
      </c>
      <c r="CV133" s="13">
        <f t="shared" ref="CV133:CV153" si="149">EXP(-1.0587+0.8836*LN(CU133)+0.284)</f>
        <v>76.563428659905611</v>
      </c>
      <c r="CW133" s="20">
        <f t="shared" si="121"/>
        <v>700.82102630266911</v>
      </c>
      <c r="CX133" s="59">
        <f t="shared" si="122"/>
        <v>994.15435963600248</v>
      </c>
      <c r="CY133" s="59">
        <f ca="1">AVERAGE(OFFSET($CX$3,0,0,'Données projet'!$E$13+1,1))-AVERAGE(OFFSET($H$3,0,0,'Données projet'!$E$13+1,1))</f>
        <v>525.74725170626471</v>
      </c>
      <c r="CZ133" s="59">
        <f t="shared" ref="CZ133:CZ196" si="150">$CZ$3</f>
        <v>259.19103598192197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21.461241405942829</v>
      </c>
      <c r="DG133" s="21">
        <f>EXP(-LN(2)/25)*DG132+(1-EXP(-LN(2)/25))/(LN(2)/25)*Calculateur!DB133*Calculateur!DD133*VLOOKUP('Données projet'!$B$13,Paramètres!$A$1:$I$89,3,0)*0.475*44/12</f>
        <v>20.152563872157526</v>
      </c>
      <c r="DH133" s="21">
        <f>EXP(-LN(2)/2)*DH132+(1-EXP(-LN(2)/2))/(LN(2)/2)*DB133*DE133*VLOOKUP('Données projet'!$B$13,Paramètres!$A$1:$I$89,3,0)*0.475*44/12</f>
        <v>0.28113914764355558</v>
      </c>
      <c r="DI133" s="22">
        <f t="shared" si="123"/>
        <v>41.894944425743915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7.7849999999999966</v>
      </c>
      <c r="DO133" s="12">
        <f>IF('Données projet'!$A$166&gt;35,DO132+DN133-DW132,IF(A133&lt;'Données projet'!$A$166,$DL$205^A133,IF(A133='Données projet'!$A$166,'Données projet'!$B$166,DO132+DN133-DW132)))</f>
        <v>373.53500000000042</v>
      </c>
      <c r="DP133" s="17">
        <f>DO133*VLOOKUP('Données projet'!$B$14,Paramètres!$A$1:$I$89,3,0)*VLOOKUP('Données projet'!$B$14,Paramètres!$A$1:$I$89,5,0)</f>
        <v>337.9744680000004</v>
      </c>
      <c r="DQ133" s="13">
        <f t="shared" ref="DQ133:DQ153" si="151">EXP(-1.0587+0.8836*LN(DP133)+0.284)</f>
        <v>79.081313264051104</v>
      </c>
      <c r="DR133" s="20">
        <f t="shared" si="124"/>
        <v>726.37215236822306</v>
      </c>
      <c r="DS133" s="59">
        <f t="shared" si="125"/>
        <v>1019.7054857015564</v>
      </c>
      <c r="DT133" s="59">
        <f ca="1">AVERAGE(OFFSET($DS$3,0,0,'Données projet'!$E$14+1,1))-AVERAGE(OFFSET($H$3,0,0,'Données projet'!$E$14+1,1))</f>
        <v>490.06222615476065</v>
      </c>
      <c r="DU133" s="59">
        <f t="shared" ref="DU133:DU196" si="152">$DU$3</f>
        <v>310.43914804089906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37.814182793728911</v>
      </c>
      <c r="EB133" s="21">
        <f>EXP(-LN(2)/25)*EB132+(1-EXP(-LN(2)/25))/(LN(2)/25)*Calculateur!DW133*Calculateur!DY133*VLOOKUP('Données projet'!$B$14,Paramètres!$A$1:$I$89,3,0)*0.475*44/12</f>
        <v>18.861330232507097</v>
      </c>
      <c r="EC133" s="21">
        <f>EXP(-LN(2)/2)*EC132+(1-EXP(-LN(2)/2))/(LN(2)/2)*DW133*DZ133*VLOOKUP('Données projet'!$B$14,Paramètres!$A$1:$I$89,3,0)*0.475*44/12</f>
        <v>4.2888666083671804E-4</v>
      </c>
      <c r="ED133" s="22">
        <f t="shared" si="126"/>
        <v>56.675941912896839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7.1129999999999995</v>
      </c>
      <c r="EJ133" s="12">
        <f>IF('Données projet'!$A$192&gt;35,EJ132+EI133-ER132,IF(A133&lt;'Données projet'!$A$192,$EG$205^A133,IF(A133='Données projet'!$A$192,'Données projet'!$B$192,EJ132+EI133-ER132)))</f>
        <v>326.34400000000005</v>
      </c>
      <c r="EK133" s="17">
        <f>EJ133*VLOOKUP('Données projet'!$B$15,Paramètres!$A$1:$I$89,3,0)*VLOOKUP('Données projet'!$B$15,Paramètres!$A$1:$I$89,5,0)</f>
        <v>330.91281600000008</v>
      </c>
      <c r="EL133" s="13">
        <f t="shared" ref="EL133:EL153" si="153">EXP(-1.0587+0.8836*LN(EK133)+0.284)</f>
        <v>77.619526782062408</v>
      </c>
      <c r="EM133" s="20">
        <f t="shared" si="127"/>
        <v>711.52716367875882</v>
      </c>
      <c r="EN133" s="59">
        <f t="shared" si="128"/>
        <v>1004.8604970120921</v>
      </c>
      <c r="EO133" s="59">
        <f ca="1">AVERAGE(OFFSET($EN$3,0,0,'Données projet'!$E$15+1,1))-AVERAGE(OFFSET($H$3,0,0,'Données projet'!$E$15+1,1))</f>
        <v>533.26035274112917</v>
      </c>
      <c r="EP133" s="59">
        <f t="shared" ref="EP133:EP196" si="154">$EP$3</f>
        <v>262.58149402282521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21.79657330291068</v>
      </c>
      <c r="EW133" s="21">
        <f>EXP(-LN(2)/25)*EW132+(1-EXP(-LN(2)/25))/(LN(2)/25)*Calculateur!ER133*Calculateur!ET133*VLOOKUP('Données projet'!$B$15,Paramètres!$A$1:$I$89,3,0)*0.475*44/12</f>
        <v>20.467447682659984</v>
      </c>
      <c r="EX133" s="21">
        <f>EXP(-LN(2)/2)*EX132+(1-EXP(-LN(2)/2))/(LN(2)/2)*ER133*EU133*VLOOKUP('Données projet'!$B$15,Paramètres!$A$1:$I$89,3,0)*0.475*44/12</f>
        <v>0.2855319468254861</v>
      </c>
      <c r="EY133" s="22">
        <f t="shared" si="129"/>
        <v>42.549552932396153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239.26156489359892</v>
      </c>
      <c r="FK133" s="59">
        <f t="shared" ref="FK133:FK196" si="156">$FK$3</f>
        <v>213.97034450798111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4.897274890274752</v>
      </c>
      <c r="FR133" s="21">
        <f>EXP(-LN(2)/25)*FR132+(1-EXP(-LN(2)/25))/(LN(2)/25)*Calculateur!FM133*Calculateur!FO133*VLOOKUP('Données projet'!$B$16,Paramètres!$A$1:$I$89,3,0)*0.475*44/12</f>
        <v>21.066911933620272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25.964186823895023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2.5579538487363607E-13</v>
      </c>
      <c r="O134" s="13">
        <f>N134*VLOOKUP('Données projet'!$B$9,Paramètres!$A$1:$I$89,3,0)*VLOOKUP('Données projet'!$B$9,Paramètres!$A$1:$I$89,5,0)</f>
        <v>2.4341488824575211E-13</v>
      </c>
      <c r="P134" s="13">
        <f t="shared" si="141"/>
        <v>3.2970717324875541E-12</v>
      </c>
      <c r="Q134" s="20">
        <f t="shared" si="108"/>
        <v>6.1663475311105072E-12</v>
      </c>
      <c r="R134" s="59">
        <f t="shared" si="109"/>
        <v>293.33333333333945</v>
      </c>
      <c r="S134" s="59">
        <f ca="1">AVERAGE(OFFSET($R$3,0,0,'Données projet'!$E$9+1,1))-AVERAGE(OFFSET($H$3,0,0,'Données projet'!$E$9+1,1))</f>
        <v>449.28947235329758</v>
      </c>
      <c r="T134" s="59">
        <f t="shared" si="142"/>
        <v>289.36994109443964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116.47992066994576</v>
      </c>
      <c r="AA134" s="21">
        <f>EXP(-LN(2)/25)*AA133+(1-EXP(-LN(2)/25))/(LN(2)/25)*Calculateur!V134*Calculateur!X134*VLOOKUP('Données projet'!$B$9,Paramètres!$A$1:$I$89,3,0)*0.475*44/12</f>
        <v>24.081643080675622</v>
      </c>
      <c r="AB134" s="21">
        <f>EXP(-LN(2)/2)*AB133+(1-EXP(-LN(2)/2))/(LN(2)/2)*V134*Y134*VLOOKUP('Données projet'!$B$9,Paramètres!$A$1:$I$89,3,0)*0.475*44/12</f>
        <v>5.0639055969951094</v>
      </c>
      <c r="AC134" s="22">
        <f t="shared" si="111"/>
        <v>145.6254693476165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-2.2737367544323206E-13</v>
      </c>
      <c r="AJ134" s="13">
        <f>AI134*VLOOKUP('Données projet'!$B$10,Paramètres!$A$1:$I$89,3,0)*VLOOKUP('Données projet'!$B$10,Paramètres!$A$1:$I$89,5,0)</f>
        <v>-1.3596945791505279E-13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349.71285006949597</v>
      </c>
      <c r="AO134" s="59">
        <f t="shared" si="144"/>
        <v>258.51550516456842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55.822114281138305</v>
      </c>
      <c r="AV134" s="21">
        <f>EXP(-LN(2)/25)*AV133+(1-EXP(-LN(2)/25))/(LN(2)/25)*Calculateur!AQ134*Calculateur!AS134*VLOOKUP('Données projet'!$B$10,Paramètres!$A$1:$I$89,3,0)*0.475*44/12</f>
        <v>12.582355045889269</v>
      </c>
      <c r="AW134" s="21">
        <f>EXP(-LN(2)/2)*AW133+(1-EXP(-LN(2)/2))/(LN(2)/2)*AQ134*AT134*VLOOKUP('Données projet'!$B$10,Paramètres!$A$1:$I$89,3,0)*0.475*44/12</f>
        <v>1.4902418156707742E-6</v>
      </c>
      <c r="AX134" s="21">
        <f t="shared" si="114"/>
        <v>68.404470817269384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1.1368683772161603E-13</v>
      </c>
      <c r="BE134" s="13">
        <f>BD134*VLOOKUP('Données projet'!$B$11,Paramètres!$A$1:$I$89,3,0)*VLOOKUP('Données projet'!$B$11,Paramètres!$A$1:$I$89,5,0)</f>
        <v>6.7984728957526396E-14</v>
      </c>
      <c r="BF134" s="13">
        <f t="shared" si="145"/>
        <v>1.0682447123141398E-12</v>
      </c>
      <c r="BG134" s="20">
        <f t="shared" si="115"/>
        <v>1.978932943548152E-12</v>
      </c>
      <c r="BH134" s="59">
        <f t="shared" si="116"/>
        <v>293.3333333333353</v>
      </c>
      <c r="BI134" s="59">
        <f ca="1">AVERAGE(OFFSET($BH$3,0,0,'Données projet'!$E$11+1,1))-AVERAGE(OFFSET($H$3,0,0,'Données projet'!$E$11+1,1))</f>
        <v>302.00825291248458</v>
      </c>
      <c r="BJ134" s="59">
        <f t="shared" si="146"/>
        <v>307.35115839449355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34.036492598836652</v>
      </c>
      <c r="BQ134" s="21">
        <f>EXP(-LN(2)/25)*BQ133+(1-EXP(-LN(2)/25))/(LN(2)/25)*Calculateur!BL134*Calculateur!BN134*VLOOKUP('Données projet'!$B$11,Paramètres!$A$1:$I$89,3,0)*0.475*44/12</f>
        <v>6.765245932388873</v>
      </c>
      <c r="BR134" s="21">
        <f>EXP(-LN(2)/2)*BR133+(1-EXP(-LN(2)/2))/(LN(2)/2)*BL134*BO134*VLOOKUP('Données projet'!$B$11,Paramètres!$A$1:$I$89,3,0)*0.475*44/12</f>
        <v>1.2339774644387274E-9</v>
      </c>
      <c r="BS134" s="22">
        <f t="shared" si="117"/>
        <v>40.801738532459503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>
        <f>VLOOKUP(A134,'Données projet'!$A$113:$I$133,2,0)</f>
        <v>298.36</v>
      </c>
      <c r="BW134" s="12">
        <f>VLOOKUP(A134,'Données projet'!$A$113:$I$133,9,0)</f>
        <v>5.7330000000000014</v>
      </c>
      <c r="BX134" s="12">
        <f t="array" ref="BX134">INDEX(BW:BW,MIN(IF(ISNUMBER(BW134:BW330),ROW(BW134:BW330),"")))</f>
        <v>5.7330000000000014</v>
      </c>
      <c r="BY134" s="12">
        <f>IF('Données projet'!$A$114&gt;35,BY133+BX134-CG133,IF(A134&lt;'Données projet'!$A$114,$BV$205^A134,IF(A134='Données projet'!$A$114,'Données projet'!$B$114,BY133+BX134-CG133)))</f>
        <v>298.36000000000018</v>
      </c>
      <c r="BZ134" s="13">
        <f>BY134*VLOOKUP('Données projet'!$B$12,Paramètres!$A$1:$I$89,3,0)*VLOOKUP('Données projet'!$B$12,Paramètres!$A$1:$I$89,5,0)</f>
        <v>139.6324800000001</v>
      </c>
      <c r="CA134" s="13">
        <f t="shared" si="147"/>
        <v>36.212798947921591</v>
      </c>
      <c r="CB134" s="20">
        <f t="shared" si="118"/>
        <v>306.26386083429691</v>
      </c>
      <c r="CC134" s="59">
        <f t="shared" si="119"/>
        <v>599.59719416763028</v>
      </c>
      <c r="CD134" s="59">
        <f ca="1">AVERAGE(OFFSET($CC$3,0,0,'Données projet'!$E$12+1,1))-AVERAGE(OFFSET($H$3,0,0,'Données projet'!$E$12+1,1))</f>
        <v>337.10499990421835</v>
      </c>
      <c r="CE134" s="59">
        <f t="shared" si="148"/>
        <v>277.4254079562175</v>
      </c>
      <c r="CF134" s="15">
        <f>IF(ISNA(VLOOKUP(A134,'Données projet'!$A$113:$I$133,3,0)),0,VLOOKUP(A134,'Données projet'!$A$113:$I$133,3,0))</f>
        <v>8</v>
      </c>
      <c r="CG134" s="15">
        <f>IF(ISNA(VLOOKUP(A134,'Données projet'!$A$113:$I$133,4,0)),0,VLOOKUP(A134,'Données projet'!$A$113:$I$133,4,0))</f>
        <v>298.36</v>
      </c>
      <c r="CH134" s="16">
        <f>IF(ISNA(VLOOKUP(A134,'Données projet'!$A$113:$I$133,5,0)),0%,VLOOKUP(A134,'Données projet'!$A$113:$I$133,5,0)*VLOOKUP('Données projet'!$B$12,Paramètres!$A$1:$I$89,7,0))</f>
        <v>0.33</v>
      </c>
      <c r="CI134" s="16">
        <f>IF(ISNA(VLOOKUP(A134,'Données projet'!$A$113:$I$133,6,0)),0%,VLOOKUP(A134,'Données projet'!$A$113:$I$133,6,0)*VLOOKUP('Données projet'!$B$12,Paramètres!$A$1:$I$89,7,0))</f>
        <v>0.11000000000000001</v>
      </c>
      <c r="CJ134" s="16">
        <f>IF(ISNA(VLOOKUP(A134,'Données projet'!$A$113:$I$133,7,0)),0%,VLOOKUP(A134,'Données projet'!$A$113:$I$133,7,0))</f>
        <v>0.2</v>
      </c>
      <c r="CK134" s="21">
        <f>EXP(-LN(2)/35)*CK133+(1-EXP(-LN(2)/35))/(LN(2)/35)*CG134*CH134*VLOOKUP('Données projet'!$B$12,Paramètres!$A$1:$I$89,3,0)*0.475*44/12</f>
        <v>145.4517261852103</v>
      </c>
      <c r="CL134" s="21">
        <f>EXP(-LN(2)/25)*CL133+(1-EXP(-LN(2)/25))/(LN(2)/25)*Calculateur!CG134*Calculateur!CI134*VLOOKUP('Données projet'!$B$12,Paramètres!$A$1:$I$89,3,0)*0.475*44/12</f>
        <v>44.913098033140628</v>
      </c>
      <c r="CM134" s="21">
        <f>EXP(-LN(2)/2)*CM133+(1-EXP(-LN(2)/2))/(LN(2)/2)*CG134*CJ134*VLOOKUP('Données projet'!$B$12,Paramètres!$A$1:$I$89,3,0)*0.475*44/12</f>
        <v>32.408653674578815</v>
      </c>
      <c r="CN134" s="22">
        <f t="shared" si="120"/>
        <v>222.77347789292975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7.1129999999999995</v>
      </c>
      <c r="CT134" s="12">
        <f>IF('Données projet'!$A$140&gt;35,CT133+CS134-DB133,IF(A134&lt;'Données projet'!$A$140,$CQ$205^A134,IF(A134='Données projet'!$A$140,'Données projet'!$B$140,CT133+CS134-DB133)))</f>
        <v>333.45700000000005</v>
      </c>
      <c r="CU134" s="17">
        <f>CT134*VLOOKUP('Données projet'!$B$13,Paramètres!$A$1:$I$89,3,0)*VLOOKUP('Données projet'!$B$13,Paramètres!$A$1:$I$89,5,0)</f>
        <v>332.92346880000008</v>
      </c>
      <c r="CV134" s="13">
        <f t="shared" si="149"/>
        <v>78.036105360832607</v>
      </c>
      <c r="CW134" s="20">
        <f t="shared" si="121"/>
        <v>715.75459166345024</v>
      </c>
      <c r="CX134" s="59">
        <f t="shared" si="122"/>
        <v>1009.0879249967836</v>
      </c>
      <c r="CY134" s="59">
        <f ca="1">AVERAGE(OFFSET($CX$3,0,0,'Données projet'!$E$13+1,1))-AVERAGE(OFFSET($H$3,0,0,'Données projet'!$E$13+1,1))</f>
        <v>525.74725170626471</v>
      </c>
      <c r="CZ134" s="59">
        <f t="shared" si="150"/>
        <v>259.19103598192197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21.040399552037012</v>
      </c>
      <c r="DG134" s="21">
        <f>EXP(-LN(2)/25)*DG133+(1-EXP(-LN(2)/25))/(LN(2)/25)*Calculateur!DB134*Calculateur!DD134*VLOOKUP('Données projet'!$B$13,Paramètres!$A$1:$I$89,3,0)*0.475*44/12</f>
        <v>19.601490953296103</v>
      </c>
      <c r="DH134" s="21">
        <f>EXP(-LN(2)/2)*DH133+(1-EXP(-LN(2)/2))/(LN(2)/2)*DB134*DE134*VLOOKUP('Données projet'!$B$13,Paramètres!$A$1:$I$89,3,0)*0.475*44/12</f>
        <v>0.19879539775576413</v>
      </c>
      <c r="DI134" s="22">
        <f t="shared" si="123"/>
        <v>40.840685903088882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7.7849999999999966</v>
      </c>
      <c r="DO134" s="12">
        <f>IF('Données projet'!$A$166&gt;35,DO133+DN134-DW133,IF(A134&lt;'Données projet'!$A$166,$DL$205^A134,IF(A134='Données projet'!$A$166,'Données projet'!$B$166,DO133+DN134-DW133)))</f>
        <v>381.32000000000039</v>
      </c>
      <c r="DP134" s="17">
        <f>DO134*VLOOKUP('Données projet'!$B$14,Paramètres!$A$1:$I$89,3,0)*VLOOKUP('Données projet'!$B$14,Paramètres!$A$1:$I$89,5,0)</f>
        <v>345.01833600000032</v>
      </c>
      <c r="DQ134" s="13">
        <f t="shared" si="151"/>
        <v>80.535880616180918</v>
      </c>
      <c r="DR134" s="20">
        <f t="shared" si="124"/>
        <v>741.17359393984896</v>
      </c>
      <c r="DS134" s="59">
        <f t="shared" si="125"/>
        <v>1034.5069272731823</v>
      </c>
      <c r="DT134" s="59">
        <f ca="1">AVERAGE(OFFSET($DS$3,0,0,'Données projet'!$E$14+1,1))-AVERAGE(OFFSET($H$3,0,0,'Données projet'!$E$14+1,1))</f>
        <v>490.06222615476065</v>
      </c>
      <c r="DU134" s="59">
        <f t="shared" si="152"/>
        <v>310.43914804089906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37.072669733517976</v>
      </c>
      <c r="EB134" s="21">
        <f>EXP(-LN(2)/25)*EB133+(1-EXP(-LN(2)/25))/(LN(2)/25)*Calculateur!DW134*Calculateur!DY134*VLOOKUP('Données projet'!$B$14,Paramètres!$A$1:$I$89,3,0)*0.475*44/12</f>
        <v>18.345566165424941</v>
      </c>
      <c r="EC134" s="21">
        <f>EXP(-LN(2)/2)*EC133+(1-EXP(-LN(2)/2))/(LN(2)/2)*DW134*DZ134*VLOOKUP('Données projet'!$B$14,Paramètres!$A$1:$I$89,3,0)*0.475*44/12</f>
        <v>3.032686662380982E-4</v>
      </c>
      <c r="ED134" s="22">
        <f t="shared" si="126"/>
        <v>55.418539167609154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7.1129999999999995</v>
      </c>
      <c r="EJ134" s="12">
        <f>IF('Données projet'!$A$192&gt;35,EJ133+EI134-ER133,IF(A134&lt;'Données projet'!$A$192,$EG$205^A134,IF(A134='Données projet'!$A$192,'Données projet'!$B$192,EJ133+EI134-ER133)))</f>
        <v>333.45700000000005</v>
      </c>
      <c r="EK134" s="17">
        <f>EJ134*VLOOKUP('Données projet'!$B$15,Paramètres!$A$1:$I$89,3,0)*VLOOKUP('Données projet'!$B$15,Paramètres!$A$1:$I$89,5,0)</f>
        <v>338.12539800000008</v>
      </c>
      <c r="EL134" s="13">
        <f t="shared" si="153"/>
        <v>79.112517242778139</v>
      </c>
      <c r="EM134" s="20">
        <f t="shared" si="127"/>
        <v>726.68936904783868</v>
      </c>
      <c r="EN134" s="59">
        <f t="shared" si="128"/>
        <v>1020.0227023811719</v>
      </c>
      <c r="EO134" s="59">
        <f ca="1">AVERAGE(OFFSET($EN$3,0,0,'Données projet'!$E$15+1,1))-AVERAGE(OFFSET($H$3,0,0,'Données projet'!$E$15+1,1))</f>
        <v>533.26035274112917</v>
      </c>
      <c r="EP134" s="59">
        <f t="shared" si="154"/>
        <v>262.58149402282521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21.369155795037585</v>
      </c>
      <c r="EW134" s="21">
        <f>EXP(-LN(2)/25)*EW133+(1-EXP(-LN(2)/25))/(LN(2)/25)*Calculateur!ER134*Calculateur!ET134*VLOOKUP('Données projet'!$B$15,Paramètres!$A$1:$I$89,3,0)*0.475*44/12</f>
        <v>19.907764249441353</v>
      </c>
      <c r="EX134" s="21">
        <f>EXP(-LN(2)/2)*EX133+(1-EXP(-LN(2)/2))/(LN(2)/2)*ER134*EU134*VLOOKUP('Données projet'!$B$15,Paramètres!$A$1:$I$89,3,0)*0.475*44/12</f>
        <v>0.20190157584569793</v>
      </c>
      <c r="EY134" s="22">
        <f t="shared" si="129"/>
        <v>41.478821620324638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239.26156489359892</v>
      </c>
      <c r="FK134" s="59">
        <f t="shared" si="156"/>
        <v>213.97034450798111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4.8012423167192013</v>
      </c>
      <c r="FR134" s="21">
        <f>EXP(-LN(2)/25)*FR133+(1-EXP(-LN(2)/25))/(LN(2)/25)*Calculateur!FM134*Calculateur!FO134*VLOOKUP('Données projet'!$B$16,Paramètres!$A$1:$I$89,3,0)*0.475*44/12</f>
        <v>20.490836118934677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25.292078435653877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2.5579538487363607E-13</v>
      </c>
      <c r="O135" s="13">
        <f>N135*VLOOKUP('Données projet'!$B$9,Paramètres!$A$1:$I$89,3,0)*VLOOKUP('Données projet'!$B$9,Paramètres!$A$1:$I$89,5,0)</f>
        <v>2.4341488824575211E-13</v>
      </c>
      <c r="P135" s="13">
        <f t="shared" si="141"/>
        <v>3.2970717324875541E-12</v>
      </c>
      <c r="Q135" s="20">
        <f t="shared" si="108"/>
        <v>6.1663475311105072E-12</v>
      </c>
      <c r="R135" s="59">
        <f t="shared" si="109"/>
        <v>293.33333333333945</v>
      </c>
      <c r="S135" s="59">
        <f ca="1">AVERAGE(OFFSET($R$3,0,0,'Données projet'!$E$9+1,1))-AVERAGE(OFFSET($H$3,0,0,'Données projet'!$E$9+1,1))</f>
        <v>449.28947235329758</v>
      </c>
      <c r="T135" s="59">
        <f t="shared" si="142"/>
        <v>289.36994109443964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114.19582047134455</v>
      </c>
      <c r="AA135" s="21">
        <f>EXP(-LN(2)/25)*AA134+(1-EXP(-LN(2)/25))/(LN(2)/25)*Calculateur!V135*Calculateur!X135*VLOOKUP('Données projet'!$B$9,Paramètres!$A$1:$I$89,3,0)*0.475*44/12</f>
        <v>23.423129284235976</v>
      </c>
      <c r="AB135" s="21">
        <f>EXP(-LN(2)/2)*AB134+(1-EXP(-LN(2)/2))/(LN(2)/2)*V135*Y135*VLOOKUP('Données projet'!$B$9,Paramètres!$A$1:$I$89,3,0)*0.475*44/12</f>
        <v>3.5807219869237543</v>
      </c>
      <c r="AC135" s="22">
        <f t="shared" si="111"/>
        <v>141.19967174250428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-2.2737367544323206E-13</v>
      </c>
      <c r="AJ135" s="13">
        <f>AI135*VLOOKUP('Données projet'!$B$10,Paramètres!$A$1:$I$89,3,0)*VLOOKUP('Données projet'!$B$10,Paramètres!$A$1:$I$89,5,0)</f>
        <v>-1.3596945791505279E-13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349.71285006949597</v>
      </c>
      <c r="AO135" s="59">
        <f t="shared" si="144"/>
        <v>258.51550516456842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54.727476668212923</v>
      </c>
      <c r="AV135" s="21">
        <f>EXP(-LN(2)/25)*AV134+(1-EXP(-LN(2)/25))/(LN(2)/25)*Calculateur!AQ135*Calculateur!AS135*VLOOKUP('Données projet'!$B$10,Paramètres!$A$1:$I$89,3,0)*0.475*44/12</f>
        <v>12.238289885482132</v>
      </c>
      <c r="AW135" s="21">
        <f>EXP(-LN(2)/2)*AW134+(1-EXP(-LN(2)/2))/(LN(2)/2)*AQ135*AT135*VLOOKUP('Données projet'!$B$10,Paramètres!$A$1:$I$89,3,0)*0.475*44/12</f>
        <v>1.0537600934685574E-6</v>
      </c>
      <c r="AX135" s="21">
        <f t="shared" si="114"/>
        <v>66.965767607455149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1.1368683772161603E-13</v>
      </c>
      <c r="BE135" s="13">
        <f>BD135*VLOOKUP('Données projet'!$B$11,Paramètres!$A$1:$I$89,3,0)*VLOOKUP('Données projet'!$B$11,Paramètres!$A$1:$I$89,5,0)</f>
        <v>6.7984728957526396E-14</v>
      </c>
      <c r="BF135" s="13">
        <f t="shared" si="145"/>
        <v>1.0682447123141398E-12</v>
      </c>
      <c r="BG135" s="20">
        <f t="shared" si="115"/>
        <v>1.978932943548152E-12</v>
      </c>
      <c r="BH135" s="59">
        <f t="shared" si="116"/>
        <v>293.3333333333353</v>
      </c>
      <c r="BI135" s="59">
        <f ca="1">AVERAGE(OFFSET($BH$3,0,0,'Données projet'!$E$11+1,1))-AVERAGE(OFFSET($H$3,0,0,'Données projet'!$E$11+1,1))</f>
        <v>302.00825291248458</v>
      </c>
      <c r="BJ135" s="59">
        <f t="shared" si="146"/>
        <v>307.35115839449355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33.369057739184051</v>
      </c>
      <c r="BQ135" s="21">
        <f>EXP(-LN(2)/25)*BQ134+(1-EXP(-LN(2)/25))/(LN(2)/25)*Calculateur!BL135*Calculateur!BN135*VLOOKUP('Données projet'!$B$11,Paramètres!$A$1:$I$89,3,0)*0.475*44/12</f>
        <v>6.5802499265988779</v>
      </c>
      <c r="BR135" s="21">
        <f>EXP(-LN(2)/2)*BR134+(1-EXP(-LN(2)/2))/(LN(2)/2)*BL135*BO135*VLOOKUP('Données projet'!$B$11,Paramètres!$A$1:$I$89,3,0)*0.475*44/12</f>
        <v>8.7255383293600598E-10</v>
      </c>
      <c r="BS135" s="22">
        <f t="shared" si="117"/>
        <v>39.949307666655478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1.7053025658242404E-13</v>
      </c>
      <c r="BZ135" s="13">
        <f>BY135*VLOOKUP('Données projet'!$B$12,Paramètres!$A$1:$I$89,3,0)*VLOOKUP('Données projet'!$B$12,Paramètres!$A$1:$I$89,5,0)</f>
        <v>7.9808160080574461E-14</v>
      </c>
      <c r="CA135" s="13">
        <f t="shared" si="147"/>
        <v>1.2308384591775343E-12</v>
      </c>
      <c r="CB135" s="20">
        <f t="shared" si="118"/>
        <v>2.282709528541206E-12</v>
      </c>
      <c r="CC135" s="59">
        <f t="shared" si="119"/>
        <v>293.33333333333559</v>
      </c>
      <c r="CD135" s="59">
        <f ca="1">AVERAGE(OFFSET($CC$3,0,0,'Données projet'!$E$12+1,1))-AVERAGE(OFFSET($H$3,0,0,'Données projet'!$E$12+1,1))</f>
        <v>337.10499990421835</v>
      </c>
      <c r="CE135" s="59">
        <f t="shared" si="148"/>
        <v>277.4254079562175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142.59950655151124</v>
      </c>
      <c r="CL135" s="21">
        <f>EXP(-LN(2)/25)*CL134+(1-EXP(-LN(2)/25))/(LN(2)/25)*Calculateur!CG135*Calculateur!CI135*VLOOKUP('Données projet'!$B$12,Paramètres!$A$1:$I$89,3,0)*0.475*44/12</f>
        <v>43.684947005547222</v>
      </c>
      <c r="CM135" s="21">
        <f>EXP(-LN(2)/2)*CM134+(1-EXP(-LN(2)/2))/(LN(2)/2)*CG135*CJ135*VLOOKUP('Données projet'!$B$12,Paramètres!$A$1:$I$89,3,0)*0.475*44/12</f>
        <v>22.916378782421003</v>
      </c>
      <c r="CN135" s="22">
        <f t="shared" si="120"/>
        <v>209.20083233947946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>
        <f>VLOOKUP(A135,'Données projet'!$A$139:$I$159,2,0)</f>
        <v>340.57</v>
      </c>
      <c r="CR135" s="12">
        <f>VLOOKUP(A135,'Données projet'!$A$139:$I$159,9,0)</f>
        <v>7.1129999999999995</v>
      </c>
      <c r="CS135" s="12">
        <f t="array" ref="CS135">INDEX(CR:CR,MIN(IF(ISNUMBER(CR135:CR331),ROW(CR135:CR331),"")))</f>
        <v>7.1129999999999995</v>
      </c>
      <c r="CT135" s="12">
        <f>IF('Données projet'!$A$140&gt;35,CT134+CS135-DB134,IF(A135&lt;'Données projet'!$A$140,$CQ$205^A135,IF(A135='Données projet'!$A$140,'Données projet'!$B$140,CT134+CS135-DB134)))</f>
        <v>340.57000000000005</v>
      </c>
      <c r="CU135" s="17">
        <f>CT135*VLOOKUP('Données projet'!$B$13,Paramètres!$A$1:$I$89,3,0)*VLOOKUP('Données projet'!$B$13,Paramètres!$A$1:$I$89,5,0)</f>
        <v>340.02508800000004</v>
      </c>
      <c r="CV135" s="13">
        <f t="shared" si="149"/>
        <v>79.505129739177207</v>
      </c>
      <c r="CW135" s="20">
        <f t="shared" si="121"/>
        <v>730.68179589573367</v>
      </c>
      <c r="CX135" s="59">
        <f t="shared" si="122"/>
        <v>1024.015129229067</v>
      </c>
      <c r="CY135" s="59">
        <f ca="1">AVERAGE(OFFSET($CX$3,0,0,'Données projet'!$E$13+1,1))-AVERAGE(OFFSET($H$3,0,0,'Données projet'!$E$13+1,1))</f>
        <v>525.74725170626471</v>
      </c>
      <c r="CZ135" s="59">
        <f t="shared" si="150"/>
        <v>259.19103598192197</v>
      </c>
      <c r="DA135" s="15">
        <f>IF(ISNA(VLOOKUP(A135,'Données projet'!$A$139:$I$159,3,0)),0,VLOOKUP(A135,'Données projet'!$A$139:$I$159,3,0))</f>
        <v>9</v>
      </c>
      <c r="DB135" s="15">
        <f>IF(ISNA(VLOOKUP(A135,'Données projet'!$A$139:$I$159,4,0)),0,VLOOKUP(A135,'Données projet'!$A$139:$I$159,4,0))</f>
        <v>48.699999999999989</v>
      </c>
      <c r="DC135" s="16">
        <f>IF(ISNA(VLOOKUP(A135,'Données projet'!$A$139:$I$159,5,0)),0%,VLOOKUP(A135,'Données projet'!$A$139:$I$159,5,0)*VLOOKUP('Données projet'!$B$13,Paramètres!$A$1:$I$89,7,0))</f>
        <v>0.15049999999999999</v>
      </c>
      <c r="DD135" s="16">
        <f>IF(ISNA(VLOOKUP(A135,'Données projet'!$A$139:$I$159,6,0)),0%,VLOOKUP(A135,'Données projet'!$A$139:$I$159,6,0)*VLOOKUP('Données projet'!$B$13,Paramètres!$A$1:$I$89,7,0))</f>
        <v>8.6000000000000007E-2</v>
      </c>
      <c r="DE135" s="16">
        <f>IF(ISNA(VLOOKUP(A135,'Données projet'!$A$139:$I$159,7,0)),0%,VLOOKUP(A135,'Données projet'!$A$139:$I$159,7,0))</f>
        <v>0.1</v>
      </c>
      <c r="DF135" s="21">
        <f>EXP(-LN(2)/35)*DF134+(1-EXP(-LN(2)/35))/(LN(2)/35)*DB135*DC135*VLOOKUP('Données projet'!$B$13,Paramètres!$A$1:$I$89,3,0)*0.475*44/12</f>
        <v>28.717225669505957</v>
      </c>
      <c r="DG135" s="21">
        <f>EXP(-LN(2)/25)*DG134+(1-EXP(-LN(2)/25))/(LN(2)/25)*Calculateur!DB135*Calculateur!DD135*VLOOKUP('Données projet'!$B$13,Paramètres!$A$1:$I$89,3,0)*0.475*44/12</f>
        <v>23.669809671294544</v>
      </c>
      <c r="DH135" s="21">
        <f>EXP(-LN(2)/2)*DH134+(1-EXP(-LN(2)/2))/(LN(2)/2)*DB135*DE135*VLOOKUP('Données projet'!$B$13,Paramètres!$A$1:$I$89,3,0)*0.475*44/12</f>
        <v>4.7281936862314122</v>
      </c>
      <c r="DI135" s="22">
        <f t="shared" si="123"/>
        <v>57.115229027031916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7.7849999999999966</v>
      </c>
      <c r="DO135" s="12">
        <f>IF('Données projet'!$A$166&gt;35,DO134+DN135-DW134,IF(A135&lt;'Données projet'!$A$166,$DL$205^A135,IF(A135='Données projet'!$A$166,'Données projet'!$B$166,DO134+DN135-DW134)))</f>
        <v>389.10500000000036</v>
      </c>
      <c r="DP135" s="17">
        <f>DO135*VLOOKUP('Données projet'!$B$14,Paramètres!$A$1:$I$89,3,0)*VLOOKUP('Données projet'!$B$14,Paramètres!$A$1:$I$89,5,0)</f>
        <v>352.06220400000029</v>
      </c>
      <c r="DQ135" s="13">
        <f t="shared" si="151"/>
        <v>81.986995165225665</v>
      </c>
      <c r="DR135" s="20">
        <f t="shared" si="124"/>
        <v>755.96902187943522</v>
      </c>
      <c r="DS135" s="59">
        <f t="shared" si="125"/>
        <v>1049.3023552127686</v>
      </c>
      <c r="DT135" s="59">
        <f ca="1">AVERAGE(OFFSET($DS$3,0,0,'Données projet'!$E$14+1,1))-AVERAGE(OFFSET($H$3,0,0,'Données projet'!$E$14+1,1))</f>
        <v>490.06222615476065</v>
      </c>
      <c r="DU135" s="59">
        <f t="shared" si="152"/>
        <v>310.43914804089906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36.345697292139469</v>
      </c>
      <c r="EB135" s="21">
        <f>EXP(-LN(2)/25)*EB134+(1-EXP(-LN(2)/25))/(LN(2)/25)*Calculateur!DW135*Calculateur!DY135*VLOOKUP('Données projet'!$B$14,Paramètres!$A$1:$I$89,3,0)*0.475*44/12</f>
        <v>17.84390569388</v>
      </c>
      <c r="EC135" s="21">
        <f>EXP(-LN(2)/2)*EC134+(1-EXP(-LN(2)/2))/(LN(2)/2)*DW135*DZ135*VLOOKUP('Données projet'!$B$14,Paramètres!$A$1:$I$89,3,0)*0.475*44/12</f>
        <v>2.1444333041835902E-4</v>
      </c>
      <c r="ED135" s="22">
        <f t="shared" si="126"/>
        <v>54.189817429349887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>
        <f>VLOOKUP(A135,'Données projet'!$A$191:$I$211,2,0)</f>
        <v>340.57</v>
      </c>
      <c r="EH135" s="12">
        <f>VLOOKUP(A135,'Données projet'!$A$191:$I$211,9,0)</f>
        <v>7.1129999999999995</v>
      </c>
      <c r="EI135" s="12">
        <f t="array" ref="EI135">INDEX(EH:EH,MIN(IF(ISNUMBER(EH135:EH331),ROW(EH135:EH331),"")))</f>
        <v>7.1129999999999995</v>
      </c>
      <c r="EJ135" s="12">
        <f>IF('Données projet'!$A$192&gt;35,EJ134+EI135-ER134,IF(A135&lt;'Données projet'!$A$192,$EG$205^A135,IF(A135='Données projet'!$A$192,'Données projet'!$B$192,EJ134+EI135-ER134)))</f>
        <v>340.57000000000005</v>
      </c>
      <c r="EK135" s="17">
        <f>EJ135*VLOOKUP('Données projet'!$B$15,Paramètres!$A$1:$I$89,3,0)*VLOOKUP('Données projet'!$B$15,Paramètres!$A$1:$I$89,5,0)</f>
        <v>345.33798000000007</v>
      </c>
      <c r="EL135" s="13">
        <f t="shared" si="153"/>
        <v>80.601805001623404</v>
      </c>
      <c r="EM135" s="20">
        <f t="shared" si="127"/>
        <v>741.84512554449418</v>
      </c>
      <c r="EN135" s="59">
        <f t="shared" si="128"/>
        <v>1035.1784588778276</v>
      </c>
      <c r="EO135" s="59">
        <f ca="1">AVERAGE(OFFSET($EN$3,0,0,'Données projet'!$E$15+1,1))-AVERAGE(OFFSET($H$3,0,0,'Données projet'!$E$15+1,1))</f>
        <v>533.26035274112917</v>
      </c>
      <c r="EP135" s="59">
        <f t="shared" si="154"/>
        <v>262.58149402282521</v>
      </c>
      <c r="EQ135" s="15">
        <f>IF(ISNA(VLOOKUP(A135,'Données projet'!$A$191:$I$211,3,0)),0,VLOOKUP(A135,'Données projet'!$A$191:$I$211,3,0))</f>
        <v>9</v>
      </c>
      <c r="ER135" s="15">
        <f>IF(ISNA(VLOOKUP(A135,'Données projet'!$A$191:$I$211,4,0)),0,VLOOKUP(A135,'Données projet'!$A$191:$I$211,4,0))</f>
        <v>48.699999999999989</v>
      </c>
      <c r="ES135" s="16">
        <f>IF(ISNA(VLOOKUP(A135,'Données projet'!$A$191:$I$211,5,0)),0%,VLOOKUP(A135,'Données projet'!$A$191:$I$211,5,0)*VLOOKUP('Données projet'!$B$15,Paramètres!$A$1:$I$89,7,0))</f>
        <v>0.15049999999999999</v>
      </c>
      <c r="ET135" s="16">
        <f>IF(ISNA(VLOOKUP(A135,'Données projet'!$A$191:$I$211,6,0)),0%,VLOOKUP(A135,'Données projet'!$A$191:$I$211,6,0)*VLOOKUP('Données projet'!$B$15,Paramètres!$A$1:$I$89,7,0))</f>
        <v>8.6000000000000007E-2</v>
      </c>
      <c r="EU135" s="16">
        <f>IF(ISNA(VLOOKUP(A135,'Données projet'!$A$191:$I$211,7,0)),0%,VLOOKUP(A135,'Données projet'!$A$191:$I$211,7,0))</f>
        <v>0.1</v>
      </c>
      <c r="EV135" s="21">
        <f>EXP(-LN(2)/35)*EV134+(1-EXP(-LN(2)/35))/(LN(2)/35)*ER135*ES135*VLOOKUP('Données projet'!$B$15,Paramètres!$A$1:$I$89,3,0)*0.475*44/12</f>
        <v>29.165932320591985</v>
      </c>
      <c r="EW135" s="21">
        <f>EXP(-LN(2)/25)*EW134+(1-EXP(-LN(2)/25))/(LN(2)/25)*Calculateur!ER135*Calculateur!ET135*VLOOKUP('Données projet'!$B$15,Paramètres!$A$1:$I$89,3,0)*0.475*44/12</f>
        <v>24.039650447408519</v>
      </c>
      <c r="EX135" s="21">
        <f>EXP(-LN(2)/2)*EX134+(1-EXP(-LN(2)/2))/(LN(2)/2)*ER135*EU135*VLOOKUP('Données projet'!$B$15,Paramètres!$A$1:$I$89,3,0)*0.475*44/12</f>
        <v>4.802071712578778</v>
      </c>
      <c r="EY135" s="22">
        <f t="shared" si="129"/>
        <v>58.007654480579284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239.26156489359892</v>
      </c>
      <c r="FK135" s="59">
        <f t="shared" si="156"/>
        <v>213.97034450798111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4.7070928833569887</v>
      </c>
      <c r="FR135" s="21">
        <f>EXP(-LN(2)/25)*FR134+(1-EXP(-LN(2)/25))/(LN(2)/25)*Calculateur!FM135*Calculateur!FO135*VLOOKUP('Données projet'!$B$16,Paramètres!$A$1:$I$89,3,0)*0.475*44/12</f>
        <v>19.93051312769617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24.637606011053158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2.5579538487363607E-13</v>
      </c>
      <c r="O136" s="13">
        <f>N136*VLOOKUP('Données projet'!$B$9,Paramètres!$A$1:$I$89,3,0)*VLOOKUP('Données projet'!$B$9,Paramètres!$A$1:$I$89,5,0)</f>
        <v>2.4341488824575211E-13</v>
      </c>
      <c r="P136" s="13">
        <f t="shared" si="141"/>
        <v>3.2970717324875541E-12</v>
      </c>
      <c r="Q136" s="20">
        <f t="shared" si="108"/>
        <v>6.1663475311105072E-12</v>
      </c>
      <c r="R136" s="59">
        <f t="shared" si="109"/>
        <v>293.33333333333945</v>
      </c>
      <c r="S136" s="59">
        <f ca="1">AVERAGE(OFFSET($R$3,0,0,'Données projet'!$E$9+1,1))-AVERAGE(OFFSET($H$3,0,0,'Données projet'!$E$9+1,1))</f>
        <v>449.28947235329758</v>
      </c>
      <c r="T136" s="59">
        <f t="shared" si="142"/>
        <v>289.36994109443964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111.95651008447435</v>
      </c>
      <c r="AA136" s="21">
        <f>EXP(-LN(2)/25)*AA135+(1-EXP(-LN(2)/25))/(LN(2)/25)*Calculateur!V136*Calculateur!X136*VLOOKUP('Données projet'!$B$9,Paramètres!$A$1:$I$89,3,0)*0.475*44/12</f>
        <v>22.78262258218971</v>
      </c>
      <c r="AB136" s="21">
        <f>EXP(-LN(2)/2)*AB135+(1-EXP(-LN(2)/2))/(LN(2)/2)*V136*Y136*VLOOKUP('Données projet'!$B$9,Paramètres!$A$1:$I$89,3,0)*0.475*44/12</f>
        <v>2.5319527984975552</v>
      </c>
      <c r="AC136" s="22">
        <f t="shared" si="111"/>
        <v>137.2710854651616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-2.2737367544323206E-13</v>
      </c>
      <c r="AJ136" s="13">
        <f>AI136*VLOOKUP('Données projet'!$B$10,Paramètres!$A$1:$I$89,3,0)*VLOOKUP('Données projet'!$B$10,Paramètres!$A$1:$I$89,5,0)</f>
        <v>-1.3596945791505279E-13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349.71285006949597</v>
      </c>
      <c r="AO136" s="59">
        <f t="shared" si="144"/>
        <v>258.51550516456842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53.654304231213985</v>
      </c>
      <c r="AV136" s="21">
        <f>EXP(-LN(2)/25)*AV135+(1-EXP(-LN(2)/25))/(LN(2)/25)*Calculateur!AQ136*Calculateur!AS136*VLOOKUP('Données projet'!$B$10,Paramètres!$A$1:$I$89,3,0)*0.475*44/12</f>
        <v>11.903633204979929</v>
      </c>
      <c r="AW136" s="21">
        <f>EXP(-LN(2)/2)*AW135+(1-EXP(-LN(2)/2))/(LN(2)/2)*AQ136*AT136*VLOOKUP('Données projet'!$B$10,Paramètres!$A$1:$I$89,3,0)*0.475*44/12</f>
        <v>7.4512090783538709E-7</v>
      </c>
      <c r="AX136" s="21">
        <f t="shared" si="114"/>
        <v>65.557938181314825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1.1368683772161603E-13</v>
      </c>
      <c r="BE136" s="13">
        <f>BD136*VLOOKUP('Données projet'!$B$11,Paramètres!$A$1:$I$89,3,0)*VLOOKUP('Données projet'!$B$11,Paramètres!$A$1:$I$89,5,0)</f>
        <v>6.7984728957526396E-14</v>
      </c>
      <c r="BF136" s="13">
        <f t="shared" si="145"/>
        <v>1.0682447123141398E-12</v>
      </c>
      <c r="BG136" s="20">
        <f t="shared" si="115"/>
        <v>1.978932943548152E-12</v>
      </c>
      <c r="BH136" s="59">
        <f t="shared" si="116"/>
        <v>293.3333333333353</v>
      </c>
      <c r="BI136" s="59">
        <f ca="1">AVERAGE(OFFSET($BH$3,0,0,'Données projet'!$E$11+1,1))-AVERAGE(OFFSET($H$3,0,0,'Données projet'!$E$11+1,1))</f>
        <v>302.00825291248458</v>
      </c>
      <c r="BJ136" s="59">
        <f t="shared" si="146"/>
        <v>307.35115839449355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32.714710870034168</v>
      </c>
      <c r="BQ136" s="21">
        <f>EXP(-LN(2)/25)*BQ135+(1-EXP(-LN(2)/25))/(LN(2)/25)*Calculateur!BL136*Calculateur!BN136*VLOOKUP('Données projet'!$B$11,Paramètres!$A$1:$I$89,3,0)*0.475*44/12</f>
        <v>6.4003126463157276</v>
      </c>
      <c r="BR136" s="21">
        <f>EXP(-LN(2)/2)*BR135+(1-EXP(-LN(2)/2))/(LN(2)/2)*BL136*BO136*VLOOKUP('Données projet'!$B$11,Paramètres!$A$1:$I$89,3,0)*0.475*44/12</f>
        <v>6.1698873221936372E-10</v>
      </c>
      <c r="BS136" s="22">
        <f t="shared" si="117"/>
        <v>39.115023516966879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1.7053025658242404E-13</v>
      </c>
      <c r="BZ136" s="13">
        <f>BY136*VLOOKUP('Données projet'!$B$12,Paramètres!$A$1:$I$89,3,0)*VLOOKUP('Données projet'!$B$12,Paramètres!$A$1:$I$89,5,0)</f>
        <v>7.9808160080574461E-14</v>
      </c>
      <c r="CA136" s="13">
        <f t="shared" si="147"/>
        <v>1.2308384591775343E-12</v>
      </c>
      <c r="CB136" s="20">
        <f t="shared" si="118"/>
        <v>2.282709528541206E-12</v>
      </c>
      <c r="CC136" s="59">
        <f t="shared" si="119"/>
        <v>293.33333333333559</v>
      </c>
      <c r="CD136" s="59">
        <f ca="1">AVERAGE(OFFSET($CC$3,0,0,'Données projet'!$E$12+1,1))-AVERAGE(OFFSET($H$3,0,0,'Données projet'!$E$12+1,1))</f>
        <v>337.10499990421835</v>
      </c>
      <c r="CE136" s="59">
        <f t="shared" si="148"/>
        <v>277.4254079562175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139.80321720514684</v>
      </c>
      <c r="CL136" s="21">
        <f>EXP(-LN(2)/25)*CL135+(1-EXP(-LN(2)/25))/(LN(2)/25)*Calculateur!CG136*Calculateur!CI136*VLOOKUP('Données projet'!$B$12,Paramètres!$A$1:$I$89,3,0)*0.475*44/12</f>
        <v>42.490379832389017</v>
      </c>
      <c r="CM136" s="21">
        <f>EXP(-LN(2)/2)*CM135+(1-EXP(-LN(2)/2))/(LN(2)/2)*CG136*CJ136*VLOOKUP('Données projet'!$B$12,Paramètres!$A$1:$I$89,3,0)*0.475*44/12</f>
        <v>16.204326837289408</v>
      </c>
      <c r="CN136" s="22">
        <f t="shared" si="120"/>
        <v>198.49792387482526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7.3375000000000012</v>
      </c>
      <c r="CT136" s="12">
        <f>IF('Données projet'!$A$140&gt;35,CT135+CS136-DB135,IF(A136&lt;'Données projet'!$A$140,$CQ$205^A136,IF(A136='Données projet'!$A$140,'Données projet'!$B$140,CT135+CS136-DB135)))</f>
        <v>299.20750000000004</v>
      </c>
      <c r="CU136" s="17">
        <f>CT136*VLOOKUP('Données projet'!$B$13,Paramètres!$A$1:$I$89,3,0)*VLOOKUP('Données projet'!$B$13,Paramètres!$A$1:$I$89,5,0)</f>
        <v>298.72876800000006</v>
      </c>
      <c r="CV136" s="13">
        <f t="shared" si="149"/>
        <v>70.909898592323501</v>
      </c>
      <c r="CW136" s="20">
        <f t="shared" si="121"/>
        <v>643.78734431496343</v>
      </c>
      <c r="CX136" s="59">
        <f t="shared" si="122"/>
        <v>937.12067764829681</v>
      </c>
      <c r="CY136" s="59">
        <f ca="1">AVERAGE(OFFSET($CX$3,0,0,'Données projet'!$E$13+1,1))-AVERAGE(OFFSET($H$3,0,0,'Données projet'!$E$13+1,1))</f>
        <v>525.74725170626471</v>
      </c>
      <c r="CZ136" s="59">
        <f t="shared" si="150"/>
        <v>259.19103598192197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28.154098389905066</v>
      </c>
      <c r="DG136" s="21">
        <f>EXP(-LN(2)/25)*DG135+(1-EXP(-LN(2)/25))/(LN(2)/25)*Calculateur!DB136*Calculateur!DD136*VLOOKUP('Données projet'!$B$13,Paramètres!$A$1:$I$89,3,0)*0.475*44/12</f>
        <v>23.022557481091802</v>
      </c>
      <c r="DH136" s="21">
        <f>EXP(-LN(2)/2)*DH135+(1-EXP(-LN(2)/2))/(LN(2)/2)*DB136*DE136*VLOOKUP('Données projet'!$B$13,Paramètres!$A$1:$I$89,3,0)*0.475*44/12</f>
        <v>3.343337818297651</v>
      </c>
      <c r="DI136" s="22">
        <f t="shared" si="123"/>
        <v>54.519993689294516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7.7849999999999966</v>
      </c>
      <c r="DO136" s="12">
        <f>IF('Données projet'!$A$166&gt;35,DO135+DN136-DW135,IF(A136&lt;'Données projet'!$A$166,$DL$205^A136,IF(A136='Données projet'!$A$166,'Données projet'!$B$166,DO135+DN136-DW135)))</f>
        <v>396.89000000000033</v>
      </c>
      <c r="DP136" s="17">
        <f>DO136*VLOOKUP('Données projet'!$B$14,Paramètres!$A$1:$I$89,3,0)*VLOOKUP('Données projet'!$B$14,Paramètres!$A$1:$I$89,5,0)</f>
        <v>359.10607200000027</v>
      </c>
      <c r="DQ136" s="13">
        <f t="shared" si="151"/>
        <v>83.434733954740693</v>
      </c>
      <c r="DR136" s="20">
        <f t="shared" si="124"/>
        <v>770.75857037117385</v>
      </c>
      <c r="DS136" s="59">
        <f t="shared" si="125"/>
        <v>1064.0919037045071</v>
      </c>
      <c r="DT136" s="59">
        <f ca="1">AVERAGE(OFFSET($DS$3,0,0,'Données projet'!$E$14+1,1))-AVERAGE(OFFSET($H$3,0,0,'Données projet'!$E$14+1,1))</f>
        <v>490.06222615476065</v>
      </c>
      <c r="DU136" s="59">
        <f t="shared" si="152"/>
        <v>310.43914804089906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35.632980336926984</v>
      </c>
      <c r="EB136" s="21">
        <f>EXP(-LN(2)/25)*EB135+(1-EXP(-LN(2)/25))/(LN(2)/25)*Calculateur!DW136*Calculateur!DY136*VLOOKUP('Données projet'!$B$14,Paramètres!$A$1:$I$89,3,0)*0.475*44/12</f>
        <v>17.355963154310633</v>
      </c>
      <c r="EC136" s="21">
        <f>EXP(-LN(2)/2)*EC135+(1-EXP(-LN(2)/2))/(LN(2)/2)*DW136*DZ136*VLOOKUP('Données projet'!$B$14,Paramètres!$A$1:$I$89,3,0)*0.475*44/12</f>
        <v>1.516343331190491E-4</v>
      </c>
      <c r="ED136" s="22">
        <f t="shared" si="126"/>
        <v>52.989095125570742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7.3375000000000012</v>
      </c>
      <c r="EJ136" s="12">
        <f>IF('Données projet'!$A$192&gt;35,EJ135+EI136-ER135,IF(A136&lt;'Données projet'!$A$192,$EG$205^A136,IF(A136='Données projet'!$A$192,'Données projet'!$B$192,EJ135+EI136-ER135)))</f>
        <v>299.20750000000004</v>
      </c>
      <c r="EK136" s="17">
        <f>EJ136*VLOOKUP('Données projet'!$B$15,Paramètres!$A$1:$I$89,3,0)*VLOOKUP('Données projet'!$B$15,Paramètres!$A$1:$I$89,5,0)</f>
        <v>303.39640500000007</v>
      </c>
      <c r="EL136" s="13">
        <f t="shared" si="153"/>
        <v>71.888013236043776</v>
      </c>
      <c r="EM136" s="20">
        <f t="shared" si="127"/>
        <v>653.62036176110962</v>
      </c>
      <c r="EN136" s="59">
        <f t="shared" si="128"/>
        <v>946.95369509444299</v>
      </c>
      <c r="EO136" s="59">
        <f ca="1">AVERAGE(OFFSET($EN$3,0,0,'Données projet'!$E$15+1,1))-AVERAGE(OFFSET($H$3,0,0,'Données projet'!$E$15+1,1))</f>
        <v>533.26035274112917</v>
      </c>
      <c r="EP136" s="59">
        <f t="shared" si="154"/>
        <v>262.58149402282521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28.594006177247326</v>
      </c>
      <c r="EW136" s="21">
        <f>EXP(-LN(2)/25)*EW135+(1-EXP(-LN(2)/25))/(LN(2)/25)*Calculateur!ER136*Calculateur!ET136*VLOOKUP('Données projet'!$B$15,Paramètres!$A$1:$I$89,3,0)*0.475*44/12</f>
        <v>23.382284941733861</v>
      </c>
      <c r="EX136" s="21">
        <f>EXP(-LN(2)/2)*EX135+(1-EXP(-LN(2)/2))/(LN(2)/2)*ER136*EU136*VLOOKUP('Données projet'!$B$15,Paramètres!$A$1:$I$89,3,0)*0.475*44/12</f>
        <v>3.3955774717085516</v>
      </c>
      <c r="EY136" s="22">
        <f t="shared" si="129"/>
        <v>55.371868590689736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239.26156489359892</v>
      </c>
      <c r="FK136" s="59">
        <f t="shared" si="156"/>
        <v>213.97034450798111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4.6147896629575254</v>
      </c>
      <c r="FR136" s="21">
        <f>EXP(-LN(2)/25)*FR135+(1-EXP(-LN(2)/25))/(LN(2)/25)*Calculateur!FM136*Calculateur!FO136*VLOOKUP('Données projet'!$B$16,Paramètres!$A$1:$I$89,3,0)*0.475*44/12</f>
        <v>19.385512198119184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24.000301861076707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2.5579538487363607E-13</v>
      </c>
      <c r="O137" s="13">
        <f>N137*VLOOKUP('Données projet'!$B$9,Paramètres!$A$1:$I$89,3,0)*VLOOKUP('Données projet'!$B$9,Paramètres!$A$1:$I$89,5,0)</f>
        <v>2.4341488824575211E-13</v>
      </c>
      <c r="P137" s="13">
        <f t="shared" si="141"/>
        <v>3.2970717324875541E-12</v>
      </c>
      <c r="Q137" s="20">
        <f t="shared" si="108"/>
        <v>6.1663475311105072E-12</v>
      </c>
      <c r="R137" s="59">
        <f t="shared" si="109"/>
        <v>293.33333333333945</v>
      </c>
      <c r="S137" s="59">
        <f ca="1">AVERAGE(OFFSET($R$3,0,0,'Données projet'!$E$9+1,1))-AVERAGE(OFFSET($H$3,0,0,'Données projet'!$E$9+1,1))</f>
        <v>449.28947235329758</v>
      </c>
      <c r="T137" s="59">
        <f t="shared" si="142"/>
        <v>289.36994109443964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109.7611112084462</v>
      </c>
      <c r="AA137" s="21">
        <f>EXP(-LN(2)/25)*AA136+(1-EXP(-LN(2)/25))/(LN(2)/25)*Calculateur!V137*Calculateur!X137*VLOOKUP('Données projet'!$B$9,Paramètres!$A$1:$I$89,3,0)*0.475*44/12</f>
        <v>22.159630569593681</v>
      </c>
      <c r="AB137" s="21">
        <f>EXP(-LN(2)/2)*AB136+(1-EXP(-LN(2)/2))/(LN(2)/2)*V137*Y137*VLOOKUP('Données projet'!$B$9,Paramètres!$A$1:$I$89,3,0)*0.475*44/12</f>
        <v>1.7903609934618776</v>
      </c>
      <c r="AC137" s="22">
        <f t="shared" si="111"/>
        <v>133.71110277150177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-2.2737367544323206E-13</v>
      </c>
      <c r="AJ137" s="13">
        <f>AI137*VLOOKUP('Données projet'!$B$10,Paramètres!$A$1:$I$89,3,0)*VLOOKUP('Données projet'!$B$10,Paramètres!$A$1:$I$89,5,0)</f>
        <v>-1.3596945791505279E-13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349.71285006949597</v>
      </c>
      <c r="AO137" s="59">
        <f t="shared" si="144"/>
        <v>258.51550516456842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52.602176051134045</v>
      </c>
      <c r="AV137" s="21">
        <f>EXP(-LN(2)/25)*AV136+(1-EXP(-LN(2)/25))/(LN(2)/25)*Calculateur!AQ137*Calculateur!AS137*VLOOKUP('Données projet'!$B$10,Paramètres!$A$1:$I$89,3,0)*0.475*44/12</f>
        <v>11.578127729004889</v>
      </c>
      <c r="AW137" s="21">
        <f>EXP(-LN(2)/2)*AW136+(1-EXP(-LN(2)/2))/(LN(2)/2)*AQ137*AT137*VLOOKUP('Données projet'!$B$10,Paramètres!$A$1:$I$89,3,0)*0.475*44/12</f>
        <v>5.268800467342787E-7</v>
      </c>
      <c r="AX137" s="21">
        <f t="shared" si="114"/>
        <v>64.180304307018972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1.1368683772161603E-13</v>
      </c>
      <c r="BE137" s="13">
        <f>BD137*VLOOKUP('Données projet'!$B$11,Paramètres!$A$1:$I$89,3,0)*VLOOKUP('Données projet'!$B$11,Paramètres!$A$1:$I$89,5,0)</f>
        <v>6.7984728957526396E-14</v>
      </c>
      <c r="BF137" s="13">
        <f t="shared" si="145"/>
        <v>1.0682447123141398E-12</v>
      </c>
      <c r="BG137" s="20">
        <f t="shared" si="115"/>
        <v>1.978932943548152E-12</v>
      </c>
      <c r="BH137" s="59">
        <f t="shared" si="116"/>
        <v>293.3333333333353</v>
      </c>
      <c r="BI137" s="59">
        <f ca="1">AVERAGE(OFFSET($BH$3,0,0,'Données projet'!$E$11+1,1))-AVERAGE(OFFSET($H$3,0,0,'Données projet'!$E$11+1,1))</f>
        <v>302.00825291248458</v>
      </c>
      <c r="BJ137" s="59">
        <f t="shared" si="146"/>
        <v>307.35115839449355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32.073195343876137</v>
      </c>
      <c r="BQ137" s="21">
        <f>EXP(-LN(2)/25)*BQ136+(1-EXP(-LN(2)/25))/(LN(2)/25)*Calculateur!BL137*Calculateur!BN137*VLOOKUP('Données projet'!$B$11,Paramètres!$A$1:$I$89,3,0)*0.475*44/12</f>
        <v>6.2252957604244097</v>
      </c>
      <c r="BR137" s="21">
        <f>EXP(-LN(2)/2)*BR136+(1-EXP(-LN(2)/2))/(LN(2)/2)*BL137*BO137*VLOOKUP('Données projet'!$B$11,Paramètres!$A$1:$I$89,3,0)*0.475*44/12</f>
        <v>4.3627691646800299E-10</v>
      </c>
      <c r="BS137" s="22">
        <f t="shared" si="117"/>
        <v>38.298491104736826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1.7053025658242404E-13</v>
      </c>
      <c r="BZ137" s="13">
        <f>BY137*VLOOKUP('Données projet'!$B$12,Paramètres!$A$1:$I$89,3,0)*VLOOKUP('Données projet'!$B$12,Paramètres!$A$1:$I$89,5,0)</f>
        <v>7.9808160080574461E-14</v>
      </c>
      <c r="CA137" s="13">
        <f t="shared" si="147"/>
        <v>1.2308384591775343E-12</v>
      </c>
      <c r="CB137" s="20">
        <f t="shared" si="118"/>
        <v>2.282709528541206E-12</v>
      </c>
      <c r="CC137" s="59">
        <f t="shared" si="119"/>
        <v>293.33333333333559</v>
      </c>
      <c r="CD137" s="59">
        <f ca="1">AVERAGE(OFFSET($CC$3,0,0,'Données projet'!$E$12+1,1))-AVERAGE(OFFSET($H$3,0,0,'Données projet'!$E$12+1,1))</f>
        <v>337.10499990421835</v>
      </c>
      <c r="CE137" s="59">
        <f t="shared" si="148"/>
        <v>277.4254079562175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137.06176138729654</v>
      </c>
      <c r="CL137" s="21">
        <f>EXP(-LN(2)/25)*CL136+(1-EXP(-LN(2)/25))/(LN(2)/25)*Calculateur!CG137*Calculateur!CI137*VLOOKUP('Données projet'!$B$12,Paramètres!$A$1:$I$89,3,0)*0.475*44/12</f>
        <v>41.328478161400376</v>
      </c>
      <c r="CM137" s="21">
        <f>EXP(-LN(2)/2)*CM136+(1-EXP(-LN(2)/2))/(LN(2)/2)*CG137*CJ137*VLOOKUP('Données projet'!$B$12,Paramètres!$A$1:$I$89,3,0)*0.475*44/12</f>
        <v>11.458189391210501</v>
      </c>
      <c r="CN137" s="22">
        <f t="shared" si="120"/>
        <v>189.84842893990742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7.3375000000000012</v>
      </c>
      <c r="CT137" s="12">
        <f>IF('Données projet'!$A$140&gt;35,CT136+CS137-DB136,IF(A137&lt;'Données projet'!$A$140,$CQ$205^A137,IF(A137='Données projet'!$A$140,'Données projet'!$B$140,CT136+CS137-DB136)))</f>
        <v>306.54500000000002</v>
      </c>
      <c r="CU137" s="17">
        <f>CT137*VLOOKUP('Données projet'!$B$13,Paramètres!$A$1:$I$89,3,0)*VLOOKUP('Données projet'!$B$13,Paramètres!$A$1:$I$89,5,0)</f>
        <v>306.05452800000006</v>
      </c>
      <c r="CV137" s="13">
        <f t="shared" si="149"/>
        <v>72.444245332786068</v>
      </c>
      <c r="CW137" s="20">
        <f t="shared" si="121"/>
        <v>659.21869688793583</v>
      </c>
      <c r="CX137" s="59">
        <f t="shared" si="122"/>
        <v>952.55203022126921</v>
      </c>
      <c r="CY137" s="59">
        <f ca="1">AVERAGE(OFFSET($CX$3,0,0,'Données projet'!$E$13+1,1))-AVERAGE(OFFSET($H$3,0,0,'Données projet'!$E$13+1,1))</f>
        <v>525.74725170626471</v>
      </c>
      <c r="CZ137" s="59">
        <f t="shared" si="150"/>
        <v>259.19103598192197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27.602013692783419</v>
      </c>
      <c r="DG137" s="21">
        <f>EXP(-LN(2)/25)*DG136+(1-EXP(-LN(2)/25))/(LN(2)/25)*Calculateur!DB137*Calculateur!DD137*VLOOKUP('Données projet'!$B$13,Paramètres!$A$1:$I$89,3,0)*0.475*44/12</f>
        <v>22.393004436067667</v>
      </c>
      <c r="DH137" s="21">
        <f>EXP(-LN(2)/2)*DH136+(1-EXP(-LN(2)/2))/(LN(2)/2)*DB137*DE137*VLOOKUP('Données projet'!$B$13,Paramètres!$A$1:$I$89,3,0)*0.475*44/12</f>
        <v>2.3640968431157066</v>
      </c>
      <c r="DI137" s="22">
        <f t="shared" si="123"/>
        <v>52.35911497196679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7.7849999999999966</v>
      </c>
      <c r="DO137" s="12">
        <f>IF('Données projet'!$A$166&gt;35,DO136+DN137-DW136,IF(A137&lt;'Données projet'!$A$166,$DL$205^A137,IF(A137='Données projet'!$A$166,'Données projet'!$B$166,DO136+DN137-DW136)))</f>
        <v>404.6750000000003</v>
      </c>
      <c r="DP137" s="17">
        <f>DO137*VLOOKUP('Données projet'!$B$14,Paramètres!$A$1:$I$89,3,0)*VLOOKUP('Données projet'!$B$14,Paramètres!$A$1:$I$89,5,0)</f>
        <v>366.14994000000024</v>
      </c>
      <c r="DQ137" s="13">
        <f t="shared" si="151"/>
        <v>84.879170832991178</v>
      </c>
      <c r="DR137" s="20">
        <f t="shared" si="124"/>
        <v>785.54236803412675</v>
      </c>
      <c r="DS137" s="59">
        <f t="shared" si="125"/>
        <v>1078.8757013674601</v>
      </c>
      <c r="DT137" s="59">
        <f ca="1">AVERAGE(OFFSET($DS$3,0,0,'Données projet'!$E$14+1,1))-AVERAGE(OFFSET($H$3,0,0,'Données projet'!$E$14+1,1))</f>
        <v>490.06222615476065</v>
      </c>
      <c r="DU137" s="59">
        <f t="shared" si="152"/>
        <v>310.43914804089906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34.934239326491799</v>
      </c>
      <c r="EB137" s="21">
        <f>EXP(-LN(2)/25)*EB136+(1-EXP(-LN(2)/25))/(LN(2)/25)*Calculateur!DW137*Calculateur!DY137*VLOOKUP('Données projet'!$B$14,Paramètres!$A$1:$I$89,3,0)*0.475*44/12</f>
        <v>16.881363429145573</v>
      </c>
      <c r="EC137" s="21">
        <f>EXP(-LN(2)/2)*EC136+(1-EXP(-LN(2)/2))/(LN(2)/2)*DW137*DZ137*VLOOKUP('Données projet'!$B$14,Paramètres!$A$1:$I$89,3,0)*0.475*44/12</f>
        <v>1.0722166520917951E-4</v>
      </c>
      <c r="ED137" s="22">
        <f t="shared" si="126"/>
        <v>51.815709977302582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7.3375000000000012</v>
      </c>
      <c r="EJ137" s="12">
        <f>IF('Données projet'!$A$192&gt;35,EJ136+EI137-ER136,IF(A137&lt;'Données projet'!$A$192,$EG$205^A137,IF(A137='Données projet'!$A$192,'Données projet'!$B$192,EJ136+EI137-ER136)))</f>
        <v>306.54500000000002</v>
      </c>
      <c r="EK137" s="17">
        <f>EJ137*VLOOKUP('Données projet'!$B$15,Paramètres!$A$1:$I$89,3,0)*VLOOKUP('Données projet'!$B$15,Paramètres!$A$1:$I$89,5,0)</f>
        <v>310.83663000000001</v>
      </c>
      <c r="EL137" s="13">
        <f t="shared" si="153"/>
        <v>73.443524398472576</v>
      </c>
      <c r="EM137" s="20">
        <f t="shared" si="127"/>
        <v>669.28793557733968</v>
      </c>
      <c r="EN137" s="59">
        <f t="shared" si="128"/>
        <v>962.62126891067305</v>
      </c>
      <c r="EO137" s="59">
        <f ca="1">AVERAGE(OFFSET($EN$3,0,0,'Données projet'!$E$15+1,1))-AVERAGE(OFFSET($H$3,0,0,'Données projet'!$E$15+1,1))</f>
        <v>533.26035274112917</v>
      </c>
      <c r="EP137" s="59">
        <f t="shared" si="154"/>
        <v>262.58149402282521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28.033295156733157</v>
      </c>
      <c r="EW137" s="21">
        <f>EXP(-LN(2)/25)*EW136+(1-EXP(-LN(2)/25))/(LN(2)/25)*Calculateur!ER137*Calculateur!ET137*VLOOKUP('Données projet'!$B$15,Paramètres!$A$1:$I$89,3,0)*0.475*44/12</f>
        <v>22.742895130381225</v>
      </c>
      <c r="EX137" s="21">
        <f>EXP(-LN(2)/2)*EX136+(1-EXP(-LN(2)/2))/(LN(2)/2)*ER137*EU137*VLOOKUP('Données projet'!$B$15,Paramètres!$A$1:$I$89,3,0)*0.475*44/12</f>
        <v>2.4010358562893894</v>
      </c>
      <c r="EY137" s="22">
        <f t="shared" si="129"/>
        <v>53.177226143403772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239.26156489359892</v>
      </c>
      <c r="FK137" s="59">
        <f t="shared" si="156"/>
        <v>213.97034450798111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4.5242964524106899</v>
      </c>
      <c r="FR137" s="21">
        <f>EXP(-LN(2)/25)*FR136+(1-EXP(-LN(2)/25))/(LN(2)/25)*Calculateur!FM137*Calculateur!FO137*VLOOKUP('Données projet'!$B$16,Paramètres!$A$1:$I$89,3,0)*0.475*44/12</f>
        <v>18.855414347621835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23.379710800032527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2.5579538487363607E-13</v>
      </c>
      <c r="O138" s="13">
        <f>N138*VLOOKUP('Données projet'!$B$9,Paramètres!$A$1:$I$89,3,0)*VLOOKUP('Données projet'!$B$9,Paramètres!$A$1:$I$89,5,0)</f>
        <v>2.4341488824575211E-13</v>
      </c>
      <c r="P138" s="13">
        <f t="shared" si="141"/>
        <v>3.2970717324875541E-12</v>
      </c>
      <c r="Q138" s="20">
        <f t="shared" si="108"/>
        <v>6.1663475311105072E-12</v>
      </c>
      <c r="R138" s="59">
        <f t="shared" si="109"/>
        <v>293.33333333333945</v>
      </c>
      <c r="S138" s="59">
        <f ca="1">AVERAGE(OFFSET($R$3,0,0,'Données projet'!$E$9+1,1))-AVERAGE(OFFSET($H$3,0,0,'Données projet'!$E$9+1,1))</f>
        <v>449.28947235329758</v>
      </c>
      <c r="T138" s="59">
        <f t="shared" si="142"/>
        <v>289.36994109443964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107.60876276531587</v>
      </c>
      <c r="AA138" s="21">
        <f>EXP(-LN(2)/25)*AA137+(1-EXP(-LN(2)/25))/(LN(2)/25)*Calculateur!V138*Calculateur!X138*VLOOKUP('Données projet'!$B$9,Paramètres!$A$1:$I$89,3,0)*0.475*44/12</f>
        <v>21.553674306343815</v>
      </c>
      <c r="AB138" s="21">
        <f>EXP(-LN(2)/2)*AB137+(1-EXP(-LN(2)/2))/(LN(2)/2)*V138*Y138*VLOOKUP('Données projet'!$B$9,Paramètres!$A$1:$I$89,3,0)*0.475*44/12</f>
        <v>1.2659763992487778</v>
      </c>
      <c r="AC138" s="22">
        <f t="shared" si="111"/>
        <v>130.42841347090848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-2.2737367544323206E-13</v>
      </c>
      <c r="AJ138" s="13">
        <f>AI138*VLOOKUP('Données projet'!$B$10,Paramètres!$A$1:$I$89,3,0)*VLOOKUP('Données projet'!$B$10,Paramètres!$A$1:$I$89,5,0)</f>
        <v>-1.3596945791505279E-13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349.71285006949597</v>
      </c>
      <c r="AO138" s="59">
        <f t="shared" si="144"/>
        <v>258.51550516456842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51.570679462930649</v>
      </c>
      <c r="AV138" s="21">
        <f>EXP(-LN(2)/25)*AV137+(1-EXP(-LN(2)/25))/(LN(2)/25)*Calculateur!AQ138*Calculateur!AS138*VLOOKUP('Données projet'!$B$10,Paramètres!$A$1:$I$89,3,0)*0.475*44/12</f>
        <v>11.261523217387975</v>
      </c>
      <c r="AW138" s="21">
        <f>EXP(-LN(2)/2)*AW137+(1-EXP(-LN(2)/2))/(LN(2)/2)*AQ138*AT138*VLOOKUP('Données projet'!$B$10,Paramètres!$A$1:$I$89,3,0)*0.475*44/12</f>
        <v>3.7256045391769355E-7</v>
      </c>
      <c r="AX138" s="21">
        <f t="shared" si="114"/>
        <v>62.83220305287908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1.1368683772161603E-13</v>
      </c>
      <c r="BE138" s="13">
        <f>BD138*VLOOKUP('Données projet'!$B$11,Paramètres!$A$1:$I$89,3,0)*VLOOKUP('Données projet'!$B$11,Paramètres!$A$1:$I$89,5,0)</f>
        <v>6.7984728957526396E-14</v>
      </c>
      <c r="BF138" s="13">
        <f t="shared" si="145"/>
        <v>1.0682447123141398E-12</v>
      </c>
      <c r="BG138" s="20">
        <f t="shared" si="115"/>
        <v>1.978932943548152E-12</v>
      </c>
      <c r="BH138" s="59">
        <f t="shared" si="116"/>
        <v>293.3333333333353</v>
      </c>
      <c r="BI138" s="59">
        <f ca="1">AVERAGE(OFFSET($BH$3,0,0,'Données projet'!$E$11+1,1))-AVERAGE(OFFSET($H$3,0,0,'Données projet'!$E$11+1,1))</f>
        <v>302.00825291248458</v>
      </c>
      <c r="BJ138" s="59">
        <f t="shared" si="146"/>
        <v>307.35115839449355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31.444259545900227</v>
      </c>
      <c r="BQ138" s="21">
        <f>EXP(-LN(2)/25)*BQ137+(1-EXP(-LN(2)/25))/(LN(2)/25)*Calculateur!BL138*Calculateur!BN138*VLOOKUP('Données projet'!$B$11,Paramètres!$A$1:$I$89,3,0)*0.475*44/12</f>
        <v>6.0550647204815284</v>
      </c>
      <c r="BR138" s="21">
        <f>EXP(-LN(2)/2)*BR137+(1-EXP(-LN(2)/2))/(LN(2)/2)*BL138*BO138*VLOOKUP('Données projet'!$B$11,Paramètres!$A$1:$I$89,3,0)*0.475*44/12</f>
        <v>3.0849436610968186E-10</v>
      </c>
      <c r="BS138" s="22">
        <f t="shared" si="117"/>
        <v>37.499324266690252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1.7053025658242404E-13</v>
      </c>
      <c r="BZ138" s="13">
        <f>BY138*VLOOKUP('Données projet'!$B$12,Paramètres!$A$1:$I$89,3,0)*VLOOKUP('Données projet'!$B$12,Paramètres!$A$1:$I$89,5,0)</f>
        <v>7.9808160080574461E-14</v>
      </c>
      <c r="CA138" s="13">
        <f t="shared" si="147"/>
        <v>1.2308384591775343E-12</v>
      </c>
      <c r="CB138" s="20">
        <f t="shared" si="118"/>
        <v>2.282709528541206E-12</v>
      </c>
      <c r="CC138" s="59">
        <f t="shared" si="119"/>
        <v>293.33333333333559</v>
      </c>
      <c r="CD138" s="59">
        <f ca="1">AVERAGE(OFFSET($CC$3,0,0,'Données projet'!$E$12+1,1))-AVERAGE(OFFSET($H$3,0,0,'Données projet'!$E$12+1,1))</f>
        <v>337.10499990421835</v>
      </c>
      <c r="CE138" s="59">
        <f t="shared" si="148"/>
        <v>277.4254079562175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134.37406384591134</v>
      </c>
      <c r="CL138" s="21">
        <f>EXP(-LN(2)/25)*CL137+(1-EXP(-LN(2)/25))/(LN(2)/25)*Calculateur!CG138*Calculateur!CI138*VLOOKUP('Données projet'!$B$12,Paramètres!$A$1:$I$89,3,0)*0.475*44/12</f>
        <v>40.198348752706671</v>
      </c>
      <c r="CM138" s="21">
        <f>EXP(-LN(2)/2)*CM137+(1-EXP(-LN(2)/2))/(LN(2)/2)*CG138*CJ138*VLOOKUP('Données projet'!$B$12,Paramètres!$A$1:$I$89,3,0)*0.475*44/12</f>
        <v>8.1021634186447038</v>
      </c>
      <c r="CN138" s="22">
        <f t="shared" si="120"/>
        <v>182.67457601726269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7.3375000000000012</v>
      </c>
      <c r="CT138" s="12">
        <f>IF('Données projet'!$A$140&gt;35,CT137+CS138-DB137,IF(A138&lt;'Données projet'!$A$140,$CQ$205^A138,IF(A138='Données projet'!$A$140,'Données projet'!$B$140,CT137+CS138-DB137)))</f>
        <v>313.88249999999999</v>
      </c>
      <c r="CU138" s="17">
        <f>CT138*VLOOKUP('Données projet'!$B$13,Paramètres!$A$1:$I$89,3,0)*VLOOKUP('Données projet'!$B$13,Paramètres!$A$1:$I$89,5,0)</f>
        <v>313.38028800000001</v>
      </c>
      <c r="CV138" s="13">
        <f t="shared" si="149"/>
        <v>73.974322648761543</v>
      </c>
      <c r="CW138" s="20">
        <f t="shared" si="121"/>
        <v>674.642613546593</v>
      </c>
      <c r="CX138" s="59">
        <f t="shared" si="122"/>
        <v>967.97594687992637</v>
      </c>
      <c r="CY138" s="59">
        <f ca="1">AVERAGE(OFFSET($CX$3,0,0,'Données projet'!$E$13+1,1))-AVERAGE(OFFSET($H$3,0,0,'Données projet'!$E$13+1,1))</f>
        <v>525.74725170626471</v>
      </c>
      <c r="CZ138" s="59">
        <f t="shared" si="150"/>
        <v>259.19103598192197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27.060755039833914</v>
      </c>
      <c r="DG138" s="21">
        <f>EXP(-LN(2)/25)*DG137+(1-EXP(-LN(2)/25))/(LN(2)/25)*Calculateur!DB138*Calculateur!DD138*VLOOKUP('Données projet'!$B$13,Paramètres!$A$1:$I$89,3,0)*0.475*44/12</f>
        <v>21.780666552166473</v>
      </c>
      <c r="DH138" s="21">
        <f>EXP(-LN(2)/2)*DH137+(1-EXP(-LN(2)/2))/(LN(2)/2)*DB138*DE138*VLOOKUP('Données projet'!$B$13,Paramètres!$A$1:$I$89,3,0)*0.475*44/12</f>
        <v>1.6716689091488257</v>
      </c>
      <c r="DI138" s="22">
        <f t="shared" si="123"/>
        <v>50.513090501149215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7.7849999999999966</v>
      </c>
      <c r="DO138" s="12">
        <f>IF('Données projet'!$A$166&gt;35,DO137+DN138-DW137,IF(A138&lt;'Données projet'!$A$166,$DL$205^A138,IF(A138='Données projet'!$A$166,'Données projet'!$B$166,DO137+DN138-DW137)))</f>
        <v>412.46000000000026</v>
      </c>
      <c r="DP138" s="17">
        <f>DO138*VLOOKUP('Données projet'!$B$14,Paramètres!$A$1:$I$89,3,0)*VLOOKUP('Données projet'!$B$14,Paramètres!$A$1:$I$89,5,0)</f>
        <v>373.19380800000022</v>
      </c>
      <c r="DQ138" s="13">
        <f t="shared" si="151"/>
        <v>86.320376644349466</v>
      </c>
      <c r="DR138" s="20">
        <f t="shared" si="124"/>
        <v>800.32053825557568</v>
      </c>
      <c r="DS138" s="59">
        <f t="shared" si="125"/>
        <v>1093.6538715889089</v>
      </c>
      <c r="DT138" s="59">
        <f ca="1">AVERAGE(OFFSET($DS$3,0,0,'Données projet'!$E$14+1,1))-AVERAGE(OFFSET($H$3,0,0,'Données projet'!$E$14+1,1))</f>
        <v>490.06222615476065</v>
      </c>
      <c r="DU138" s="59">
        <f t="shared" si="152"/>
        <v>310.43914804089906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34.249200201081315</v>
      </c>
      <c r="EB138" s="21">
        <f>EXP(-LN(2)/25)*EB137+(1-EXP(-LN(2)/25))/(LN(2)/25)*Calculateur!DW138*Calculateur!DY138*VLOOKUP('Données projet'!$B$14,Paramètres!$A$1:$I$89,3,0)*0.475*44/12</f>
        <v>16.419741658423266</v>
      </c>
      <c r="EC138" s="21">
        <f>EXP(-LN(2)/2)*EC137+(1-EXP(-LN(2)/2))/(LN(2)/2)*DW138*DZ138*VLOOKUP('Données projet'!$B$14,Paramètres!$A$1:$I$89,3,0)*0.475*44/12</f>
        <v>7.5817166559524551E-5</v>
      </c>
      <c r="ED138" s="22">
        <f t="shared" si="126"/>
        <v>50.669017676671146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7.3375000000000012</v>
      </c>
      <c r="EJ138" s="12">
        <f>IF('Données projet'!$A$192&gt;35,EJ137+EI138-ER137,IF(A138&lt;'Données projet'!$A$192,$EG$205^A138,IF(A138='Données projet'!$A$192,'Données projet'!$B$192,EJ137+EI138-ER137)))</f>
        <v>313.88249999999999</v>
      </c>
      <c r="EK138" s="17">
        <f>EJ138*VLOOKUP('Données projet'!$B$15,Paramètres!$A$1:$I$89,3,0)*VLOOKUP('Données projet'!$B$15,Paramètres!$A$1:$I$89,5,0)</f>
        <v>318.27685500000001</v>
      </c>
      <c r="EL138" s="13">
        <f t="shared" si="153"/>
        <v>74.994707244966222</v>
      </c>
      <c r="EM138" s="20">
        <f t="shared" si="127"/>
        <v>684.94797090998281</v>
      </c>
      <c r="EN138" s="59">
        <f t="shared" si="128"/>
        <v>978.28130424331607</v>
      </c>
      <c r="EO138" s="59">
        <f ca="1">AVERAGE(OFFSET($EN$3,0,0,'Données projet'!$E$15+1,1))-AVERAGE(OFFSET($H$3,0,0,'Données projet'!$E$15+1,1))</f>
        <v>533.26035274112917</v>
      </c>
      <c r="EP138" s="59">
        <f t="shared" si="154"/>
        <v>262.58149402282521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27.483579337331317</v>
      </c>
      <c r="EW138" s="21">
        <f>EXP(-LN(2)/25)*EW137+(1-EXP(-LN(2)/25))/(LN(2)/25)*Calculateur!ER138*Calculateur!ET138*VLOOKUP('Données projet'!$B$15,Paramètres!$A$1:$I$89,3,0)*0.475*44/12</f>
        <v>22.120989467044076</v>
      </c>
      <c r="EX138" s="21">
        <f>EXP(-LN(2)/2)*EX137+(1-EXP(-LN(2)/2))/(LN(2)/2)*ER138*EU138*VLOOKUP('Données projet'!$B$15,Paramètres!$A$1:$I$89,3,0)*0.475*44/12</f>
        <v>1.6977887358542763</v>
      </c>
      <c r="EY138" s="22">
        <f t="shared" si="129"/>
        <v>51.302357540229664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239.26156489359892</v>
      </c>
      <c r="FK138" s="59">
        <f t="shared" si="156"/>
        <v>213.97034450798111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4.4355777585272698</v>
      </c>
      <c r="FR138" s="21">
        <f>EXP(-LN(2)/25)*FR137+(1-EXP(-LN(2)/25))/(LN(2)/25)*Calculateur!FM138*Calculateur!FO138*VLOOKUP('Données projet'!$B$16,Paramètres!$A$1:$I$89,3,0)*0.475*44/12</f>
        <v>18.339812050722969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22.775389809250239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2.5579538487363607E-13</v>
      </c>
      <c r="O139" s="13">
        <f>N139*VLOOKUP('Données projet'!$B$9,Paramètres!$A$1:$I$89,3,0)*VLOOKUP('Données projet'!$B$9,Paramètres!$A$1:$I$89,5,0)</f>
        <v>2.4341488824575211E-13</v>
      </c>
      <c r="P139" s="13">
        <f t="shared" si="141"/>
        <v>3.2970717324875541E-12</v>
      </c>
      <c r="Q139" s="20">
        <f t="shared" si="108"/>
        <v>6.1663475311105072E-12</v>
      </c>
      <c r="R139" s="59">
        <f t="shared" si="109"/>
        <v>293.33333333333945</v>
      </c>
      <c r="S139" s="59">
        <f ca="1">AVERAGE(OFFSET($R$3,0,0,'Données projet'!$E$9+1,1))-AVERAGE(OFFSET($H$3,0,0,'Données projet'!$E$9+1,1))</f>
        <v>449.28947235329758</v>
      </c>
      <c r="T139" s="59">
        <f t="shared" si="142"/>
        <v>289.36994109443964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105.49862056235241</v>
      </c>
      <c r="AA139" s="21">
        <f>EXP(-LN(2)/25)*AA138+(1-EXP(-LN(2)/25))/(LN(2)/25)*Calculateur!V139*Calculateur!X139*VLOOKUP('Données projet'!$B$9,Paramètres!$A$1:$I$89,3,0)*0.475*44/12</f>
        <v>20.964287948978374</v>
      </c>
      <c r="AB139" s="21">
        <f>EXP(-LN(2)/2)*AB138+(1-EXP(-LN(2)/2))/(LN(2)/2)*V139*Y139*VLOOKUP('Données projet'!$B$9,Paramètres!$A$1:$I$89,3,0)*0.475*44/12</f>
        <v>0.89518049673093891</v>
      </c>
      <c r="AC139" s="22">
        <f t="shared" si="111"/>
        <v>127.35808900806174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-2.2737367544323206E-13</v>
      </c>
      <c r="AJ139" s="13">
        <f>AI139*VLOOKUP('Données projet'!$B$10,Paramètres!$A$1:$I$89,3,0)*VLOOKUP('Données projet'!$B$10,Paramètres!$A$1:$I$89,5,0)</f>
        <v>-1.3596945791505279E-13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349.71285006949597</v>
      </c>
      <c r="AO139" s="59">
        <f t="shared" si="144"/>
        <v>258.51550516456842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50.559409893671123</v>
      </c>
      <c r="AV139" s="21">
        <f>EXP(-LN(2)/25)*AV138+(1-EXP(-LN(2)/25))/(LN(2)/25)*Calculateur!AQ139*Calculateur!AS139*VLOOKUP('Données projet'!$B$10,Paramètres!$A$1:$I$89,3,0)*0.475*44/12</f>
        <v>10.953576272790732</v>
      </c>
      <c r="AW139" s="21">
        <f>EXP(-LN(2)/2)*AW138+(1-EXP(-LN(2)/2))/(LN(2)/2)*AQ139*AT139*VLOOKUP('Données projet'!$B$10,Paramètres!$A$1:$I$89,3,0)*0.475*44/12</f>
        <v>2.6344002336713935E-7</v>
      </c>
      <c r="AX139" s="21">
        <f t="shared" si="114"/>
        <v>61.512986429901879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1.1368683772161603E-13</v>
      </c>
      <c r="BE139" s="13">
        <f>BD139*VLOOKUP('Données projet'!$B$11,Paramètres!$A$1:$I$89,3,0)*VLOOKUP('Données projet'!$B$11,Paramètres!$A$1:$I$89,5,0)</f>
        <v>6.7984728957526396E-14</v>
      </c>
      <c r="BF139" s="13">
        <f t="shared" si="145"/>
        <v>1.0682447123141398E-12</v>
      </c>
      <c r="BG139" s="20">
        <f t="shared" si="115"/>
        <v>1.978932943548152E-12</v>
      </c>
      <c r="BH139" s="59">
        <f t="shared" si="116"/>
        <v>293.3333333333353</v>
      </c>
      <c r="BI139" s="59">
        <f ca="1">AVERAGE(OFFSET($BH$3,0,0,'Données projet'!$E$11+1,1))-AVERAGE(OFFSET($H$3,0,0,'Données projet'!$E$11+1,1))</f>
        <v>302.00825291248458</v>
      </c>
      <c r="BJ139" s="59">
        <f t="shared" si="146"/>
        <v>307.35115839449355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30.827656795309668</v>
      </c>
      <c r="BQ139" s="21">
        <f>EXP(-LN(2)/25)*BQ138+(1-EXP(-LN(2)/25))/(LN(2)/25)*Calculateur!BL139*Calculateur!BN139*VLOOKUP('Données projet'!$B$11,Paramètres!$A$1:$I$89,3,0)*0.475*44/12</f>
        <v>5.8894886572779468</v>
      </c>
      <c r="BR139" s="21">
        <f>EXP(-LN(2)/2)*BR138+(1-EXP(-LN(2)/2))/(LN(2)/2)*BL139*BO139*VLOOKUP('Données projet'!$B$11,Paramètres!$A$1:$I$89,3,0)*0.475*44/12</f>
        <v>2.181384582340015E-10</v>
      </c>
      <c r="BS139" s="22">
        <f t="shared" si="117"/>
        <v>36.717145452805752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1.7053025658242404E-13</v>
      </c>
      <c r="BZ139" s="13">
        <f>BY139*VLOOKUP('Données projet'!$B$12,Paramètres!$A$1:$I$89,3,0)*VLOOKUP('Données projet'!$B$12,Paramètres!$A$1:$I$89,5,0)</f>
        <v>7.9808160080574461E-14</v>
      </c>
      <c r="CA139" s="13">
        <f t="shared" si="147"/>
        <v>1.2308384591775343E-12</v>
      </c>
      <c r="CB139" s="20">
        <f t="shared" si="118"/>
        <v>2.282709528541206E-12</v>
      </c>
      <c r="CC139" s="59">
        <f t="shared" si="119"/>
        <v>293.33333333333559</v>
      </c>
      <c r="CD139" s="59">
        <f ca="1">AVERAGE(OFFSET($CC$3,0,0,'Données projet'!$E$12+1,1))-AVERAGE(OFFSET($H$3,0,0,'Données projet'!$E$12+1,1))</f>
        <v>337.10499990421835</v>
      </c>
      <c r="CE139" s="59">
        <f t="shared" si="148"/>
        <v>277.4254079562175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131.73907041397908</v>
      </c>
      <c r="CL139" s="21">
        <f>EXP(-LN(2)/25)*CL138+(1-EXP(-LN(2)/25))/(LN(2)/25)*Calculateur!CG139*Calculateur!CI139*VLOOKUP('Données projet'!$B$12,Paramètres!$A$1:$I$89,3,0)*0.475*44/12</f>
        <v>39.099122792124618</v>
      </c>
      <c r="CM139" s="21">
        <f>EXP(-LN(2)/2)*CM138+(1-EXP(-LN(2)/2))/(LN(2)/2)*CG139*CJ139*VLOOKUP('Données projet'!$B$12,Paramètres!$A$1:$I$89,3,0)*0.475*44/12</f>
        <v>5.7290946956052506</v>
      </c>
      <c r="CN139" s="22">
        <f t="shared" si="120"/>
        <v>176.56728790170897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7.3375000000000012</v>
      </c>
      <c r="CT139" s="12">
        <f>IF('Données projet'!$A$140&gt;35,CT138+CS139-DB138,IF(A139&lt;'Données projet'!$A$140,$CQ$205^A139,IF(A139='Données projet'!$A$140,'Données projet'!$B$140,CT138+CS139-DB138)))</f>
        <v>321.21999999999997</v>
      </c>
      <c r="CU139" s="17">
        <f>CT139*VLOOKUP('Données projet'!$B$13,Paramètres!$A$1:$I$89,3,0)*VLOOKUP('Données projet'!$B$13,Paramètres!$A$1:$I$89,5,0)</f>
        <v>320.70604800000001</v>
      </c>
      <c r="CV139" s="13">
        <f t="shared" si="149"/>
        <v>75.500241831087322</v>
      </c>
      <c r="CW139" s="20">
        <f t="shared" si="121"/>
        <v>690.05928812247714</v>
      </c>
      <c r="CX139" s="59">
        <f t="shared" si="122"/>
        <v>983.39262145581051</v>
      </c>
      <c r="CY139" s="59">
        <f ca="1">AVERAGE(OFFSET($CX$3,0,0,'Données projet'!$E$13+1,1))-AVERAGE(OFFSET($H$3,0,0,'Données projet'!$E$13+1,1))</f>
        <v>525.74725170626471</v>
      </c>
      <c r="CZ139" s="59">
        <f t="shared" si="150"/>
        <v>259.19103598192197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26.530110138933569</v>
      </c>
      <c r="DG139" s="21">
        <f>EXP(-LN(2)/25)*DG138+(1-EXP(-LN(2)/25))/(LN(2)/25)*Calculateur!DB139*Calculateur!DD139*VLOOKUP('Données projet'!$B$13,Paramètres!$A$1:$I$89,3,0)*0.475*44/12</f>
        <v>21.185073079902008</v>
      </c>
      <c r="DH139" s="21">
        <f>EXP(-LN(2)/2)*DH138+(1-EXP(-LN(2)/2))/(LN(2)/2)*DB139*DE139*VLOOKUP('Données projet'!$B$13,Paramètres!$A$1:$I$89,3,0)*0.475*44/12</f>
        <v>1.1820484215578533</v>
      </c>
      <c r="DI139" s="22">
        <f t="shared" si="123"/>
        <v>48.897231640393429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7.7849999999999966</v>
      </c>
      <c r="DO139" s="12">
        <f>IF('Données projet'!$A$166&gt;35,DO138+DN139-DW138,IF(A139&lt;'Données projet'!$A$166,$DL$205^A139,IF(A139='Données projet'!$A$166,'Données projet'!$B$166,DO138+DN139-DW138)))</f>
        <v>420.24500000000023</v>
      </c>
      <c r="DP139" s="17">
        <f>DO139*VLOOKUP('Données projet'!$B$14,Paramètres!$A$1:$I$89,3,0)*VLOOKUP('Données projet'!$B$14,Paramètres!$A$1:$I$89,5,0)</f>
        <v>380.23767600000019</v>
      </c>
      <c r="DQ139" s="13">
        <f t="shared" si="151"/>
        <v>87.758419405833862</v>
      </c>
      <c r="DR139" s="20">
        <f t="shared" si="124"/>
        <v>815.0931994984943</v>
      </c>
      <c r="DS139" s="59">
        <f t="shared" si="125"/>
        <v>1108.4265328318277</v>
      </c>
      <c r="DT139" s="59">
        <f ca="1">AVERAGE(OFFSET($DS$3,0,0,'Données projet'!$E$14+1,1))-AVERAGE(OFFSET($H$3,0,0,'Données projet'!$E$14+1,1))</f>
        <v>490.06222615476065</v>
      </c>
      <c r="DU139" s="59">
        <f t="shared" si="152"/>
        <v>310.43914804089906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33.57759427508752</v>
      </c>
      <c r="EB139" s="21">
        <f>EXP(-LN(2)/25)*EB138+(1-EXP(-LN(2)/25))/(LN(2)/25)*Calculateur!DW139*Calculateur!DY139*VLOOKUP('Données projet'!$B$14,Paramètres!$A$1:$I$89,3,0)*0.475*44/12</f>
        <v>15.970742959296997</v>
      </c>
      <c r="EC139" s="21">
        <f>EXP(-LN(2)/2)*EC138+(1-EXP(-LN(2)/2))/(LN(2)/2)*DW139*DZ139*VLOOKUP('Données projet'!$B$14,Paramètres!$A$1:$I$89,3,0)*0.475*44/12</f>
        <v>5.3610832604589755E-5</v>
      </c>
      <c r="ED139" s="22">
        <f t="shared" si="126"/>
        <v>49.548390845217121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7.3375000000000012</v>
      </c>
      <c r="EJ139" s="12">
        <f>IF('Données projet'!$A$192&gt;35,EJ138+EI139-ER138,IF(A139&lt;'Données projet'!$A$192,$EG$205^A139,IF(A139='Données projet'!$A$192,'Données projet'!$B$192,EJ138+EI139-ER138)))</f>
        <v>321.21999999999997</v>
      </c>
      <c r="EK139" s="17">
        <f>EJ139*VLOOKUP('Données projet'!$B$15,Paramètres!$A$1:$I$89,3,0)*VLOOKUP('Données projet'!$B$15,Paramètres!$A$1:$I$89,5,0)</f>
        <v>325.71707999999995</v>
      </c>
      <c r="EL139" s="13">
        <f t="shared" si="153"/>
        <v>76.54167460148193</v>
      </c>
      <c r="EM139" s="20">
        <f t="shared" si="127"/>
        <v>700.60066426424748</v>
      </c>
      <c r="EN139" s="59">
        <f t="shared" si="128"/>
        <v>993.93399759758086</v>
      </c>
      <c r="EO139" s="59">
        <f ca="1">AVERAGE(OFFSET($EN$3,0,0,'Données projet'!$E$15+1,1))-AVERAGE(OFFSET($H$3,0,0,'Données projet'!$E$15+1,1))</f>
        <v>533.26035274112917</v>
      </c>
      <c r="EP139" s="59">
        <f t="shared" si="154"/>
        <v>262.58149402282521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26.944643109854404</v>
      </c>
      <c r="EW139" s="21">
        <f>EXP(-LN(2)/25)*EW138+(1-EXP(-LN(2)/25))/(LN(2)/25)*Calculateur!ER139*Calculateur!ET139*VLOOKUP('Données projet'!$B$15,Paramètres!$A$1:$I$89,3,0)*0.475*44/12</f>
        <v>21.516089846775479</v>
      </c>
      <c r="EX139" s="21">
        <f>EXP(-LN(2)/2)*EX138+(1-EXP(-LN(2)/2))/(LN(2)/2)*ER139*EU139*VLOOKUP('Données projet'!$B$15,Paramètres!$A$1:$I$89,3,0)*0.475*44/12</f>
        <v>1.2005179281446949</v>
      </c>
      <c r="EY139" s="22">
        <f t="shared" si="129"/>
        <v>49.661250884774574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239.26156489359892</v>
      </c>
      <c r="FK139" s="59">
        <f t="shared" si="156"/>
        <v>213.97034450798111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4.3485987841178435</v>
      </c>
      <c r="FR139" s="21">
        <f>EXP(-LN(2)/25)*FR138+(1-EXP(-LN(2)/25))/(LN(2)/25)*Calculateur!FM139*Calculateur!FO139*VLOOKUP('Données projet'!$B$16,Paramètres!$A$1:$I$89,3,0)*0.475*44/12</f>
        <v>17.83830892574715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22.186907709864993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2.5579538487363607E-13</v>
      </c>
      <c r="O140" s="13">
        <f>N140*VLOOKUP('Données projet'!$B$9,Paramètres!$A$1:$I$89,3,0)*VLOOKUP('Données projet'!$B$9,Paramètres!$A$1:$I$89,5,0)</f>
        <v>2.4341488824575211E-13</v>
      </c>
      <c r="P140" s="13">
        <f t="shared" si="141"/>
        <v>3.2970717324875541E-12</v>
      </c>
      <c r="Q140" s="20">
        <f t="shared" si="108"/>
        <v>6.1663475311105072E-12</v>
      </c>
      <c r="R140" s="59">
        <f t="shared" si="109"/>
        <v>293.33333333333945</v>
      </c>
      <c r="S140" s="59">
        <f ca="1">AVERAGE(OFFSET($R$3,0,0,'Données projet'!$E$9+1,1))-AVERAGE(OFFSET($H$3,0,0,'Données projet'!$E$9+1,1))</f>
        <v>449.28947235329758</v>
      </c>
      <c r="T140" s="59">
        <f t="shared" si="142"/>
        <v>289.36994109443964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103.42985696092941</v>
      </c>
      <c r="AA140" s="21">
        <f>EXP(-LN(2)/25)*AA139+(1-EXP(-LN(2)/25))/(LN(2)/25)*Calculateur!V140*Calculateur!X140*VLOOKUP('Données projet'!$B$9,Paramètres!$A$1:$I$89,3,0)*0.475*44/12</f>
        <v>20.391018392549572</v>
      </c>
      <c r="AB140" s="21">
        <f>EXP(-LN(2)/2)*AB139+(1-EXP(-LN(2)/2))/(LN(2)/2)*V140*Y140*VLOOKUP('Données projet'!$B$9,Paramètres!$A$1:$I$89,3,0)*0.475*44/12</f>
        <v>0.63298819962438901</v>
      </c>
      <c r="AC140" s="22">
        <f t="shared" si="111"/>
        <v>124.45386355310337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-2.2737367544323206E-13</v>
      </c>
      <c r="AJ140" s="13">
        <f>AI140*VLOOKUP('Données projet'!$B$10,Paramètres!$A$1:$I$89,3,0)*VLOOKUP('Données projet'!$B$10,Paramètres!$A$1:$I$89,5,0)</f>
        <v>-1.3596945791505279E-13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349.71285006949597</v>
      </c>
      <c r="AO140" s="59">
        <f t="shared" si="144"/>
        <v>258.51550516456842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49.567970703851252</v>
      </c>
      <c r="AV140" s="21">
        <f>EXP(-LN(2)/25)*AV139+(1-EXP(-LN(2)/25))/(LN(2)/25)*Calculateur!AQ140*Calculateur!AS140*VLOOKUP('Données projet'!$B$10,Paramètres!$A$1:$I$89,3,0)*0.475*44/12</f>
        <v>10.654050153587729</v>
      </c>
      <c r="AW140" s="21">
        <f>EXP(-LN(2)/2)*AW139+(1-EXP(-LN(2)/2))/(LN(2)/2)*AQ140*AT140*VLOOKUP('Données projet'!$B$10,Paramètres!$A$1:$I$89,3,0)*0.475*44/12</f>
        <v>1.8628022695884677E-7</v>
      </c>
      <c r="AX140" s="21">
        <f t="shared" si="114"/>
        <v>60.222021043719202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1.1368683772161603E-13</v>
      </c>
      <c r="BE140" s="13">
        <f>BD140*VLOOKUP('Données projet'!$B$11,Paramètres!$A$1:$I$89,3,0)*VLOOKUP('Données projet'!$B$11,Paramètres!$A$1:$I$89,5,0)</f>
        <v>6.7984728957526396E-14</v>
      </c>
      <c r="BF140" s="13">
        <f t="shared" si="145"/>
        <v>1.0682447123141398E-12</v>
      </c>
      <c r="BG140" s="20">
        <f t="shared" si="115"/>
        <v>1.978932943548152E-12</v>
      </c>
      <c r="BH140" s="59">
        <f t="shared" si="116"/>
        <v>293.3333333333353</v>
      </c>
      <c r="BI140" s="59">
        <f ca="1">AVERAGE(OFFSET($BH$3,0,0,'Données projet'!$E$11+1,1))-AVERAGE(OFFSET($H$3,0,0,'Données projet'!$E$11+1,1))</f>
        <v>302.00825291248458</v>
      </c>
      <c r="BJ140" s="59">
        <f t="shared" si="146"/>
        <v>307.35115839449355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30.223145248567647</v>
      </c>
      <c r="BQ140" s="21">
        <f>EXP(-LN(2)/25)*BQ139+(1-EXP(-LN(2)/25))/(LN(2)/25)*Calculateur!BL140*Calculateur!BN140*VLOOKUP('Données projet'!$B$11,Paramètres!$A$1:$I$89,3,0)*0.475*44/12</f>
        <v>5.7284402802299335</v>
      </c>
      <c r="BR140" s="21">
        <f>EXP(-LN(2)/2)*BR139+(1-EXP(-LN(2)/2))/(LN(2)/2)*BL140*BO140*VLOOKUP('Données projet'!$B$11,Paramètres!$A$1:$I$89,3,0)*0.475*44/12</f>
        <v>1.5424718305484093E-10</v>
      </c>
      <c r="BS140" s="22">
        <f t="shared" si="117"/>
        <v>35.951585528951824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1.7053025658242404E-13</v>
      </c>
      <c r="BZ140" s="13">
        <f>BY140*VLOOKUP('Données projet'!$B$12,Paramètres!$A$1:$I$89,3,0)*VLOOKUP('Données projet'!$B$12,Paramètres!$A$1:$I$89,5,0)</f>
        <v>7.9808160080574461E-14</v>
      </c>
      <c r="CA140" s="13">
        <f t="shared" si="147"/>
        <v>1.2308384591775343E-12</v>
      </c>
      <c r="CB140" s="20">
        <f t="shared" si="118"/>
        <v>2.282709528541206E-12</v>
      </c>
      <c r="CC140" s="59">
        <f t="shared" si="119"/>
        <v>293.33333333333559</v>
      </c>
      <c r="CD140" s="59">
        <f ca="1">AVERAGE(OFFSET($CC$3,0,0,'Données projet'!$E$12+1,1))-AVERAGE(OFFSET($H$3,0,0,'Données projet'!$E$12+1,1))</f>
        <v>337.10499990421835</v>
      </c>
      <c r="CE140" s="59">
        <f t="shared" si="148"/>
        <v>277.4254079562175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129.15574759605971</v>
      </c>
      <c r="CL140" s="21">
        <f>EXP(-LN(2)/25)*CL139+(1-EXP(-LN(2)/25))/(LN(2)/25)*Calculateur!CG140*Calculateur!CI140*VLOOKUP('Données projet'!$B$12,Paramètres!$A$1:$I$89,3,0)*0.475*44/12</f>
        <v>38.029955223240464</v>
      </c>
      <c r="CM140" s="21">
        <f>EXP(-LN(2)/2)*CM139+(1-EXP(-LN(2)/2))/(LN(2)/2)*CG140*CJ140*VLOOKUP('Données projet'!$B$12,Paramètres!$A$1:$I$89,3,0)*0.475*44/12</f>
        <v>4.0510817093223519</v>
      </c>
      <c r="CN140" s="22">
        <f t="shared" si="120"/>
        <v>171.23678452862251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7.3375000000000012</v>
      </c>
      <c r="CT140" s="12">
        <f>IF('Données projet'!$A$140&gt;35,CT139+CS140-DB139,IF(A140&lt;'Données projet'!$A$140,$CQ$205^A140,IF(A140='Données projet'!$A$140,'Données projet'!$B$140,CT139+CS140-DB139)))</f>
        <v>328.55749999999995</v>
      </c>
      <c r="CU140" s="17">
        <f>CT140*VLOOKUP('Données projet'!$B$13,Paramètres!$A$1:$I$89,3,0)*VLOOKUP('Données projet'!$B$13,Paramètres!$A$1:$I$89,5,0)</f>
        <v>328.03180799999996</v>
      </c>
      <c r="CV140" s="13">
        <f t="shared" si="149"/>
        <v>77.022108796087849</v>
      </c>
      <c r="CW140" s="20">
        <f t="shared" si="121"/>
        <v>705.46890508651961</v>
      </c>
      <c r="CX140" s="59">
        <f t="shared" si="122"/>
        <v>998.80223841985298</v>
      </c>
      <c r="CY140" s="59">
        <f ca="1">AVERAGE(OFFSET($CX$3,0,0,'Données projet'!$E$13+1,1))-AVERAGE(OFFSET($H$3,0,0,'Données projet'!$E$13+1,1))</f>
        <v>525.74725170626471</v>
      </c>
      <c r="CZ140" s="59">
        <f t="shared" si="150"/>
        <v>259.19103598192197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26.009870860878451</v>
      </c>
      <c r="DG140" s="21">
        <f>EXP(-LN(2)/25)*DG139+(1-EXP(-LN(2)/25))/(LN(2)/25)*Calculateur!DB140*Calculateur!DD140*VLOOKUP('Données projet'!$B$13,Paramètres!$A$1:$I$89,3,0)*0.475*44/12</f>
        <v>20.605766142457512</v>
      </c>
      <c r="DH140" s="21">
        <f>EXP(-LN(2)/2)*DH139+(1-EXP(-LN(2)/2))/(LN(2)/2)*DB140*DE140*VLOOKUP('Données projet'!$B$13,Paramètres!$A$1:$I$89,3,0)*0.475*44/12</f>
        <v>0.83583445457441286</v>
      </c>
      <c r="DI140" s="22">
        <f t="shared" si="123"/>
        <v>47.451471457910372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>
        <f>VLOOKUP(A140,'Données projet'!$A$165:$I$185,2,0)</f>
        <v>428.03</v>
      </c>
      <c r="DM140" s="12">
        <f>VLOOKUP(A140,'Données projet'!$A$165:$I$185,9,0)</f>
        <v>7.7849999999999966</v>
      </c>
      <c r="DN140" s="12">
        <f t="array" ref="DN140">INDEX(DM:DM,MIN(IF(ISNUMBER(DM140:DM336),ROW(DM140:DM336),"")))</f>
        <v>7.7849999999999966</v>
      </c>
      <c r="DO140" s="12">
        <f>IF('Données projet'!$A$166&gt;35,DO139+DN140-DW139,IF(A140&lt;'Données projet'!$A$166,$DL$205^A140,IF(A140='Données projet'!$A$166,'Données projet'!$B$166,DO139+DN140-DW139)))</f>
        <v>428.0300000000002</v>
      </c>
      <c r="DP140" s="17">
        <f>DO140*VLOOKUP('Données projet'!$B$14,Paramètres!$A$1:$I$89,3,0)*VLOOKUP('Données projet'!$B$14,Paramètres!$A$1:$I$89,5,0)</f>
        <v>387.28154400000017</v>
      </c>
      <c r="DQ140" s="13">
        <f t="shared" si="151"/>
        <v>89.193364470196371</v>
      </c>
      <c r="DR140" s="20">
        <f t="shared" si="124"/>
        <v>829.86046558559235</v>
      </c>
      <c r="DS140" s="59">
        <f t="shared" si="125"/>
        <v>1123.1937989189257</v>
      </c>
      <c r="DT140" s="59">
        <f ca="1">AVERAGE(OFFSET($DS$3,0,0,'Données projet'!$E$14+1,1))-AVERAGE(OFFSET($H$3,0,0,'Données projet'!$E$14+1,1))</f>
        <v>490.06222615476065</v>
      </c>
      <c r="DU140" s="59">
        <f t="shared" si="152"/>
        <v>310.43914804089906</v>
      </c>
      <c r="DV140" s="15">
        <f>IF(ISNA(VLOOKUP(A140,'Données projet'!$A$165:$I$185,3,0)),0,VLOOKUP(A140,'Données projet'!$A$165:$I$185,3,0))</f>
        <v>11</v>
      </c>
      <c r="DW140" s="15">
        <f>IF(ISNA(VLOOKUP(A140,'Données projet'!$A$165:$I$185,4,0)),0,VLOOKUP(A140,'Données projet'!$A$165:$I$185,4,0))</f>
        <v>74.669999999999959</v>
      </c>
      <c r="DX140" s="16">
        <f>IF(ISNA(VLOOKUP(A140,'Données projet'!$A$165:$I$185,5,0)),0%,VLOOKUP(A140,'Données projet'!$A$165:$I$185,5,0)*VLOOKUP('Données projet'!$B$14,Paramètres!$A$1:$I$89,7,0))</f>
        <v>0.215</v>
      </c>
      <c r="DY140" s="16">
        <f>IF(ISNA(VLOOKUP(A140,'Données projet'!$A$165:$I$185,6,0)),0%,VLOOKUP(A140,'Données projet'!$A$165:$I$185,6,0)*VLOOKUP('Données projet'!$B$14,Paramètres!$A$1:$I$89,7,0))</f>
        <v>8.6000000000000007E-2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48.976894131933548</v>
      </c>
      <c r="EB140" s="21">
        <f>EXP(-LN(2)/25)*EB139+(1-EXP(-LN(2)/25))/(LN(2)/25)*Calculateur!DW140*Calculateur!DY140*VLOOKUP('Données projet'!$B$14,Paramètres!$A$1:$I$89,3,0)*0.475*44/12</f>
        <v>21.931826383274185</v>
      </c>
      <c r="EC140" s="21">
        <f>EXP(-LN(2)/2)*EC139+(1-EXP(-LN(2)/2))/(LN(2)/2)*DW140*DZ140*VLOOKUP('Données projet'!$B$14,Paramètres!$A$1:$I$89,3,0)*0.475*44/12</f>
        <v>3.7908583279762275E-5</v>
      </c>
      <c r="ED140" s="22">
        <f t="shared" si="126"/>
        <v>70.908758423791014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7.3375000000000012</v>
      </c>
      <c r="EJ140" s="12">
        <f>IF('Données projet'!$A$192&gt;35,EJ139+EI140-ER139,IF(A140&lt;'Données projet'!$A$192,$EG$205^A140,IF(A140='Données projet'!$A$192,'Données projet'!$B$192,EJ139+EI140-ER139)))</f>
        <v>328.55749999999995</v>
      </c>
      <c r="EK140" s="17">
        <f>EJ140*VLOOKUP('Données projet'!$B$15,Paramètres!$A$1:$I$89,3,0)*VLOOKUP('Données projet'!$B$15,Paramètres!$A$1:$I$89,5,0)</f>
        <v>333.15730499999995</v>
      </c>
      <c r="EL140" s="13">
        <f t="shared" si="153"/>
        <v>78.084533845329503</v>
      </c>
      <c r="EM140" s="20">
        <f t="shared" si="127"/>
        <v>716.24620265561543</v>
      </c>
      <c r="EN140" s="59">
        <f t="shared" si="128"/>
        <v>1009.5795359889487</v>
      </c>
      <c r="EO140" s="59">
        <f ca="1">AVERAGE(OFFSET($EN$3,0,0,'Données projet'!$E$15+1,1))-AVERAGE(OFFSET($H$3,0,0,'Données projet'!$E$15+1,1))</f>
        <v>533.26035274112917</v>
      </c>
      <c r="EP140" s="59">
        <f t="shared" si="154"/>
        <v>262.58149402282521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26.416275093079673</v>
      </c>
      <c r="EW140" s="21">
        <f>EXP(-LN(2)/25)*EW139+(1-EXP(-LN(2)/25))/(LN(2)/25)*Calculateur!ER140*Calculateur!ET140*VLOOKUP('Données projet'!$B$15,Paramètres!$A$1:$I$89,3,0)*0.475*44/12</f>
        <v>20.927731238433413</v>
      </c>
      <c r="EX140" s="21">
        <f>EXP(-LN(2)/2)*EX139+(1-EXP(-LN(2)/2))/(LN(2)/2)*ER140*EU140*VLOOKUP('Données projet'!$B$15,Paramètres!$A$1:$I$89,3,0)*0.475*44/12</f>
        <v>0.84889436792713824</v>
      </c>
      <c r="EY140" s="22">
        <f t="shared" si="129"/>
        <v>48.192900699440223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239.26156489359892</v>
      </c>
      <c r="FK140" s="59">
        <f t="shared" si="156"/>
        <v>213.97034450798111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4.2633254143446502</v>
      </c>
      <c r="FR140" s="21">
        <f>EXP(-LN(2)/25)*FR139+(1-EXP(-LN(2)/25))/(LN(2)/25)*Calculateur!FM140*Calculateur!FO140*VLOOKUP('Données projet'!$B$16,Paramètres!$A$1:$I$89,3,0)*0.475*44/12</f>
        <v>17.350519430096696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21.613844844441346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2.5579538487363607E-13</v>
      </c>
      <c r="O141" s="13">
        <f>N141*VLOOKUP('Données projet'!$B$9,Paramètres!$A$1:$I$89,3,0)*VLOOKUP('Données projet'!$B$9,Paramètres!$A$1:$I$89,5,0)</f>
        <v>2.4341488824575211E-13</v>
      </c>
      <c r="P141" s="13">
        <f t="shared" si="141"/>
        <v>3.2970717324875541E-12</v>
      </c>
      <c r="Q141" s="20">
        <f t="shared" si="108"/>
        <v>6.1663475311105072E-12</v>
      </c>
      <c r="R141" s="59">
        <f t="shared" si="109"/>
        <v>293.33333333333945</v>
      </c>
      <c r="S141" s="59">
        <f ca="1">AVERAGE(OFFSET($R$3,0,0,'Données projet'!$E$9+1,1))-AVERAGE(OFFSET($H$3,0,0,'Données projet'!$E$9+1,1))</f>
        <v>449.28947235329758</v>
      </c>
      <c r="T141" s="59">
        <f t="shared" si="142"/>
        <v>289.36994109443964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101.40166055190912</v>
      </c>
      <c r="AA141" s="21">
        <f>EXP(-LN(2)/25)*AA140+(1-EXP(-LN(2)/25))/(LN(2)/25)*Calculateur!V141*Calculateur!X141*VLOOKUP('Données projet'!$B$9,Paramètres!$A$1:$I$89,3,0)*0.475*44/12</f>
        <v>19.833424922288252</v>
      </c>
      <c r="AB141" s="21">
        <f>EXP(-LN(2)/2)*AB140+(1-EXP(-LN(2)/2))/(LN(2)/2)*V141*Y141*VLOOKUP('Données projet'!$B$9,Paramètres!$A$1:$I$89,3,0)*0.475*44/12</f>
        <v>0.44759024836546951</v>
      </c>
      <c r="AC141" s="22">
        <f t="shared" si="111"/>
        <v>121.68267572256285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-2.2737367544323206E-13</v>
      </c>
      <c r="AJ141" s="13">
        <f>AI141*VLOOKUP('Données projet'!$B$10,Paramètres!$A$1:$I$89,3,0)*VLOOKUP('Données projet'!$B$10,Paramètres!$A$1:$I$89,5,0)</f>
        <v>-1.3596945791505279E-13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349.71285006949597</v>
      </c>
      <c r="AO141" s="59">
        <f t="shared" si="144"/>
        <v>258.51550516456842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48.595973031825551</v>
      </c>
      <c r="AV141" s="21">
        <f>EXP(-LN(2)/25)*AV140+(1-EXP(-LN(2)/25))/(LN(2)/25)*Calculateur!AQ141*Calculateur!AS141*VLOOKUP('Données projet'!$B$10,Paramètres!$A$1:$I$89,3,0)*0.475*44/12</f>
        <v>10.362714591865725</v>
      </c>
      <c r="AW141" s="21">
        <f>EXP(-LN(2)/2)*AW140+(1-EXP(-LN(2)/2))/(LN(2)/2)*AQ141*AT141*VLOOKUP('Données projet'!$B$10,Paramètres!$A$1:$I$89,3,0)*0.475*44/12</f>
        <v>1.3172001168356967E-7</v>
      </c>
      <c r="AX141" s="21">
        <f t="shared" si="114"/>
        <v>58.95868775541129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1.1368683772161603E-13</v>
      </c>
      <c r="BE141" s="13">
        <f>BD141*VLOOKUP('Données projet'!$B$11,Paramètres!$A$1:$I$89,3,0)*VLOOKUP('Données projet'!$B$11,Paramètres!$A$1:$I$89,5,0)</f>
        <v>6.7984728957526396E-14</v>
      </c>
      <c r="BF141" s="13">
        <f t="shared" si="145"/>
        <v>1.0682447123141398E-12</v>
      </c>
      <c r="BG141" s="20">
        <f t="shared" si="115"/>
        <v>1.978932943548152E-12</v>
      </c>
      <c r="BH141" s="59">
        <f t="shared" si="116"/>
        <v>293.3333333333353</v>
      </c>
      <c r="BI141" s="59">
        <f ca="1">AVERAGE(OFFSET($BH$3,0,0,'Données projet'!$E$11+1,1))-AVERAGE(OFFSET($H$3,0,0,'Données projet'!$E$11+1,1))</f>
        <v>302.00825291248458</v>
      </c>
      <c r="BJ141" s="59">
        <f t="shared" si="146"/>
        <v>307.35115839449355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29.630487804541602</v>
      </c>
      <c r="BQ141" s="21">
        <f>EXP(-LN(2)/25)*BQ140+(1-EXP(-LN(2)/25))/(LN(2)/25)*Calculateur!BL141*Calculateur!BN141*VLOOKUP('Données projet'!$B$11,Paramètres!$A$1:$I$89,3,0)*0.475*44/12</f>
        <v>5.5717957795214641</v>
      </c>
      <c r="BR141" s="21">
        <f>EXP(-LN(2)/2)*BR140+(1-EXP(-LN(2)/2))/(LN(2)/2)*BL141*BO141*VLOOKUP('Données projet'!$B$11,Paramètres!$A$1:$I$89,3,0)*0.475*44/12</f>
        <v>1.0906922911700075E-10</v>
      </c>
      <c r="BS141" s="22">
        <f t="shared" si="117"/>
        <v>35.202283584172136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1.7053025658242404E-13</v>
      </c>
      <c r="BZ141" s="13">
        <f>BY141*VLOOKUP('Données projet'!$B$12,Paramètres!$A$1:$I$89,3,0)*VLOOKUP('Données projet'!$B$12,Paramètres!$A$1:$I$89,5,0)</f>
        <v>7.9808160080574461E-14</v>
      </c>
      <c r="CA141" s="13">
        <f t="shared" si="147"/>
        <v>1.2308384591775343E-12</v>
      </c>
      <c r="CB141" s="20">
        <f t="shared" si="118"/>
        <v>2.282709528541206E-12</v>
      </c>
      <c r="CC141" s="59">
        <f t="shared" si="119"/>
        <v>293.33333333333559</v>
      </c>
      <c r="CD141" s="59">
        <f ca="1">AVERAGE(OFFSET($CC$3,0,0,'Données projet'!$E$12+1,1))-AVERAGE(OFFSET($H$3,0,0,'Données projet'!$E$12+1,1))</f>
        <v>337.10499990421835</v>
      </c>
      <c r="CE141" s="59">
        <f t="shared" si="148"/>
        <v>277.4254079562175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126.62308216292841</v>
      </c>
      <c r="CL141" s="21">
        <f>EXP(-LN(2)/25)*CL140+(1-EXP(-LN(2)/25))/(LN(2)/25)*Calculateur!CG141*Calculateur!CI141*VLOOKUP('Données projet'!$B$12,Paramètres!$A$1:$I$89,3,0)*0.475*44/12</f>
        <v>36.990024097752524</v>
      </c>
      <c r="CM141" s="21">
        <f>EXP(-LN(2)/2)*CM140+(1-EXP(-LN(2)/2))/(LN(2)/2)*CG141*CJ141*VLOOKUP('Données projet'!$B$12,Paramètres!$A$1:$I$89,3,0)*0.475*44/12</f>
        <v>2.8645473478026253</v>
      </c>
      <c r="CN141" s="22">
        <f t="shared" si="120"/>
        <v>166.47765360848354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7.3375000000000012</v>
      </c>
      <c r="CT141" s="12">
        <f>IF('Données projet'!$A$140&gt;35,CT140+CS141-DB140,IF(A141&lt;'Données projet'!$A$140,$CQ$205^A141,IF(A141='Données projet'!$A$140,'Données projet'!$B$140,CT140+CS141-DB140)))</f>
        <v>335.89499999999992</v>
      </c>
      <c r="CU141" s="17">
        <f>CT141*VLOOKUP('Données projet'!$B$13,Paramètres!$A$1:$I$89,3,0)*VLOOKUP('Données projet'!$B$13,Paramètres!$A$1:$I$89,5,0)</f>
        <v>335.35756799999996</v>
      </c>
      <c r="CV141" s="13">
        <f t="shared" si="149"/>
        <v>78.540024459263932</v>
      </c>
      <c r="CW141" s="20">
        <f t="shared" si="121"/>
        <v>720.87164019988461</v>
      </c>
      <c r="CX141" s="59">
        <f t="shared" si="122"/>
        <v>1014.204973533218</v>
      </c>
      <c r="CY141" s="59">
        <f ca="1">AVERAGE(OFFSET($CX$3,0,0,'Données projet'!$E$13+1,1))-AVERAGE(OFFSET($H$3,0,0,'Données projet'!$E$13+1,1))</f>
        <v>525.74725170626471</v>
      </c>
      <c r="CZ141" s="59">
        <f t="shared" si="150"/>
        <v>259.19103598192197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25.499833157751365</v>
      </c>
      <c r="DG141" s="21">
        <f>EXP(-LN(2)/25)*DG140+(1-EXP(-LN(2)/25))/(LN(2)/25)*Calculateur!DB141*Calculateur!DD141*VLOOKUP('Données projet'!$B$13,Paramètres!$A$1:$I$89,3,0)*0.475*44/12</f>
        <v>20.042300383681866</v>
      </c>
      <c r="DH141" s="21">
        <f>EXP(-LN(2)/2)*DH140+(1-EXP(-LN(2)/2))/(LN(2)/2)*DB141*DE141*VLOOKUP('Données projet'!$B$13,Paramètres!$A$1:$I$89,3,0)*0.475*44/12</f>
        <v>0.59102421077892664</v>
      </c>
      <c r="DI141" s="22">
        <f t="shared" si="123"/>
        <v>46.133157752212156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7.5999999999999988</v>
      </c>
      <c r="DO141" s="12">
        <f>IF('Données projet'!$A$166&gt;35,DO140+DN141-DW140,IF(A141&lt;'Données projet'!$A$166,$DL$205^A141,IF(A141='Données projet'!$A$166,'Données projet'!$B$166,DO140+DN141-DW140)))</f>
        <v>360.96000000000026</v>
      </c>
      <c r="DP141" s="17">
        <f>DO141*VLOOKUP('Données projet'!$B$14,Paramètres!$A$1:$I$89,3,0)*VLOOKUP('Données projet'!$B$14,Paramètres!$A$1:$I$89,5,0)</f>
        <v>326.59660800000023</v>
      </c>
      <c r="DQ141" s="13">
        <f t="shared" si="151"/>
        <v>76.724272012237279</v>
      </c>
      <c r="DR141" s="20">
        <f t="shared" si="124"/>
        <v>702.45053268798029</v>
      </c>
      <c r="DS141" s="59">
        <f t="shared" si="125"/>
        <v>995.78386602131354</v>
      </c>
      <c r="DT141" s="59">
        <f ca="1">AVERAGE(OFFSET($DS$3,0,0,'Données projet'!$E$14+1,1))-AVERAGE(OFFSET($H$3,0,0,'Données projet'!$E$14+1,1))</f>
        <v>490.06222615476065</v>
      </c>
      <c r="DU141" s="59">
        <f t="shared" si="152"/>
        <v>310.43914804089906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48.016487110962039</v>
      </c>
      <c r="EB141" s="21">
        <f>EXP(-LN(2)/25)*EB140+(1-EXP(-LN(2)/25))/(LN(2)/25)*Calculateur!DW141*Calculateur!DY141*VLOOKUP('Données projet'!$B$14,Paramètres!$A$1:$I$89,3,0)*0.475*44/12</f>
        <v>21.332099437478927</v>
      </c>
      <c r="EC141" s="21">
        <f>EXP(-LN(2)/2)*EC140+(1-EXP(-LN(2)/2))/(LN(2)/2)*DW141*DZ141*VLOOKUP('Données projet'!$B$14,Paramètres!$A$1:$I$89,3,0)*0.475*44/12</f>
        <v>2.6805416302294878E-5</v>
      </c>
      <c r="ED141" s="22">
        <f t="shared" si="126"/>
        <v>69.34861335385726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7.3375000000000012</v>
      </c>
      <c r="EJ141" s="12">
        <f>IF('Données projet'!$A$192&gt;35,EJ140+EI141-ER140,IF(A141&lt;'Données projet'!$A$192,$EG$205^A141,IF(A141='Données projet'!$A$192,'Données projet'!$B$192,EJ140+EI141-ER140)))</f>
        <v>335.89499999999992</v>
      </c>
      <c r="EK141" s="17">
        <f>EJ141*VLOOKUP('Données projet'!$B$15,Paramètres!$A$1:$I$89,3,0)*VLOOKUP('Données projet'!$B$15,Paramètres!$A$1:$I$89,5,0)</f>
        <v>340.59752999999995</v>
      </c>
      <c r="EL141" s="13">
        <f t="shared" si="153"/>
        <v>79.623387284014498</v>
      </c>
      <c r="EM141" s="20">
        <f t="shared" si="127"/>
        <v>731.88476426965838</v>
      </c>
      <c r="EN141" s="59">
        <f t="shared" si="128"/>
        <v>1025.2180976029917</v>
      </c>
      <c r="EO141" s="59">
        <f ca="1">AVERAGE(OFFSET($EN$3,0,0,'Données projet'!$E$15+1,1))-AVERAGE(OFFSET($H$3,0,0,'Données projet'!$E$15+1,1))</f>
        <v>533.26035274112917</v>
      </c>
      <c r="EP141" s="59">
        <f t="shared" si="154"/>
        <v>262.58149402282521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25.898268050841224</v>
      </c>
      <c r="EW141" s="21">
        <f>EXP(-LN(2)/25)*EW140+(1-EXP(-LN(2)/25))/(LN(2)/25)*Calculateur!ER141*Calculateur!ET141*VLOOKUP('Données projet'!$B$15,Paramètres!$A$1:$I$89,3,0)*0.475*44/12</f>
        <v>20.355461327176897</v>
      </c>
      <c r="EX141" s="21">
        <f>EXP(-LN(2)/2)*EX140+(1-EXP(-LN(2)/2))/(LN(2)/2)*ER141*EU141*VLOOKUP('Données projet'!$B$15,Paramètres!$A$1:$I$89,3,0)*0.475*44/12</f>
        <v>0.60025896407234758</v>
      </c>
      <c r="EY141" s="22">
        <f t="shared" si="129"/>
        <v>46.853988342090467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239.26156489359892</v>
      </c>
      <c r="FK141" s="59">
        <f t="shared" si="156"/>
        <v>213.97034450798111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4.1797242033410891</v>
      </c>
      <c r="FR141" s="21">
        <f>EXP(-LN(2)/25)*FR140+(1-EXP(-LN(2)/25))/(LN(2)/25)*Calculateur!FM141*Calculateur!FO141*VLOOKUP('Données projet'!$B$16,Paramètres!$A$1:$I$89,3,0)*0.475*44/12</f>
        <v>16.876068563856542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21.05579276719763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2.5579538487363607E-13</v>
      </c>
      <c r="O142" s="13">
        <f>N142*VLOOKUP('Données projet'!$B$9,Paramètres!$A$1:$I$89,3,0)*VLOOKUP('Données projet'!$B$9,Paramètres!$A$1:$I$89,5,0)</f>
        <v>2.4341488824575211E-13</v>
      </c>
      <c r="P142" s="13">
        <f t="shared" si="141"/>
        <v>3.2970717324875541E-12</v>
      </c>
      <c r="Q142" s="20">
        <f t="shared" si="108"/>
        <v>6.1663475311105072E-12</v>
      </c>
      <c r="R142" s="59">
        <f t="shared" si="109"/>
        <v>293.33333333333945</v>
      </c>
      <c r="S142" s="59">
        <f ca="1">AVERAGE(OFFSET($R$3,0,0,'Données projet'!$E$9+1,1))-AVERAGE(OFFSET($H$3,0,0,'Données projet'!$E$9+1,1))</f>
        <v>449.28947235329758</v>
      </c>
      <c r="T142" s="59">
        <f t="shared" si="142"/>
        <v>289.36994109443964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99.413235837392037</v>
      </c>
      <c r="AA142" s="21">
        <f>EXP(-LN(2)/25)*AA141+(1-EXP(-LN(2)/25))/(LN(2)/25)*Calculateur!V142*Calculateur!X142*VLOOKUP('Données projet'!$B$9,Paramètres!$A$1:$I$89,3,0)*0.475*44/12</f>
        <v>19.291078874793794</v>
      </c>
      <c r="AB142" s="21">
        <f>EXP(-LN(2)/2)*AB141+(1-EXP(-LN(2)/2))/(LN(2)/2)*V142*Y142*VLOOKUP('Données projet'!$B$9,Paramètres!$A$1:$I$89,3,0)*0.475*44/12</f>
        <v>0.31649409981219451</v>
      </c>
      <c r="AC142" s="22">
        <f t="shared" si="111"/>
        <v>119.02080881199802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-2.2737367544323206E-13</v>
      </c>
      <c r="AJ142" s="13">
        <f>AI142*VLOOKUP('Données projet'!$B$10,Paramètres!$A$1:$I$89,3,0)*VLOOKUP('Données projet'!$B$10,Paramètres!$A$1:$I$89,5,0)</f>
        <v>-1.3596945791505279E-13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349.71285006949597</v>
      </c>
      <c r="AO142" s="59">
        <f t="shared" si="144"/>
        <v>258.51550516456842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47.643035641288236</v>
      </c>
      <c r="AV142" s="21">
        <f>EXP(-LN(2)/25)*AV141+(1-EXP(-LN(2)/25))/(LN(2)/25)*Calculateur!AQ142*Calculateur!AS142*VLOOKUP('Données projet'!$B$10,Paramètres!$A$1:$I$89,3,0)*0.475*44/12</f>
        <v>10.07934561639968</v>
      </c>
      <c r="AW142" s="21">
        <f>EXP(-LN(2)/2)*AW141+(1-EXP(-LN(2)/2))/(LN(2)/2)*AQ142*AT142*VLOOKUP('Données projet'!$B$10,Paramètres!$A$1:$I$89,3,0)*0.475*44/12</f>
        <v>9.3140113479423386E-8</v>
      </c>
      <c r="AX142" s="21">
        <f t="shared" si="114"/>
        <v>57.72238135082803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1.1368683772161603E-13</v>
      </c>
      <c r="BE142" s="13">
        <f>BD142*VLOOKUP('Données projet'!$B$11,Paramètres!$A$1:$I$89,3,0)*VLOOKUP('Données projet'!$B$11,Paramètres!$A$1:$I$89,5,0)</f>
        <v>6.7984728957526396E-14</v>
      </c>
      <c r="BF142" s="13">
        <f t="shared" si="145"/>
        <v>1.0682447123141398E-12</v>
      </c>
      <c r="BG142" s="20">
        <f t="shared" si="115"/>
        <v>1.978932943548152E-12</v>
      </c>
      <c r="BH142" s="59">
        <f t="shared" si="116"/>
        <v>293.3333333333353</v>
      </c>
      <c r="BI142" s="59">
        <f ca="1">AVERAGE(OFFSET($BH$3,0,0,'Données projet'!$E$11+1,1))-AVERAGE(OFFSET($H$3,0,0,'Données projet'!$E$11+1,1))</f>
        <v>302.00825291248458</v>
      </c>
      <c r="BJ142" s="59">
        <f t="shared" si="146"/>
        <v>307.35115839449355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29.049452011507558</v>
      </c>
      <c r="BQ142" s="21">
        <f>EXP(-LN(2)/25)*BQ141+(1-EXP(-LN(2)/25))/(LN(2)/25)*Calculateur!BL142*Calculateur!BN142*VLOOKUP('Données projet'!$B$11,Paramètres!$A$1:$I$89,3,0)*0.475*44/12</f>
        <v>5.4194347309224442</v>
      </c>
      <c r="BR142" s="21">
        <f>EXP(-LN(2)/2)*BR141+(1-EXP(-LN(2)/2))/(LN(2)/2)*BL142*BO142*VLOOKUP('Données projet'!$B$11,Paramètres!$A$1:$I$89,3,0)*0.475*44/12</f>
        <v>7.7123591527420465E-11</v>
      </c>
      <c r="BS142" s="22">
        <f t="shared" si="117"/>
        <v>34.468886742507124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1.7053025658242404E-13</v>
      </c>
      <c r="BZ142" s="13">
        <f>BY142*VLOOKUP('Données projet'!$B$12,Paramètres!$A$1:$I$89,3,0)*VLOOKUP('Données projet'!$B$12,Paramètres!$A$1:$I$89,5,0)</f>
        <v>7.9808160080574461E-14</v>
      </c>
      <c r="CA142" s="13">
        <f t="shared" si="147"/>
        <v>1.2308384591775343E-12</v>
      </c>
      <c r="CB142" s="20">
        <f t="shared" si="118"/>
        <v>2.282709528541206E-12</v>
      </c>
      <c r="CC142" s="59">
        <f t="shared" si="119"/>
        <v>293.33333333333559</v>
      </c>
      <c r="CD142" s="59">
        <f ca="1">AVERAGE(OFFSET($CC$3,0,0,'Données projet'!$E$12+1,1))-AVERAGE(OFFSET($H$3,0,0,'Données projet'!$E$12+1,1))</f>
        <v>337.10499990421835</v>
      </c>
      <c r="CE142" s="59">
        <f t="shared" si="148"/>
        <v>277.4254079562175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124.14008075416743</v>
      </c>
      <c r="CL142" s="21">
        <f>EXP(-LN(2)/25)*CL141+(1-EXP(-LN(2)/25))/(LN(2)/25)*Calculateur!CG142*Calculateur!CI142*VLOOKUP('Données projet'!$B$12,Paramètres!$A$1:$I$89,3,0)*0.475*44/12</f>
        <v>35.978529943578657</v>
      </c>
      <c r="CM142" s="21">
        <f>EXP(-LN(2)/2)*CM141+(1-EXP(-LN(2)/2))/(LN(2)/2)*CG142*CJ142*VLOOKUP('Données projet'!$B$12,Paramètres!$A$1:$I$89,3,0)*0.475*44/12</f>
        <v>2.0255408546611759</v>
      </c>
      <c r="CN142" s="22">
        <f t="shared" si="120"/>
        <v>162.14415155240727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7.3375000000000012</v>
      </c>
      <c r="CT142" s="12">
        <f>IF('Données projet'!$A$140&gt;35,CT141+CS142-DB141,IF(A142&lt;'Données projet'!$A$140,$CQ$205^A142,IF(A142='Données projet'!$A$140,'Données projet'!$B$140,CT141+CS142-DB141)))</f>
        <v>343.2324999999999</v>
      </c>
      <c r="CU142" s="17">
        <f>CT142*VLOOKUP('Données projet'!$B$13,Paramètres!$A$1:$I$89,3,0)*VLOOKUP('Données projet'!$B$13,Paramètres!$A$1:$I$89,5,0)</f>
        <v>342.6833279999999</v>
      </c>
      <c r="CV142" s="13">
        <f t="shared" si="149"/>
        <v>80.054085075406888</v>
      </c>
      <c r="CW142" s="20">
        <f t="shared" si="121"/>
        <v>736.26766110633343</v>
      </c>
      <c r="CX142" s="59">
        <f t="shared" si="122"/>
        <v>1029.6009944396667</v>
      </c>
      <c r="CY142" s="59">
        <f ca="1">AVERAGE(OFFSET($CX$3,0,0,'Données projet'!$E$13+1,1))-AVERAGE(OFFSET($H$3,0,0,'Données projet'!$E$13+1,1))</f>
        <v>525.74725170626471</v>
      </c>
      <c r="CZ142" s="59">
        <f t="shared" si="150"/>
        <v>259.19103598192197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24.99979698289032</v>
      </c>
      <c r="DG142" s="21">
        <f>EXP(-LN(2)/25)*DG141+(1-EXP(-LN(2)/25))/(LN(2)/25)*Calculateur!DB142*Calculateur!DD142*VLOOKUP('Données projet'!$B$13,Paramètres!$A$1:$I$89,3,0)*0.475*44/12</f>
        <v>19.494242625711315</v>
      </c>
      <c r="DH142" s="21">
        <f>EXP(-LN(2)/2)*DH141+(1-EXP(-LN(2)/2))/(LN(2)/2)*DB142*DE142*VLOOKUP('Données projet'!$B$13,Paramètres!$A$1:$I$89,3,0)*0.475*44/12</f>
        <v>0.41791722728720643</v>
      </c>
      <c r="DI142" s="22">
        <f t="shared" si="123"/>
        <v>44.911956835888844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7.5999999999999988</v>
      </c>
      <c r="DO142" s="12">
        <f>IF('Données projet'!$A$166&gt;35,DO141+DN142-DW141,IF(A142&lt;'Données projet'!$A$166,$DL$205^A142,IF(A142='Données projet'!$A$166,'Données projet'!$B$166,DO141+DN142-DW141)))</f>
        <v>368.56000000000029</v>
      </c>
      <c r="DP142" s="17">
        <f>DO142*VLOOKUP('Données projet'!$B$14,Paramètres!$A$1:$I$89,3,0)*VLOOKUP('Données projet'!$B$14,Paramètres!$A$1:$I$89,5,0)</f>
        <v>333.47308800000025</v>
      </c>
      <c r="DQ142" s="13">
        <f t="shared" si="151"/>
        <v>78.149927586670955</v>
      </c>
      <c r="DR142" s="20">
        <f t="shared" si="124"/>
        <v>716.91008548011894</v>
      </c>
      <c r="DS142" s="59">
        <f t="shared" si="125"/>
        <v>1010.2434188134523</v>
      </c>
      <c r="DT142" s="59">
        <f ca="1">AVERAGE(OFFSET($DS$3,0,0,'Données projet'!$E$14+1,1))-AVERAGE(OFFSET($H$3,0,0,'Données projet'!$E$14+1,1))</f>
        <v>490.06222615476065</v>
      </c>
      <c r="DU142" s="59">
        <f t="shared" si="152"/>
        <v>310.43914804089906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47.074913085881342</v>
      </c>
      <c r="EB142" s="21">
        <f>EXP(-LN(2)/25)*EB141+(1-EXP(-LN(2)/25))/(LN(2)/25)*Calculateur!DW142*Calculateur!DY142*VLOOKUP('Données projet'!$B$14,Paramètres!$A$1:$I$89,3,0)*0.475*44/12</f>
        <v>20.74877205655471</v>
      </c>
      <c r="EC142" s="21">
        <f>EXP(-LN(2)/2)*EC141+(1-EXP(-LN(2)/2))/(LN(2)/2)*DW142*DZ142*VLOOKUP('Données projet'!$B$14,Paramètres!$A$1:$I$89,3,0)*0.475*44/12</f>
        <v>1.8954291639881138E-5</v>
      </c>
      <c r="ED142" s="22">
        <f t="shared" si="126"/>
        <v>67.823704096727681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7.3375000000000012</v>
      </c>
      <c r="EJ142" s="12">
        <f>IF('Données projet'!$A$192&gt;35,EJ141+EI142-ER141,IF(A142&lt;'Données projet'!$A$192,$EG$205^A142,IF(A142='Données projet'!$A$192,'Données projet'!$B$192,EJ141+EI142-ER141)))</f>
        <v>343.2324999999999</v>
      </c>
      <c r="EK142" s="17">
        <f>EJ142*VLOOKUP('Données projet'!$B$15,Paramètres!$A$1:$I$89,3,0)*VLOOKUP('Données projet'!$B$15,Paramètres!$A$1:$I$89,5,0)</f>
        <v>348.03775499999989</v>
      </c>
      <c r="EL142" s="13">
        <f t="shared" si="153"/>
        <v>81.158332500044466</v>
      </c>
      <c r="EM142" s="20">
        <f t="shared" si="127"/>
        <v>747.51651906257723</v>
      </c>
      <c r="EN142" s="59">
        <f t="shared" si="128"/>
        <v>1040.8498523959106</v>
      </c>
      <c r="EO142" s="59">
        <f ca="1">AVERAGE(OFFSET($EN$3,0,0,'Données projet'!$E$15+1,1))-AVERAGE(OFFSET($H$3,0,0,'Données projet'!$E$15+1,1))</f>
        <v>533.26035274112917</v>
      </c>
      <c r="EP142" s="59">
        <f t="shared" si="154"/>
        <v>262.58149402282521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25.390418810747974</v>
      </c>
      <c r="EW142" s="21">
        <f>EXP(-LN(2)/25)*EW141+(1-EXP(-LN(2)/25))/(LN(2)/25)*Calculateur!ER142*Calculateur!ET142*VLOOKUP('Données projet'!$B$15,Paramètres!$A$1:$I$89,3,0)*0.475*44/12</f>
        <v>19.798840166738056</v>
      </c>
      <c r="EX142" s="21">
        <f>EXP(-LN(2)/2)*EX141+(1-EXP(-LN(2)/2))/(LN(2)/2)*ER142*EU142*VLOOKUP('Données projet'!$B$15,Paramètres!$A$1:$I$89,3,0)*0.475*44/12</f>
        <v>0.42444718396356917</v>
      </c>
      <c r="EY142" s="22">
        <f t="shared" si="129"/>
        <v>45.613706161449606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239.26156489359892</v>
      </c>
      <c r="FK142" s="59">
        <f t="shared" si="156"/>
        <v>213.97034450798111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4.0977623610936043</v>
      </c>
      <c r="FR142" s="21">
        <f>EXP(-LN(2)/25)*FR141+(1-EXP(-LN(2)/25))/(LN(2)/25)*Calculateur!FM142*Calculateur!FO142*VLOOKUP('Données projet'!$B$16,Paramètres!$A$1:$I$89,3,0)*0.475*44/12</f>
        <v>16.414591581504009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20.512353942597613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2.5579538487363607E-13</v>
      </c>
      <c r="O143" s="13">
        <f>N143*VLOOKUP('Données projet'!$B$9,Paramètres!$A$1:$I$89,3,0)*VLOOKUP('Données projet'!$B$9,Paramètres!$A$1:$I$89,5,0)</f>
        <v>2.4341488824575211E-13</v>
      </c>
      <c r="P143" s="13">
        <f t="shared" si="141"/>
        <v>3.2970717324875541E-12</v>
      </c>
      <c r="Q143" s="20">
        <f t="shared" si="108"/>
        <v>6.1663475311105072E-12</v>
      </c>
      <c r="R143" s="59">
        <f t="shared" si="109"/>
        <v>293.33333333333945</v>
      </c>
      <c r="S143" s="59">
        <f ca="1">AVERAGE(OFFSET($R$3,0,0,'Données projet'!$E$9+1,1))-AVERAGE(OFFSET($H$3,0,0,'Données projet'!$E$9+1,1))</f>
        <v>449.28947235329758</v>
      </c>
      <c r="T143" s="59">
        <f t="shared" si="142"/>
        <v>289.36994109443964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97.46380291870733</v>
      </c>
      <c r="AA143" s="21">
        <f>EXP(-LN(2)/25)*AA142+(1-EXP(-LN(2)/25))/(LN(2)/25)*Calculateur!V143*Calculateur!X143*VLOOKUP('Données projet'!$B$9,Paramètres!$A$1:$I$89,3,0)*0.475*44/12</f>
        <v>18.763563308488809</v>
      </c>
      <c r="AB143" s="21">
        <f>EXP(-LN(2)/2)*AB142+(1-EXP(-LN(2)/2))/(LN(2)/2)*V143*Y143*VLOOKUP('Données projet'!$B$9,Paramètres!$A$1:$I$89,3,0)*0.475*44/12</f>
        <v>0.22379512418273476</v>
      </c>
      <c r="AC143" s="22">
        <f t="shared" si="111"/>
        <v>116.45116135137887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-2.2737367544323206E-13</v>
      </c>
      <c r="AJ143" s="13">
        <f>AI143*VLOOKUP('Données projet'!$B$10,Paramètres!$A$1:$I$89,3,0)*VLOOKUP('Données projet'!$B$10,Paramètres!$A$1:$I$89,5,0)</f>
        <v>-1.3596945791505279E-13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349.71285006949597</v>
      </c>
      <c r="AO143" s="59">
        <f t="shared" si="144"/>
        <v>258.51550516456842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46.708784771744938</v>
      </c>
      <c r="AV143" s="21">
        <f>EXP(-LN(2)/25)*AV142+(1-EXP(-LN(2)/25))/(LN(2)/25)*Calculateur!AQ143*Calculateur!AS143*VLOOKUP('Données projet'!$B$10,Paramètres!$A$1:$I$89,3,0)*0.475*44/12</f>
        <v>9.8037253804694817</v>
      </c>
      <c r="AW143" s="21">
        <f>EXP(-LN(2)/2)*AW142+(1-EXP(-LN(2)/2))/(LN(2)/2)*AQ143*AT143*VLOOKUP('Données projet'!$B$10,Paramètres!$A$1:$I$89,3,0)*0.475*44/12</f>
        <v>6.5860005841784837E-8</v>
      </c>
      <c r="AX143" s="21">
        <f t="shared" si="114"/>
        <v>56.512510218074425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1.1368683772161603E-13</v>
      </c>
      <c r="BE143" s="13">
        <f>BD143*VLOOKUP('Données projet'!$B$11,Paramètres!$A$1:$I$89,3,0)*VLOOKUP('Données projet'!$B$11,Paramètres!$A$1:$I$89,5,0)</f>
        <v>6.7984728957526396E-14</v>
      </c>
      <c r="BF143" s="13">
        <f t="shared" si="145"/>
        <v>1.0682447123141398E-12</v>
      </c>
      <c r="BG143" s="20">
        <f t="shared" si="115"/>
        <v>1.978932943548152E-12</v>
      </c>
      <c r="BH143" s="59">
        <f t="shared" si="116"/>
        <v>293.3333333333353</v>
      </c>
      <c r="BI143" s="59">
        <f ca="1">AVERAGE(OFFSET($BH$3,0,0,'Données projet'!$E$11+1,1))-AVERAGE(OFFSET($H$3,0,0,'Données projet'!$E$11+1,1))</f>
        <v>302.00825291248458</v>
      </c>
      <c r="BJ143" s="59">
        <f t="shared" si="146"/>
        <v>307.35115839449355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28.479809975978075</v>
      </c>
      <c r="BQ143" s="21">
        <f>EXP(-LN(2)/25)*BQ142+(1-EXP(-LN(2)/25))/(LN(2)/25)*Calculateur!BL143*Calculateur!BN143*VLOOKUP('Données projet'!$B$11,Paramètres!$A$1:$I$89,3,0)*0.475*44/12</f>
        <v>5.2712400032096838</v>
      </c>
      <c r="BR143" s="21">
        <f>EXP(-LN(2)/2)*BR142+(1-EXP(-LN(2)/2))/(LN(2)/2)*BL143*BO143*VLOOKUP('Données projet'!$B$11,Paramètres!$A$1:$I$89,3,0)*0.475*44/12</f>
        <v>5.4534614558500374E-11</v>
      </c>
      <c r="BS143" s="22">
        <f t="shared" si="117"/>
        <v>33.751049979242289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1.7053025658242404E-13</v>
      </c>
      <c r="BZ143" s="13">
        <f>BY143*VLOOKUP('Données projet'!$B$12,Paramètres!$A$1:$I$89,3,0)*VLOOKUP('Données projet'!$B$12,Paramètres!$A$1:$I$89,5,0)</f>
        <v>7.9808160080574461E-14</v>
      </c>
      <c r="CA143" s="13">
        <f t="shared" si="147"/>
        <v>1.2308384591775343E-12</v>
      </c>
      <c r="CB143" s="20">
        <f t="shared" si="118"/>
        <v>2.282709528541206E-12</v>
      </c>
      <c r="CC143" s="59">
        <f t="shared" si="119"/>
        <v>293.33333333333559</v>
      </c>
      <c r="CD143" s="59">
        <f ca="1">AVERAGE(OFFSET($CC$3,0,0,'Données projet'!$E$12+1,1))-AVERAGE(OFFSET($H$3,0,0,'Données projet'!$E$12+1,1))</f>
        <v>337.10499990421835</v>
      </c>
      <c r="CE143" s="59">
        <f t="shared" si="148"/>
        <v>277.4254079562175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121.70576948855094</v>
      </c>
      <c r="CL143" s="21">
        <f>EXP(-LN(2)/25)*CL142+(1-EXP(-LN(2)/25))/(LN(2)/25)*Calculateur!CG143*Calculateur!CI143*VLOOKUP('Données projet'!$B$12,Paramètres!$A$1:$I$89,3,0)*0.475*44/12</f>
        <v>34.99469515024284</v>
      </c>
      <c r="CM143" s="21">
        <f>EXP(-LN(2)/2)*CM142+(1-EXP(-LN(2)/2))/(LN(2)/2)*CG143*CJ143*VLOOKUP('Données projet'!$B$12,Paramètres!$A$1:$I$89,3,0)*0.475*44/12</f>
        <v>1.4322736739013127</v>
      </c>
      <c r="CN143" s="22">
        <f t="shared" si="120"/>
        <v>158.1327383126951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7.3375000000000012</v>
      </c>
      <c r="CT143" s="12">
        <f>IF('Données projet'!$A$140&gt;35,CT142+CS143-DB142,IF(A143&lt;'Données projet'!$A$140,$CQ$205^A143,IF(A143='Données projet'!$A$140,'Données projet'!$B$140,CT142+CS143-DB142)))</f>
        <v>350.56999999999988</v>
      </c>
      <c r="CU143" s="17">
        <f>CT143*VLOOKUP('Données projet'!$B$13,Paramètres!$A$1:$I$89,3,0)*VLOOKUP('Données projet'!$B$13,Paramètres!$A$1:$I$89,5,0)</f>
        <v>350.00908799999991</v>
      </c>
      <c r="CV143" s="13">
        <f t="shared" si="149"/>
        <v>81.56438254881057</v>
      </c>
      <c r="CW143" s="20">
        <f t="shared" si="121"/>
        <v>751.65712787251152</v>
      </c>
      <c r="CX143" s="59">
        <f t="shared" si="122"/>
        <v>1044.9904612058449</v>
      </c>
      <c r="CY143" s="59">
        <f ca="1">AVERAGE(OFFSET($CX$3,0,0,'Données projet'!$E$13+1,1))-AVERAGE(OFFSET($H$3,0,0,'Données projet'!$E$13+1,1))</f>
        <v>525.74725170626471</v>
      </c>
      <c r="CZ143" s="59">
        <f t="shared" si="150"/>
        <v>259.19103598192197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24.50956621242635</v>
      </c>
      <c r="DG143" s="21">
        <f>EXP(-LN(2)/25)*DG142+(1-EXP(-LN(2)/25))/(LN(2)/25)*Calculateur!DB143*Calculateur!DD143*VLOOKUP('Données projet'!$B$13,Paramètres!$A$1:$I$89,3,0)*0.475*44/12</f>
        <v>18.961171535953575</v>
      </c>
      <c r="DH143" s="21">
        <f>EXP(-LN(2)/2)*DH142+(1-EXP(-LN(2)/2))/(LN(2)/2)*DB143*DE143*VLOOKUP('Données projet'!$B$13,Paramètres!$A$1:$I$89,3,0)*0.475*44/12</f>
        <v>0.29551210538946332</v>
      </c>
      <c r="DI143" s="22">
        <f t="shared" si="123"/>
        <v>43.766249853769388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7.5999999999999988</v>
      </c>
      <c r="DO143" s="12">
        <f>IF('Données projet'!$A$166&gt;35,DO142+DN143-DW142,IF(A143&lt;'Données projet'!$A$166,$DL$205^A143,IF(A143='Données projet'!$A$166,'Données projet'!$B$166,DO142+DN143-DW142)))</f>
        <v>376.16000000000031</v>
      </c>
      <c r="DP143" s="17">
        <f>DO143*VLOOKUP('Données projet'!$B$14,Paramètres!$A$1:$I$89,3,0)*VLOOKUP('Données projet'!$B$14,Paramètres!$A$1:$I$89,5,0)</f>
        <v>340.34956800000026</v>
      </c>
      <c r="DQ143" s="13">
        <f t="shared" si="151"/>
        <v>79.572165063820393</v>
      </c>
      <c r="DR143" s="20">
        <f t="shared" si="124"/>
        <v>731.36368508615408</v>
      </c>
      <c r="DS143" s="59">
        <f t="shared" si="125"/>
        <v>1024.6970184194874</v>
      </c>
      <c r="DT143" s="59">
        <f ca="1">AVERAGE(OFFSET($DS$3,0,0,'Données projet'!$E$14+1,1))-AVERAGE(OFFSET($H$3,0,0,'Données projet'!$E$14+1,1))</f>
        <v>490.06222615476065</v>
      </c>
      <c r="DU143" s="59">
        <f t="shared" si="152"/>
        <v>310.43914804089906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46.151802753129033</v>
      </c>
      <c r="EB143" s="21">
        <f>EXP(-LN(2)/25)*EB142+(1-EXP(-LN(2)/25))/(LN(2)/25)*Calculateur!DW143*Calculateur!DY143*VLOOKUP('Données projet'!$B$14,Paramètres!$A$1:$I$89,3,0)*0.475*44/12</f>
        <v>20.181395793537721</v>
      </c>
      <c r="EC143" s="21">
        <f>EXP(-LN(2)/2)*EC142+(1-EXP(-LN(2)/2))/(LN(2)/2)*DW143*DZ143*VLOOKUP('Données projet'!$B$14,Paramètres!$A$1:$I$89,3,0)*0.475*44/12</f>
        <v>1.3402708151147439E-5</v>
      </c>
      <c r="ED143" s="22">
        <f t="shared" si="126"/>
        <v>66.333211949374899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7.3375000000000012</v>
      </c>
      <c r="EJ143" s="12">
        <f>IF('Données projet'!$A$192&gt;35,EJ142+EI143-ER142,IF(A143&lt;'Données projet'!$A$192,$EG$205^A143,IF(A143='Données projet'!$A$192,'Données projet'!$B$192,EJ142+EI143-ER142)))</f>
        <v>350.56999999999988</v>
      </c>
      <c r="EK143" s="17">
        <f>EJ143*VLOOKUP('Données projet'!$B$15,Paramètres!$A$1:$I$89,3,0)*VLOOKUP('Données projet'!$B$15,Paramètres!$A$1:$I$89,5,0)</f>
        <v>355.47797999999989</v>
      </c>
      <c r="EL143" s="13">
        <f t="shared" si="153"/>
        <v>82.689462665419711</v>
      </c>
      <c r="EM143" s="20">
        <f t="shared" si="127"/>
        <v>763.14162930893906</v>
      </c>
      <c r="EN143" s="59">
        <f t="shared" si="128"/>
        <v>1056.4749626422724</v>
      </c>
      <c r="EO143" s="59">
        <f ca="1">AVERAGE(OFFSET($EN$3,0,0,'Données projet'!$E$15+1,1))-AVERAGE(OFFSET($H$3,0,0,'Données projet'!$E$15+1,1))</f>
        <v>533.26035274112917</v>
      </c>
      <c r="EP143" s="59">
        <f t="shared" si="154"/>
        <v>262.58149402282521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24.892528184495504</v>
      </c>
      <c r="EW143" s="21">
        <f>EXP(-LN(2)/25)*EW142+(1-EXP(-LN(2)/25))/(LN(2)/25)*Calculateur!ER143*Calculateur!ET143*VLOOKUP('Données projet'!$B$15,Paramètres!$A$1:$I$89,3,0)*0.475*44/12</f>
        <v>19.257439841202849</v>
      </c>
      <c r="EX143" s="21">
        <f>EXP(-LN(2)/2)*EX142+(1-EXP(-LN(2)/2))/(LN(2)/2)*ER143*EU143*VLOOKUP('Données projet'!$B$15,Paramètres!$A$1:$I$89,3,0)*0.475*44/12</f>
        <v>0.30012948203617379</v>
      </c>
      <c r="EY143" s="22">
        <f t="shared" si="129"/>
        <v>44.450097507734533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239.26156489359892</v>
      </c>
      <c r="FK143" s="59">
        <f t="shared" si="156"/>
        <v>213.97034450798111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4.0174077405808051</v>
      </c>
      <c r="FR143" s="21">
        <f>EXP(-LN(2)/25)*FR142+(1-EXP(-LN(2)/25))/(LN(2)/25)*Calculateur!FM143*Calculateur!FO143*VLOOKUP('Données projet'!$B$16,Paramètres!$A$1:$I$89,3,0)*0.475*44/12</f>
        <v>15.965733711501926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19.98314145208273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2.5579538487363607E-13</v>
      </c>
      <c r="O144" s="13">
        <f>N144*VLOOKUP('Données projet'!$B$9,Paramètres!$A$1:$I$89,3,0)*VLOOKUP('Données projet'!$B$9,Paramètres!$A$1:$I$89,5,0)</f>
        <v>2.4341488824575211E-13</v>
      </c>
      <c r="P144" s="13">
        <f t="shared" si="141"/>
        <v>3.2970717324875541E-12</v>
      </c>
      <c r="Q144" s="20">
        <f t="shared" si="108"/>
        <v>6.1663475311105072E-12</v>
      </c>
      <c r="R144" s="59">
        <f t="shared" si="109"/>
        <v>293.33333333333945</v>
      </c>
      <c r="S144" s="59">
        <f ca="1">AVERAGE(OFFSET($R$3,0,0,'Données projet'!$E$9+1,1))-AVERAGE(OFFSET($H$3,0,0,'Données projet'!$E$9+1,1))</f>
        <v>449.28947235329758</v>
      </c>
      <c r="T144" s="59">
        <f t="shared" si="142"/>
        <v>289.36994109443964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95.552597190521354</v>
      </c>
      <c r="AA144" s="21">
        <f>EXP(-LN(2)/25)*AA143+(1-EXP(-LN(2)/25))/(LN(2)/25)*Calculateur!V144*Calculateur!X144*VLOOKUP('Données projet'!$B$9,Paramètres!$A$1:$I$89,3,0)*0.475*44/12</f>
        <v>18.250472683085274</v>
      </c>
      <c r="AB144" s="21">
        <f>EXP(-LN(2)/2)*AB143+(1-EXP(-LN(2)/2))/(LN(2)/2)*V144*Y144*VLOOKUP('Données projet'!$B$9,Paramètres!$A$1:$I$89,3,0)*0.475*44/12</f>
        <v>0.15824704990609725</v>
      </c>
      <c r="AC144" s="22">
        <f t="shared" si="111"/>
        <v>113.96131692351273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-2.2737367544323206E-13</v>
      </c>
      <c r="AJ144" s="13">
        <f>AI144*VLOOKUP('Données projet'!$B$10,Paramètres!$A$1:$I$89,3,0)*VLOOKUP('Données projet'!$B$10,Paramètres!$A$1:$I$89,5,0)</f>
        <v>-1.3596945791505279E-13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349.71285006949597</v>
      </c>
      <c r="AO144" s="59">
        <f t="shared" si="144"/>
        <v>258.51550516456842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45.792853991916623</v>
      </c>
      <c r="AV144" s="21">
        <f>EXP(-LN(2)/25)*AV143+(1-EXP(-LN(2)/25))/(LN(2)/25)*Calculateur!AQ144*Calculateur!AS144*VLOOKUP('Données projet'!$B$10,Paramètres!$A$1:$I$89,3,0)*0.475*44/12</f>
        <v>9.535641994385033</v>
      </c>
      <c r="AW144" s="21">
        <f>EXP(-LN(2)/2)*AW143+(1-EXP(-LN(2)/2))/(LN(2)/2)*AQ144*AT144*VLOOKUP('Données projet'!$B$10,Paramètres!$A$1:$I$89,3,0)*0.475*44/12</f>
        <v>4.6570056739711693E-8</v>
      </c>
      <c r="AX144" s="21">
        <f t="shared" si="114"/>
        <v>55.328496032871712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1.1368683772161603E-13</v>
      </c>
      <c r="BE144" s="13">
        <f>BD144*VLOOKUP('Données projet'!$B$11,Paramètres!$A$1:$I$89,3,0)*VLOOKUP('Données projet'!$B$11,Paramètres!$A$1:$I$89,5,0)</f>
        <v>6.7984728957526396E-14</v>
      </c>
      <c r="BF144" s="13">
        <f t="shared" si="145"/>
        <v>1.0682447123141398E-12</v>
      </c>
      <c r="BG144" s="20">
        <f t="shared" si="115"/>
        <v>1.978932943548152E-12</v>
      </c>
      <c r="BH144" s="59">
        <f t="shared" si="116"/>
        <v>293.3333333333353</v>
      </c>
      <c r="BI144" s="59">
        <f ca="1">AVERAGE(OFFSET($BH$3,0,0,'Données projet'!$E$11+1,1))-AVERAGE(OFFSET($H$3,0,0,'Données projet'!$E$11+1,1))</f>
        <v>302.00825291248458</v>
      </c>
      <c r="BJ144" s="59">
        <f t="shared" si="146"/>
        <v>307.35115839449355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27.921338273317989</v>
      </c>
      <c r="BQ144" s="21">
        <f>EXP(-LN(2)/25)*BQ143+(1-EXP(-LN(2)/25))/(LN(2)/25)*Calculateur!BL144*Calculateur!BN144*VLOOKUP('Données projet'!$B$11,Paramètres!$A$1:$I$89,3,0)*0.475*44/12</f>
        <v>5.1270976681194504</v>
      </c>
      <c r="BR144" s="21">
        <f>EXP(-LN(2)/2)*BR143+(1-EXP(-LN(2)/2))/(LN(2)/2)*BL144*BO144*VLOOKUP('Données projet'!$B$11,Paramètres!$A$1:$I$89,3,0)*0.475*44/12</f>
        <v>3.8561795763710233E-11</v>
      </c>
      <c r="BS144" s="22">
        <f t="shared" si="117"/>
        <v>33.048435941476001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1.7053025658242404E-13</v>
      </c>
      <c r="BZ144" s="13">
        <f>BY144*VLOOKUP('Données projet'!$B$12,Paramètres!$A$1:$I$89,3,0)*VLOOKUP('Données projet'!$B$12,Paramètres!$A$1:$I$89,5,0)</f>
        <v>7.9808160080574461E-14</v>
      </c>
      <c r="CA144" s="13">
        <f t="shared" si="147"/>
        <v>1.2308384591775343E-12</v>
      </c>
      <c r="CB144" s="20">
        <f t="shared" si="118"/>
        <v>2.282709528541206E-12</v>
      </c>
      <c r="CC144" s="59">
        <f t="shared" si="119"/>
        <v>293.33333333333559</v>
      </c>
      <c r="CD144" s="59">
        <f ca="1">AVERAGE(OFFSET($CC$3,0,0,'Données projet'!$E$12+1,1))-AVERAGE(OFFSET($H$3,0,0,'Données projet'!$E$12+1,1))</f>
        <v>337.10499990421835</v>
      </c>
      <c r="CE144" s="59">
        <f t="shared" si="148"/>
        <v>277.4254079562175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119.31919358206993</v>
      </c>
      <c r="CL144" s="21">
        <f>EXP(-LN(2)/25)*CL143+(1-EXP(-LN(2)/25))/(LN(2)/25)*Calculateur!CG144*Calculateur!CI144*VLOOKUP('Données projet'!$B$12,Paramètres!$A$1:$I$89,3,0)*0.475*44/12</f>
        <v>34.037763371068415</v>
      </c>
      <c r="CM144" s="21">
        <f>EXP(-LN(2)/2)*CM143+(1-EXP(-LN(2)/2))/(LN(2)/2)*CG144*CJ144*VLOOKUP('Données projet'!$B$12,Paramètres!$A$1:$I$89,3,0)*0.475*44/12</f>
        <v>1.012770427330588</v>
      </c>
      <c r="CN144" s="22">
        <f t="shared" si="120"/>
        <v>154.36972738046893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7.3375000000000012</v>
      </c>
      <c r="CT144" s="12">
        <f>IF('Données projet'!$A$140&gt;35,CT143+CS144-DB143,IF(A144&lt;'Données projet'!$A$140,$CQ$205^A144,IF(A144='Données projet'!$A$140,'Données projet'!$B$140,CT143+CS144-DB143)))</f>
        <v>357.90749999999986</v>
      </c>
      <c r="CU144" s="17">
        <f>CT144*VLOOKUP('Données projet'!$B$13,Paramètres!$A$1:$I$89,3,0)*VLOOKUP('Données projet'!$B$13,Paramètres!$A$1:$I$89,5,0)</f>
        <v>357.33484799999985</v>
      </c>
      <c r="CV144" s="13">
        <f t="shared" si="149"/>
        <v>83.07100471677758</v>
      </c>
      <c r="CW144" s="20">
        <f t="shared" si="121"/>
        <v>767.04019348172062</v>
      </c>
      <c r="CX144" s="59">
        <f t="shared" si="122"/>
        <v>1060.373526815054</v>
      </c>
      <c r="CY144" s="59">
        <f ca="1">AVERAGE(OFFSET($CX$3,0,0,'Données projet'!$E$13+1,1))-AVERAGE(OFFSET($H$3,0,0,'Données projet'!$E$13+1,1))</f>
        <v>525.74725170626471</v>
      </c>
      <c r="CZ144" s="59">
        <f t="shared" si="150"/>
        <v>259.19103598192197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24.028948568359933</v>
      </c>
      <c r="DG144" s="21">
        <f>EXP(-LN(2)/25)*DG143+(1-EXP(-LN(2)/25))/(LN(2)/25)*Calculateur!DB144*Calculateur!DD144*VLOOKUP('Données projet'!$B$13,Paramètres!$A$1:$I$89,3,0)*0.475*44/12</f>
        <v>18.44267730317825</v>
      </c>
      <c r="DH144" s="21">
        <f>EXP(-LN(2)/2)*DH143+(1-EXP(-LN(2)/2))/(LN(2)/2)*DB144*DE144*VLOOKUP('Données projet'!$B$13,Paramètres!$A$1:$I$89,3,0)*0.475*44/12</f>
        <v>0.20895861364360321</v>
      </c>
      <c r="DI144" s="22">
        <f t="shared" si="123"/>
        <v>42.680584485181782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7.5999999999999988</v>
      </c>
      <c r="DO144" s="12">
        <f>IF('Données projet'!$A$166&gt;35,DO143+DN144-DW143,IF(A144&lt;'Données projet'!$A$166,$DL$205^A144,IF(A144='Données projet'!$A$166,'Données projet'!$B$166,DO143+DN144-DW143)))</f>
        <v>383.76000000000033</v>
      </c>
      <c r="DP144" s="17">
        <f>DO144*VLOOKUP('Données projet'!$B$14,Paramètres!$A$1:$I$89,3,0)*VLOOKUP('Données projet'!$B$14,Paramètres!$A$1:$I$89,5,0)</f>
        <v>347.22604800000028</v>
      </c>
      <c r="DQ144" s="13">
        <f t="shared" si="151"/>
        <v>80.991061462049885</v>
      </c>
      <c r="DR144" s="20">
        <f t="shared" si="124"/>
        <v>745.81146564640403</v>
      </c>
      <c r="DS144" s="59">
        <f t="shared" si="125"/>
        <v>1039.1447989797373</v>
      </c>
      <c r="DT144" s="59">
        <f ca="1">AVERAGE(OFFSET($DS$3,0,0,'Données projet'!$E$14+1,1))-AVERAGE(OFFSET($H$3,0,0,'Données projet'!$E$14+1,1))</f>
        <v>490.06222615476065</v>
      </c>
      <c r="DU144" s="59">
        <f t="shared" si="152"/>
        <v>310.43914804089906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45.24679405096029</v>
      </c>
      <c r="EB144" s="21">
        <f>EXP(-LN(2)/25)*EB143+(1-EXP(-LN(2)/25))/(LN(2)/25)*Calculateur!DW144*Calculateur!DY144*VLOOKUP('Données projet'!$B$14,Paramètres!$A$1:$I$89,3,0)*0.475*44/12</f>
        <v>19.629534464269952</v>
      </c>
      <c r="EC144" s="21">
        <f>EXP(-LN(2)/2)*EC143+(1-EXP(-LN(2)/2))/(LN(2)/2)*DW144*DZ144*VLOOKUP('Données projet'!$B$14,Paramètres!$A$1:$I$89,3,0)*0.475*44/12</f>
        <v>9.4771458199405688E-6</v>
      </c>
      <c r="ED144" s="22">
        <f t="shared" si="126"/>
        <v>64.876337992376065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7.3375000000000012</v>
      </c>
      <c r="EJ144" s="12">
        <f>IF('Données projet'!$A$192&gt;35,EJ143+EI144-ER143,IF(A144&lt;'Données projet'!$A$192,$EG$205^A144,IF(A144='Données projet'!$A$192,'Données projet'!$B$192,EJ143+EI144-ER143)))</f>
        <v>357.90749999999986</v>
      </c>
      <c r="EK144" s="17">
        <f>EJ144*VLOOKUP('Données projet'!$B$15,Paramètres!$A$1:$I$89,3,0)*VLOOKUP('Données projet'!$B$15,Paramètres!$A$1:$I$89,5,0)</f>
        <v>362.91820499999989</v>
      </c>
      <c r="EL144" s="13">
        <f t="shared" si="153"/>
        <v>84.216866829050204</v>
      </c>
      <c r="EM144" s="20">
        <f t="shared" si="127"/>
        <v>778.76025010226238</v>
      </c>
      <c r="EN144" s="59">
        <f t="shared" si="128"/>
        <v>1072.0935834355957</v>
      </c>
      <c r="EO144" s="59">
        <f ca="1">AVERAGE(OFFSET($EN$3,0,0,'Données projet'!$E$15+1,1))-AVERAGE(OFFSET($H$3,0,0,'Données projet'!$E$15+1,1))</f>
        <v>533.26035274112917</v>
      </c>
      <c r="EP144" s="59">
        <f t="shared" si="154"/>
        <v>262.58149402282521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24.404400889740547</v>
      </c>
      <c r="EW144" s="21">
        <f>EXP(-LN(2)/25)*EW143+(1-EXP(-LN(2)/25))/(LN(2)/25)*Calculateur!ER144*Calculateur!ET144*VLOOKUP('Données projet'!$B$15,Paramètres!$A$1:$I$89,3,0)*0.475*44/12</f>
        <v>18.73084413604041</v>
      </c>
      <c r="EX144" s="21">
        <f>EXP(-LN(2)/2)*EX143+(1-EXP(-LN(2)/2))/(LN(2)/2)*ER144*EU144*VLOOKUP('Données projet'!$B$15,Paramètres!$A$1:$I$89,3,0)*0.475*44/12</f>
        <v>0.21222359198178459</v>
      </c>
      <c r="EY144" s="22">
        <f t="shared" si="129"/>
        <v>43.347468617762743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239.26156489359892</v>
      </c>
      <c r="FK144" s="59">
        <f t="shared" si="156"/>
        <v>213.97034450798111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3.9386288251647827</v>
      </c>
      <c r="FR144" s="21">
        <f>EXP(-LN(2)/25)*FR143+(1-EXP(-LN(2)/25))/(LN(2)/25)*Calculateur!FM144*Calculateur!FO144*VLOOKUP('Données projet'!$B$16,Paramètres!$A$1:$I$89,3,0)*0.475*44/12</f>
        <v>15.529149883559461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19.467778708724243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2.5579538487363607E-13</v>
      </c>
      <c r="O145" s="13">
        <f>N145*VLOOKUP('Données projet'!$B$9,Paramètres!$A$1:$I$89,3,0)*VLOOKUP('Données projet'!$B$9,Paramètres!$A$1:$I$89,5,0)</f>
        <v>2.4341488824575211E-13</v>
      </c>
      <c r="P145" s="13">
        <f t="shared" si="141"/>
        <v>3.2970717324875541E-12</v>
      </c>
      <c r="Q145" s="20">
        <f t="shared" si="108"/>
        <v>6.1663475311105072E-12</v>
      </c>
      <c r="R145" s="59">
        <f t="shared" si="109"/>
        <v>293.33333333333945</v>
      </c>
      <c r="S145" s="59">
        <f ca="1">AVERAGE(OFFSET($R$3,0,0,'Données projet'!$E$9+1,1))-AVERAGE(OFFSET($H$3,0,0,'Données projet'!$E$9+1,1))</f>
        <v>449.28947235329758</v>
      </c>
      <c r="T145" s="59">
        <f t="shared" si="142"/>
        <v>289.36994109443964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93.678869040944718</v>
      </c>
      <c r="AA145" s="21">
        <f>EXP(-LN(2)/25)*AA144+(1-EXP(-LN(2)/25))/(LN(2)/25)*Calculateur!V145*Calculateur!X145*VLOOKUP('Données projet'!$B$9,Paramètres!$A$1:$I$89,3,0)*0.475*44/12</f>
        <v>17.751412547815661</v>
      </c>
      <c r="AB145" s="21">
        <f>EXP(-LN(2)/2)*AB144+(1-EXP(-LN(2)/2))/(LN(2)/2)*V145*Y145*VLOOKUP('Données projet'!$B$9,Paramètres!$A$1:$I$89,3,0)*0.475*44/12</f>
        <v>0.11189756209136738</v>
      </c>
      <c r="AC145" s="22">
        <f t="shared" si="111"/>
        <v>111.54217915085175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-2.2737367544323206E-13</v>
      </c>
      <c r="AJ145" s="13">
        <f>AI145*VLOOKUP('Données projet'!$B$10,Paramètres!$A$1:$I$89,3,0)*VLOOKUP('Données projet'!$B$10,Paramètres!$A$1:$I$89,5,0)</f>
        <v>-1.3596945791505279E-13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349.71285006949597</v>
      </c>
      <c r="AO145" s="59">
        <f t="shared" si="144"/>
        <v>258.51550516456842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44.894884056018128</v>
      </c>
      <c r="AV145" s="21">
        <f>EXP(-LN(2)/25)*AV144+(1-EXP(-LN(2)/25))/(LN(2)/25)*Calculateur!AQ145*Calculateur!AS145*VLOOKUP('Données projet'!$B$10,Paramètres!$A$1:$I$89,3,0)*0.475*44/12</f>
        <v>9.2748893625909563</v>
      </c>
      <c r="AW145" s="21">
        <f>EXP(-LN(2)/2)*AW144+(1-EXP(-LN(2)/2))/(LN(2)/2)*AQ145*AT145*VLOOKUP('Données projet'!$B$10,Paramètres!$A$1:$I$89,3,0)*0.475*44/12</f>
        <v>3.2930002920892419E-8</v>
      </c>
      <c r="AX145" s="21">
        <f t="shared" si="114"/>
        <v>54.169773451539086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1.1368683772161603E-13</v>
      </c>
      <c r="BE145" s="13">
        <f>BD145*VLOOKUP('Données projet'!$B$11,Paramètres!$A$1:$I$89,3,0)*VLOOKUP('Données projet'!$B$11,Paramètres!$A$1:$I$89,5,0)</f>
        <v>6.7984728957526396E-14</v>
      </c>
      <c r="BF145" s="13">
        <f t="shared" si="145"/>
        <v>1.0682447123141398E-12</v>
      </c>
      <c r="BG145" s="20">
        <f t="shared" si="115"/>
        <v>1.978932943548152E-12</v>
      </c>
      <c r="BH145" s="59">
        <f t="shared" si="116"/>
        <v>293.3333333333353</v>
      </c>
      <c r="BI145" s="59">
        <f ca="1">AVERAGE(OFFSET($BH$3,0,0,'Données projet'!$E$11+1,1))-AVERAGE(OFFSET($H$3,0,0,'Données projet'!$E$11+1,1))</f>
        <v>302.00825291248458</v>
      </c>
      <c r="BJ145" s="59">
        <f t="shared" si="146"/>
        <v>307.35115839449355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27.373817860112965</v>
      </c>
      <c r="BQ145" s="21">
        <f>EXP(-LN(2)/25)*BQ144+(1-EXP(-LN(2)/25))/(LN(2)/25)*Calculateur!BL145*Calculateur!BN145*VLOOKUP('Données projet'!$B$11,Paramètres!$A$1:$I$89,3,0)*0.475*44/12</f>
        <v>4.9868969127623757</v>
      </c>
      <c r="BR145" s="21">
        <f>EXP(-LN(2)/2)*BR144+(1-EXP(-LN(2)/2))/(LN(2)/2)*BL145*BO145*VLOOKUP('Données projet'!$B$11,Paramètres!$A$1:$I$89,3,0)*0.475*44/12</f>
        <v>2.7267307279250187E-11</v>
      </c>
      <c r="BS145" s="22">
        <f t="shared" si="117"/>
        <v>32.360714772902611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1.7053025658242404E-13</v>
      </c>
      <c r="BZ145" s="13">
        <f>BY145*VLOOKUP('Données projet'!$B$12,Paramètres!$A$1:$I$89,3,0)*VLOOKUP('Données projet'!$B$12,Paramètres!$A$1:$I$89,5,0)</f>
        <v>7.9808160080574461E-14</v>
      </c>
      <c r="CA145" s="13">
        <f t="shared" si="147"/>
        <v>1.2308384591775343E-12</v>
      </c>
      <c r="CB145" s="20">
        <f t="shared" si="118"/>
        <v>2.282709528541206E-12</v>
      </c>
      <c r="CC145" s="59">
        <f t="shared" si="119"/>
        <v>293.33333333333559</v>
      </c>
      <c r="CD145" s="59">
        <f ca="1">AVERAGE(OFFSET($CC$3,0,0,'Données projet'!$E$12+1,1))-AVERAGE(OFFSET($H$3,0,0,'Données projet'!$E$12+1,1))</f>
        <v>337.10499990421835</v>
      </c>
      <c r="CE145" s="59">
        <f t="shared" si="148"/>
        <v>277.4254079562175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116.97941697344744</v>
      </c>
      <c r="CL145" s="21">
        <f>EXP(-LN(2)/25)*CL144+(1-EXP(-LN(2)/25))/(LN(2)/25)*Calculateur!CG145*Calculateur!CI145*VLOOKUP('Données projet'!$B$12,Paramètres!$A$1:$I$89,3,0)*0.475*44/12</f>
        <v>33.106998941718366</v>
      </c>
      <c r="CM145" s="21">
        <f>EXP(-LN(2)/2)*CM144+(1-EXP(-LN(2)/2))/(LN(2)/2)*CG145*CJ145*VLOOKUP('Données projet'!$B$12,Paramètres!$A$1:$I$89,3,0)*0.475*44/12</f>
        <v>0.71613683695065633</v>
      </c>
      <c r="CN145" s="22">
        <f t="shared" si="120"/>
        <v>150.80255275211647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7.3375000000000012</v>
      </c>
      <c r="CT145" s="12">
        <f>IF('Données projet'!$A$140&gt;35,CT144+CS145-DB144,IF(A145&lt;'Données projet'!$A$140,$CQ$205^A145,IF(A145='Données projet'!$A$140,'Données projet'!$B$140,CT144+CS145-DB144)))</f>
        <v>365.24499999999983</v>
      </c>
      <c r="CU145" s="17">
        <f>CT145*VLOOKUP('Données projet'!$B$13,Paramètres!$A$1:$I$89,3,0)*VLOOKUP('Données projet'!$B$13,Paramètres!$A$1:$I$89,5,0)</f>
        <v>364.66060799999985</v>
      </c>
      <c r="CV145" s="13">
        <f t="shared" si="149"/>
        <v>84.574035609221411</v>
      </c>
      <c r="CW145" s="20">
        <f t="shared" si="121"/>
        <v>782.41700428606043</v>
      </c>
      <c r="CX145" s="59">
        <f t="shared" si="122"/>
        <v>1075.7503376193938</v>
      </c>
      <c r="CY145" s="59">
        <f ca="1">AVERAGE(OFFSET($CX$3,0,0,'Données projet'!$E$13+1,1))-AVERAGE(OFFSET($H$3,0,0,'Données projet'!$E$13+1,1))</f>
        <v>525.74725170626471</v>
      </c>
      <c r="CZ145" s="59">
        <f t="shared" si="150"/>
        <v>259.19103598192197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23.557755543145841</v>
      </c>
      <c r="DG145" s="21">
        <f>EXP(-LN(2)/25)*DG144+(1-EXP(-LN(2)/25))/(LN(2)/25)*Calculateur!DB145*Calculateur!DD145*VLOOKUP('Données projet'!$B$13,Paramètres!$A$1:$I$89,3,0)*0.475*44/12</f>
        <v>17.938361322464594</v>
      </c>
      <c r="DH145" s="21">
        <f>EXP(-LN(2)/2)*DH144+(1-EXP(-LN(2)/2))/(LN(2)/2)*DB145*DE145*VLOOKUP('Données projet'!$B$13,Paramètres!$A$1:$I$89,3,0)*0.475*44/12</f>
        <v>0.14775605269473166</v>
      </c>
      <c r="DI145" s="22">
        <f t="shared" si="123"/>
        <v>41.643872918305163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7.5999999999999988</v>
      </c>
      <c r="DO145" s="12">
        <f>IF('Données projet'!$A$166&gt;35,DO144+DN145-DW144,IF(A145&lt;'Données projet'!$A$166,$DL$205^A145,IF(A145='Données projet'!$A$166,'Données projet'!$B$166,DO144+DN145-DW144)))</f>
        <v>391.36000000000035</v>
      </c>
      <c r="DP145" s="17">
        <f>DO145*VLOOKUP('Données projet'!$B$14,Paramètres!$A$1:$I$89,3,0)*VLOOKUP('Données projet'!$B$14,Paramètres!$A$1:$I$89,5,0)</f>
        <v>354.10252800000029</v>
      </c>
      <c r="DQ145" s="13">
        <f t="shared" si="151"/>
        <v>82.406690574717359</v>
      </c>
      <c r="DR145" s="20">
        <f t="shared" si="124"/>
        <v>760.25355568429995</v>
      </c>
      <c r="DS145" s="59">
        <f t="shared" si="125"/>
        <v>1053.5868890176332</v>
      </c>
      <c r="DT145" s="59">
        <f ca="1">AVERAGE(OFFSET($DS$3,0,0,'Données projet'!$E$14+1,1))-AVERAGE(OFFSET($H$3,0,0,'Données projet'!$E$14+1,1))</f>
        <v>490.06222615476065</v>
      </c>
      <c r="DU145" s="59">
        <f t="shared" si="152"/>
        <v>310.43914804089906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44.359532017440273</v>
      </c>
      <c r="EB145" s="21">
        <f>EXP(-LN(2)/25)*EB144+(1-EXP(-LN(2)/25))/(LN(2)/25)*Calculateur!DW145*Calculateur!DY145*VLOOKUP('Données projet'!$B$14,Paramètres!$A$1:$I$89,3,0)*0.475*44/12</f>
        <v>19.092763812072135</v>
      </c>
      <c r="EC145" s="21">
        <f>EXP(-LN(2)/2)*EC144+(1-EXP(-LN(2)/2))/(LN(2)/2)*DW145*DZ145*VLOOKUP('Données projet'!$B$14,Paramètres!$A$1:$I$89,3,0)*0.475*44/12</f>
        <v>6.7013540755737194E-6</v>
      </c>
      <c r="ED145" s="22">
        <f t="shared" si="126"/>
        <v>63.452302530866483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7.3375000000000012</v>
      </c>
      <c r="EJ145" s="12">
        <f>IF('Données projet'!$A$192&gt;35,EJ144+EI145-ER144,IF(A145&lt;'Données projet'!$A$192,$EG$205^A145,IF(A145='Données projet'!$A$192,'Données projet'!$B$192,EJ144+EI145-ER144)))</f>
        <v>365.24499999999983</v>
      </c>
      <c r="EK145" s="17">
        <f>EJ145*VLOOKUP('Données projet'!$B$15,Paramètres!$A$1:$I$89,3,0)*VLOOKUP('Données projet'!$B$15,Paramètres!$A$1:$I$89,5,0)</f>
        <v>370.35842999999988</v>
      </c>
      <c r="EL145" s="13">
        <f t="shared" si="153"/>
        <v>85.740630179938449</v>
      </c>
      <c r="EM145" s="20">
        <f t="shared" si="127"/>
        <v>794.37252981339236</v>
      </c>
      <c r="EN145" s="59">
        <f t="shared" si="128"/>
        <v>1087.7058631467257</v>
      </c>
      <c r="EO145" s="59">
        <f ca="1">AVERAGE(OFFSET($EN$3,0,0,'Données projet'!$E$15+1,1))-AVERAGE(OFFSET($H$3,0,0,'Données projet'!$E$15+1,1))</f>
        <v>533.26035274112917</v>
      </c>
      <c r="EP145" s="59">
        <f t="shared" si="154"/>
        <v>262.58149402282521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23.925845473507486</v>
      </c>
      <c r="EW145" s="21">
        <f>EXP(-LN(2)/25)*EW144+(1-EXP(-LN(2)/25))/(LN(2)/25)*Calculateur!ER145*Calculateur!ET145*VLOOKUP('Données projet'!$B$15,Paramètres!$A$1:$I$89,3,0)*0.475*44/12</f>
        <v>18.218648218128102</v>
      </c>
      <c r="EX145" s="21">
        <f>EXP(-LN(2)/2)*EX144+(1-EXP(-LN(2)/2))/(LN(2)/2)*ER145*EU145*VLOOKUP('Données projet'!$B$15,Paramètres!$A$1:$I$89,3,0)*0.475*44/12</f>
        <v>0.15006474101808689</v>
      </c>
      <c r="EY145" s="22">
        <f t="shared" si="129"/>
        <v>42.294558432653673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239.26156489359892</v>
      </c>
      <c r="FK145" s="59">
        <f t="shared" si="156"/>
        <v>213.97034450798111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3.8613947162296749</v>
      </c>
      <c r="FR145" s="21">
        <f>EXP(-LN(2)/25)*FR144+(1-EXP(-LN(2)/25))/(LN(2)/25)*Calculateur!FM145*Calculateur!FO145*VLOOKUP('Données projet'!$B$16,Paramètres!$A$1:$I$89,3,0)*0.475*44/12</f>
        <v>15.104504463351027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18.965899179580703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2.5579538487363607E-13</v>
      </c>
      <c r="O146" s="13">
        <f>N146*VLOOKUP('Données projet'!$B$9,Paramètres!$A$1:$I$89,3,0)*VLOOKUP('Données projet'!$B$9,Paramètres!$A$1:$I$89,5,0)</f>
        <v>2.4341488824575211E-13</v>
      </c>
      <c r="P146" s="13">
        <f t="shared" si="141"/>
        <v>3.2970717324875541E-12</v>
      </c>
      <c r="Q146" s="20">
        <f t="shared" si="108"/>
        <v>6.1663475311105072E-12</v>
      </c>
      <c r="R146" s="59">
        <f t="shared" si="109"/>
        <v>293.33333333333945</v>
      </c>
      <c r="S146" s="59">
        <f ca="1">AVERAGE(OFFSET($R$3,0,0,'Données projet'!$E$9+1,1))-AVERAGE(OFFSET($H$3,0,0,'Données projet'!$E$9+1,1))</f>
        <v>449.28947235329758</v>
      </c>
      <c r="T146" s="59">
        <f t="shared" si="142"/>
        <v>289.36994109443964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91.841883557519949</v>
      </c>
      <c r="AA146" s="21">
        <f>EXP(-LN(2)/25)*AA145+(1-EXP(-LN(2)/25))/(LN(2)/25)*Calculateur!V146*Calculateur!X146*VLOOKUP('Données projet'!$B$9,Paramètres!$A$1:$I$89,3,0)*0.475*44/12</f>
        <v>17.265999238189426</v>
      </c>
      <c r="AB146" s="21">
        <f>EXP(-LN(2)/2)*AB145+(1-EXP(-LN(2)/2))/(LN(2)/2)*V146*Y146*VLOOKUP('Données projet'!$B$9,Paramètres!$A$1:$I$89,3,0)*0.475*44/12</f>
        <v>7.9123524953048627E-2</v>
      </c>
      <c r="AC146" s="22">
        <f t="shared" si="111"/>
        <v>109.18700632066242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-2.2737367544323206E-13</v>
      </c>
      <c r="AJ146" s="13">
        <f>AI146*VLOOKUP('Données projet'!$B$10,Paramètres!$A$1:$I$89,3,0)*VLOOKUP('Données projet'!$B$10,Paramètres!$A$1:$I$89,5,0)</f>
        <v>-1.3596945791505279E-13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349.71285006949597</v>
      </c>
      <c r="AO146" s="59">
        <f t="shared" si="144"/>
        <v>258.51550516456842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44.014522762855023</v>
      </c>
      <c r="AV146" s="21">
        <f>EXP(-LN(2)/25)*AV145+(1-EXP(-LN(2)/25))/(LN(2)/25)*Calculateur!AQ146*Calculateur!AS146*VLOOKUP('Données projet'!$B$10,Paramètres!$A$1:$I$89,3,0)*0.475*44/12</f>
        <v>9.0212670252256739</v>
      </c>
      <c r="AW146" s="21">
        <f>EXP(-LN(2)/2)*AW145+(1-EXP(-LN(2)/2))/(LN(2)/2)*AQ146*AT146*VLOOKUP('Données projet'!$B$10,Paramètres!$A$1:$I$89,3,0)*0.475*44/12</f>
        <v>2.3285028369855847E-8</v>
      </c>
      <c r="AX146" s="21">
        <f t="shared" si="114"/>
        <v>53.035789811365724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1.1368683772161603E-13</v>
      </c>
      <c r="BE146" s="13">
        <f>BD146*VLOOKUP('Données projet'!$B$11,Paramètres!$A$1:$I$89,3,0)*VLOOKUP('Données projet'!$B$11,Paramètres!$A$1:$I$89,5,0)</f>
        <v>6.7984728957526396E-14</v>
      </c>
      <c r="BF146" s="13">
        <f t="shared" si="145"/>
        <v>1.0682447123141398E-12</v>
      </c>
      <c r="BG146" s="20">
        <f t="shared" si="115"/>
        <v>1.978932943548152E-12</v>
      </c>
      <c r="BH146" s="59">
        <f t="shared" si="116"/>
        <v>293.3333333333353</v>
      </c>
      <c r="BI146" s="59">
        <f ca="1">AVERAGE(OFFSET($BH$3,0,0,'Données projet'!$E$11+1,1))-AVERAGE(OFFSET($H$3,0,0,'Données projet'!$E$11+1,1))</f>
        <v>302.00825291248458</v>
      </c>
      <c r="BJ146" s="59">
        <f t="shared" si="146"/>
        <v>307.35115839449355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26.837033988256415</v>
      </c>
      <c r="BQ146" s="21">
        <f>EXP(-LN(2)/25)*BQ145+(1-EXP(-LN(2)/25))/(LN(2)/25)*Calculateur!BL146*Calculateur!BN146*VLOOKUP('Données projet'!$B$11,Paramètres!$A$1:$I$89,3,0)*0.475*44/12</f>
        <v>4.8505299544333775</v>
      </c>
      <c r="BR146" s="21">
        <f>EXP(-LN(2)/2)*BR145+(1-EXP(-LN(2)/2))/(LN(2)/2)*BL146*BO146*VLOOKUP('Données projet'!$B$11,Paramètres!$A$1:$I$89,3,0)*0.475*44/12</f>
        <v>1.9280897881855116E-11</v>
      </c>
      <c r="BS146" s="22">
        <f t="shared" si="117"/>
        <v>31.687563942709073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1.7053025658242404E-13</v>
      </c>
      <c r="BZ146" s="13">
        <f>BY146*VLOOKUP('Données projet'!$B$12,Paramètres!$A$1:$I$89,3,0)*VLOOKUP('Données projet'!$B$12,Paramètres!$A$1:$I$89,5,0)</f>
        <v>7.9808160080574461E-14</v>
      </c>
      <c r="CA146" s="13">
        <f t="shared" si="147"/>
        <v>1.2308384591775343E-12</v>
      </c>
      <c r="CB146" s="20">
        <f t="shared" si="118"/>
        <v>2.282709528541206E-12</v>
      </c>
      <c r="CC146" s="59">
        <f t="shared" si="119"/>
        <v>293.33333333333559</v>
      </c>
      <c r="CD146" s="59">
        <f ca="1">AVERAGE(OFFSET($CC$3,0,0,'Données projet'!$E$12+1,1))-AVERAGE(OFFSET($H$3,0,0,'Données projet'!$E$12+1,1))</f>
        <v>337.10499990421835</v>
      </c>
      <c r="CE146" s="59">
        <f t="shared" si="148"/>
        <v>277.4254079562175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114.68552195699722</v>
      </c>
      <c r="CL146" s="21">
        <f>EXP(-LN(2)/25)*CL145+(1-EXP(-LN(2)/25))/(LN(2)/25)*Calculateur!CG146*Calculateur!CI146*VLOOKUP('Données projet'!$B$12,Paramètres!$A$1:$I$89,3,0)*0.475*44/12</f>
        <v>32.201686314635673</v>
      </c>
      <c r="CM146" s="21">
        <f>EXP(-LN(2)/2)*CM145+(1-EXP(-LN(2)/2))/(LN(2)/2)*CG146*CJ146*VLOOKUP('Données projet'!$B$12,Paramètres!$A$1:$I$89,3,0)*0.475*44/12</f>
        <v>0.50638521366529399</v>
      </c>
      <c r="CN146" s="22">
        <f t="shared" si="120"/>
        <v>147.39359348529817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7.3375000000000012</v>
      </c>
      <c r="CT146" s="12">
        <f>IF('Données projet'!$A$140&gt;35,CT145+CS146-DB145,IF(A146&lt;'Données projet'!$A$140,$CQ$205^A146,IF(A146='Données projet'!$A$140,'Données projet'!$B$140,CT145+CS146-DB145)))</f>
        <v>372.58249999999981</v>
      </c>
      <c r="CU146" s="17">
        <f>CT146*VLOOKUP('Données projet'!$B$13,Paramètres!$A$1:$I$89,3,0)*VLOOKUP('Données projet'!$B$13,Paramètres!$A$1:$I$89,5,0)</f>
        <v>371.98636799999986</v>
      </c>
      <c r="CV146" s="13">
        <f t="shared" si="149"/>
        <v>86.073555686817727</v>
      </c>
      <c r="CW146" s="20">
        <f t="shared" si="121"/>
        <v>797.78770042120721</v>
      </c>
      <c r="CX146" s="59">
        <f t="shared" si="122"/>
        <v>1091.1210337545406</v>
      </c>
      <c r="CY146" s="59">
        <f ca="1">AVERAGE(OFFSET($CX$3,0,0,'Données projet'!$E$13+1,1))-AVERAGE(OFFSET($H$3,0,0,'Données projet'!$E$13+1,1))</f>
        <v>525.74725170626471</v>
      </c>
      <c r="CZ146" s="59">
        <f t="shared" si="150"/>
        <v>259.19103598192197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23.095802325756832</v>
      </c>
      <c r="DG146" s="21">
        <f>EXP(-LN(2)/25)*DG145+(1-EXP(-LN(2)/25))/(LN(2)/25)*Calculateur!DB146*Calculateur!DD146*VLOOKUP('Données projet'!$B$13,Paramètres!$A$1:$I$89,3,0)*0.475*44/12</f>
        <v>17.447835888764377</v>
      </c>
      <c r="DH146" s="21">
        <f>EXP(-LN(2)/2)*DH145+(1-EXP(-LN(2)/2))/(LN(2)/2)*DB146*DE146*VLOOKUP('Données projet'!$B$13,Paramètres!$A$1:$I$89,3,0)*0.475*44/12</f>
        <v>0.10447930682180161</v>
      </c>
      <c r="DI146" s="22">
        <f t="shared" si="123"/>
        <v>40.648117521343011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7.5999999999999988</v>
      </c>
      <c r="DO146" s="12">
        <f>IF('Données projet'!$A$166&gt;35,DO145+DN146-DW145,IF(A146&lt;'Données projet'!$A$166,$DL$205^A146,IF(A146='Données projet'!$A$166,'Données projet'!$B$166,DO145+DN146-DW145)))</f>
        <v>398.96000000000038</v>
      </c>
      <c r="DP146" s="17">
        <f>DO146*VLOOKUP('Données projet'!$B$14,Paramètres!$A$1:$I$89,3,0)*VLOOKUP('Données projet'!$B$14,Paramètres!$A$1:$I$89,5,0)</f>
        <v>360.97900800000036</v>
      </c>
      <c r="DQ146" s="13">
        <f t="shared" si="151"/>
        <v>83.819123165176237</v>
      </c>
      <c r="DR146" s="20">
        <f t="shared" si="124"/>
        <v>774.69007844601583</v>
      </c>
      <c r="DS146" s="59">
        <f t="shared" si="125"/>
        <v>1068.0234117793491</v>
      </c>
      <c r="DT146" s="59">
        <f ca="1">AVERAGE(OFFSET($DS$3,0,0,'Données projet'!$E$14+1,1))-AVERAGE(OFFSET($H$3,0,0,'Données projet'!$E$14+1,1))</f>
        <v>490.06222615476065</v>
      </c>
      <c r="DU146" s="59">
        <f t="shared" si="152"/>
        <v>310.43914804089906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43.48966865122118</v>
      </c>
      <c r="EB146" s="21">
        <f>EXP(-LN(2)/25)*EB145+(1-EXP(-LN(2)/25))/(LN(2)/25)*Calculateur!DW146*Calculateur!DY146*VLOOKUP('Données projet'!$B$14,Paramètres!$A$1:$I$89,3,0)*0.475*44/12</f>
        <v>18.57067118158621</v>
      </c>
      <c r="EC146" s="21">
        <f>EXP(-LN(2)/2)*EC145+(1-EXP(-LN(2)/2))/(LN(2)/2)*DW146*DZ146*VLOOKUP('Données projet'!$B$14,Paramètres!$A$1:$I$89,3,0)*0.475*44/12</f>
        <v>4.7385729099702844E-6</v>
      </c>
      <c r="ED146" s="22">
        <f t="shared" si="126"/>
        <v>62.060344571380298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7.3375000000000012</v>
      </c>
      <c r="EJ146" s="12">
        <f>IF('Données projet'!$A$192&gt;35,EJ145+EI146-ER145,IF(A146&lt;'Données projet'!$A$192,$EG$205^A146,IF(A146='Données projet'!$A$192,'Données projet'!$B$192,EJ145+EI146-ER145)))</f>
        <v>372.58249999999981</v>
      </c>
      <c r="EK146" s="17">
        <f>EJ146*VLOOKUP('Données projet'!$B$15,Paramètres!$A$1:$I$89,3,0)*VLOOKUP('Données projet'!$B$15,Paramètres!$A$1:$I$89,5,0)</f>
        <v>377.79865499999983</v>
      </c>
      <c r="EL146" s="13">
        <f t="shared" si="153"/>
        <v>87.260834288615982</v>
      </c>
      <c r="EM146" s="20">
        <f t="shared" si="127"/>
        <v>809.97861051100574</v>
      </c>
      <c r="EN146" s="59">
        <f t="shared" si="128"/>
        <v>1103.3119438443391</v>
      </c>
      <c r="EO146" s="59">
        <f ca="1">AVERAGE(OFFSET($EN$3,0,0,'Données projet'!$E$15+1,1))-AVERAGE(OFFSET($H$3,0,0,'Données projet'!$E$15+1,1))</f>
        <v>533.26035274112917</v>
      </c>
      <c r="EP146" s="59">
        <f t="shared" si="154"/>
        <v>262.58149402282521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23.456674237096774</v>
      </c>
      <c r="EW146" s="21">
        <f>EXP(-LN(2)/25)*EW145+(1-EXP(-LN(2)/25))/(LN(2)/25)*Calculateur!ER146*Calculateur!ET146*VLOOKUP('Données projet'!$B$15,Paramètres!$A$1:$I$89,3,0)*0.475*44/12</f>
        <v>17.720458324526319</v>
      </c>
      <c r="EX146" s="21">
        <f>EXP(-LN(2)/2)*EX145+(1-EXP(-LN(2)/2))/(LN(2)/2)*ER146*EU146*VLOOKUP('Données projet'!$B$15,Paramètres!$A$1:$I$89,3,0)*0.475*44/12</f>
        <v>0.10611179599089229</v>
      </c>
      <c r="EY146" s="22">
        <f t="shared" si="129"/>
        <v>41.283244357613988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239.26156489359892</v>
      </c>
      <c r="FK146" s="59">
        <f t="shared" si="156"/>
        <v>213.97034450798111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3.7856751210626296</v>
      </c>
      <c r="FR146" s="21">
        <f>EXP(-LN(2)/25)*FR145+(1-EXP(-LN(2)/25))/(LN(2)/25)*Calculateur!FM146*Calculateur!FO146*VLOOKUP('Données projet'!$B$16,Paramètres!$A$1:$I$89,3,0)*0.475*44/12</f>
        <v>14.691470994489325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18.477146115551953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2.5579538487363607E-13</v>
      </c>
      <c r="O147" s="13">
        <f>N147*VLOOKUP('Données projet'!$B$9,Paramètres!$A$1:$I$89,3,0)*VLOOKUP('Données projet'!$B$9,Paramètres!$A$1:$I$89,5,0)</f>
        <v>2.4341488824575211E-13</v>
      </c>
      <c r="P147" s="13">
        <f t="shared" si="141"/>
        <v>3.2970717324875541E-12</v>
      </c>
      <c r="Q147" s="20">
        <f t="shared" si="108"/>
        <v>6.1663475311105072E-12</v>
      </c>
      <c r="R147" s="59">
        <f t="shared" si="109"/>
        <v>293.33333333333945</v>
      </c>
      <c r="S147" s="59">
        <f ca="1">AVERAGE(OFFSET($R$3,0,0,'Données projet'!$E$9+1,1))-AVERAGE(OFFSET($H$3,0,0,'Données projet'!$E$9+1,1))</f>
        <v>449.28947235329758</v>
      </c>
      <c r="T147" s="59">
        <f t="shared" si="142"/>
        <v>289.36994109443964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90.040920238974635</v>
      </c>
      <c r="AA147" s="21">
        <f>EXP(-LN(2)/25)*AA146+(1-EXP(-LN(2)/25))/(LN(2)/25)*Calculateur!V147*Calculateur!X147*VLOOKUP('Données projet'!$B$9,Paramètres!$A$1:$I$89,3,0)*0.475*44/12</f>
        <v>16.793859581041698</v>
      </c>
      <c r="AB147" s="21">
        <f>EXP(-LN(2)/2)*AB146+(1-EXP(-LN(2)/2))/(LN(2)/2)*V147*Y147*VLOOKUP('Données projet'!$B$9,Paramètres!$A$1:$I$89,3,0)*0.475*44/12</f>
        <v>5.5948781045683689E-2</v>
      </c>
      <c r="AC147" s="22">
        <f t="shared" si="111"/>
        <v>106.89072860106202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-2.2737367544323206E-13</v>
      </c>
      <c r="AJ147" s="13">
        <f>AI147*VLOOKUP('Données projet'!$B$10,Paramètres!$A$1:$I$89,3,0)*VLOOKUP('Données projet'!$B$10,Paramètres!$A$1:$I$89,5,0)</f>
        <v>-1.3596945791505279E-13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349.71285006949597</v>
      </c>
      <c r="AO147" s="59">
        <f t="shared" si="144"/>
        <v>258.51550516456842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43.151424817683477</v>
      </c>
      <c r="AV147" s="21">
        <f>EXP(-LN(2)/25)*AV146+(1-EXP(-LN(2)/25))/(LN(2)/25)*Calculateur!AQ147*Calculateur!AS147*VLOOKUP('Données projet'!$B$10,Paramètres!$A$1:$I$89,3,0)*0.475*44/12</f>
        <v>8.7745800040130639</v>
      </c>
      <c r="AW147" s="21">
        <f>EXP(-LN(2)/2)*AW146+(1-EXP(-LN(2)/2))/(LN(2)/2)*AQ147*AT147*VLOOKUP('Données projet'!$B$10,Paramètres!$A$1:$I$89,3,0)*0.475*44/12</f>
        <v>1.6465001460446209E-8</v>
      </c>
      <c r="AX147" s="21">
        <f t="shared" si="114"/>
        <v>51.926004838161539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1.1368683772161603E-13</v>
      </c>
      <c r="BE147" s="13">
        <f>BD147*VLOOKUP('Données projet'!$B$11,Paramètres!$A$1:$I$89,3,0)*VLOOKUP('Données projet'!$B$11,Paramètres!$A$1:$I$89,5,0)</f>
        <v>6.7984728957526396E-14</v>
      </c>
      <c r="BF147" s="13">
        <f t="shared" si="145"/>
        <v>1.0682447123141398E-12</v>
      </c>
      <c r="BG147" s="20">
        <f t="shared" si="115"/>
        <v>1.978932943548152E-12</v>
      </c>
      <c r="BH147" s="59">
        <f t="shared" si="116"/>
        <v>293.3333333333353</v>
      </c>
      <c r="BI147" s="59">
        <f ca="1">AVERAGE(OFFSET($BH$3,0,0,'Données projet'!$E$11+1,1))-AVERAGE(OFFSET($H$3,0,0,'Données projet'!$E$11+1,1))</f>
        <v>302.00825291248458</v>
      </c>
      <c r="BJ147" s="59">
        <f t="shared" si="146"/>
        <v>307.35115839449355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26.310776120721137</v>
      </c>
      <c r="BQ147" s="21">
        <f>EXP(-LN(2)/25)*BQ146+(1-EXP(-LN(2)/25))/(LN(2)/25)*Calculateur!BL147*Calculateur!BN147*VLOOKUP('Données projet'!$B$11,Paramètres!$A$1:$I$89,3,0)*0.475*44/12</f>
        <v>4.7178919577511129</v>
      </c>
      <c r="BR147" s="21">
        <f>EXP(-LN(2)/2)*BR146+(1-EXP(-LN(2)/2))/(LN(2)/2)*BL147*BO147*VLOOKUP('Données projet'!$B$11,Paramètres!$A$1:$I$89,3,0)*0.475*44/12</f>
        <v>1.3633653639625093E-11</v>
      </c>
      <c r="BS147" s="22">
        <f t="shared" si="117"/>
        <v>31.028668078485886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1.7053025658242404E-13</v>
      </c>
      <c r="BZ147" s="13">
        <f>BY147*VLOOKUP('Données projet'!$B$12,Paramètres!$A$1:$I$89,3,0)*VLOOKUP('Données projet'!$B$12,Paramètres!$A$1:$I$89,5,0)</f>
        <v>7.9808160080574461E-14</v>
      </c>
      <c r="CA147" s="13">
        <f t="shared" si="147"/>
        <v>1.2308384591775343E-12</v>
      </c>
      <c r="CB147" s="20">
        <f t="shared" si="118"/>
        <v>2.282709528541206E-12</v>
      </c>
      <c r="CC147" s="59">
        <f t="shared" si="119"/>
        <v>293.33333333333559</v>
      </c>
      <c r="CD147" s="59">
        <f ca="1">AVERAGE(OFFSET($CC$3,0,0,'Données projet'!$E$12+1,1))-AVERAGE(OFFSET($H$3,0,0,'Données projet'!$E$12+1,1))</f>
        <v>337.10499990421835</v>
      </c>
      <c r="CE147" s="59">
        <f t="shared" si="148"/>
        <v>277.4254079562175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112.43660882268179</v>
      </c>
      <c r="CL147" s="21">
        <f>EXP(-LN(2)/25)*CL146+(1-EXP(-LN(2)/25))/(LN(2)/25)*Calculateur!CG147*Calculateur!CI147*VLOOKUP('Données projet'!$B$12,Paramètres!$A$1:$I$89,3,0)*0.475*44/12</f>
        <v>31.321129508948875</v>
      </c>
      <c r="CM147" s="21">
        <f>EXP(-LN(2)/2)*CM146+(1-EXP(-LN(2)/2))/(LN(2)/2)*CG147*CJ147*VLOOKUP('Données projet'!$B$12,Paramètres!$A$1:$I$89,3,0)*0.475*44/12</f>
        <v>0.35806841847532817</v>
      </c>
      <c r="CN147" s="22">
        <f t="shared" si="120"/>
        <v>144.115806750106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379.92</v>
      </c>
      <c r="CR147" s="12">
        <f>VLOOKUP(A147,'Données projet'!$A$139:$I$159,9,0)</f>
        <v>7.3375000000000012</v>
      </c>
      <c r="CS147" s="12">
        <f t="array" ref="CS147">INDEX(CR:CR,MIN(IF(ISNUMBER(CR147:CR343),ROW(CR147:CR343),"")))</f>
        <v>7.3375000000000012</v>
      </c>
      <c r="CT147" s="12">
        <f>IF('Données projet'!$A$140&gt;35,CT146+CS147-DB146,IF(A147&lt;'Données projet'!$A$140,$CQ$205^A147,IF(A147='Données projet'!$A$140,'Données projet'!$B$140,CT146+CS147-DB146)))</f>
        <v>379.91999999999979</v>
      </c>
      <c r="CU147" s="17">
        <f>CT147*VLOOKUP('Données projet'!$B$13,Paramètres!$A$1:$I$89,3,0)*VLOOKUP('Données projet'!$B$13,Paramètres!$A$1:$I$89,5,0)</f>
        <v>379.3121279999998</v>
      </c>
      <c r="CV147" s="13">
        <f t="shared" si="149"/>
        <v>87.569642059866069</v>
      </c>
      <c r="CW147" s="20">
        <f t="shared" si="121"/>
        <v>813.15241618759967</v>
      </c>
      <c r="CX147" s="59">
        <f t="shared" si="122"/>
        <v>1106.485749520933</v>
      </c>
      <c r="CY147" s="59">
        <f ca="1">AVERAGE(OFFSET($CX$3,0,0,'Données projet'!$E$13+1,1))-AVERAGE(OFFSET($H$3,0,0,'Données projet'!$E$13+1,1))</f>
        <v>525.74725170626471</v>
      </c>
      <c r="CZ147" s="59">
        <f t="shared" si="150"/>
        <v>259.19103598192197</v>
      </c>
      <c r="DA147" s="15">
        <f>IF(ISNA(VLOOKUP(A147,'Données projet'!$A$139:$I$159,3,0)),0,VLOOKUP(A147,'Données projet'!$A$139:$I$159,3,0))</f>
        <v>10</v>
      </c>
      <c r="DB147" s="15">
        <f>IF(ISNA(VLOOKUP(A147,'Données projet'!$A$139:$I$159,4,0)),0,VLOOKUP(A147,'Données projet'!$A$139:$I$159,4,0))</f>
        <v>60.949999999999989</v>
      </c>
      <c r="DC147" s="16">
        <f>IF(ISNA(VLOOKUP(A147,'Données projet'!$A$139:$I$159,5,0)),0%,VLOOKUP(A147,'Données projet'!$A$139:$I$159,5,0)*VLOOKUP('Données projet'!$B$13,Paramètres!$A$1:$I$89,7,0))</f>
        <v>0.15049999999999999</v>
      </c>
      <c r="DD147" s="16">
        <f>IF(ISNA(VLOOKUP(A147,'Données projet'!$A$139:$I$159,6,0)),0%,VLOOKUP(A147,'Données projet'!$A$139:$I$159,6,0)*VLOOKUP('Données projet'!$B$13,Paramètres!$A$1:$I$89,7,0))</f>
        <v>8.6000000000000007E-2</v>
      </c>
      <c r="DE147" s="16">
        <f>IF(ISNA(VLOOKUP(A147,'Données projet'!$A$139:$I$159,7,0)),0%,VLOOKUP(A147,'Données projet'!$A$139:$I$159,7,0))</f>
        <v>0.1</v>
      </c>
      <c r="DF147" s="21">
        <f>EXP(-LN(2)/35)*DF146+(1-EXP(-LN(2)/35))/(LN(2)/35)*DB147*DC147*VLOOKUP('Données projet'!$B$13,Paramètres!$A$1:$I$89,3,0)*0.475*44/12</f>
        <v>32.767135160445925</v>
      </c>
      <c r="DG147" s="21">
        <f>EXP(-LN(2)/25)*DG146+(1-EXP(-LN(2)/25))/(LN(2)/25)*Calculateur!DB147*Calculateur!DD147*VLOOKUP('Données projet'!$B$13,Paramètres!$A$1:$I$89,3,0)*0.475*44/12</f>
        <v>22.73321789325507</v>
      </c>
      <c r="DH147" s="21">
        <f>EXP(-LN(2)/2)*DH146+(1-EXP(-LN(2)/2))/(LN(2)/2)*DB147*DE147*VLOOKUP('Données projet'!$B$13,Paramètres!$A$1:$I$89,3,0)*0.475*44/12</f>
        <v>5.8154732963959743</v>
      </c>
      <c r="DI147" s="22">
        <f t="shared" si="123"/>
        <v>61.315826350096962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7.5999999999999988</v>
      </c>
      <c r="DO147" s="12">
        <f>IF('Données projet'!$A$166&gt;35,DO146+DN147-DW146,IF(A147&lt;'Données projet'!$A$166,$DL$205^A147,IF(A147='Données projet'!$A$166,'Données projet'!$B$166,DO146+DN147-DW146)))</f>
        <v>406.5600000000004</v>
      </c>
      <c r="DP147" s="17">
        <f>DO147*VLOOKUP('Données projet'!$B$14,Paramètres!$A$1:$I$89,3,0)*VLOOKUP('Données projet'!$B$14,Paramètres!$A$1:$I$89,5,0)</f>
        <v>367.85548800000038</v>
      </c>
      <c r="DQ147" s="13">
        <f t="shared" si="151"/>
        <v>85.228427146498575</v>
      </c>
      <c r="DR147" s="20">
        <f t="shared" si="124"/>
        <v>789.12115221348574</v>
      </c>
      <c r="DS147" s="59">
        <f t="shared" si="125"/>
        <v>1082.4544855468191</v>
      </c>
      <c r="DT147" s="59">
        <f ca="1">AVERAGE(OFFSET($DS$3,0,0,'Données projet'!$E$14+1,1))-AVERAGE(OFFSET($H$3,0,0,'Données projet'!$E$14+1,1))</f>
        <v>490.06222615476065</v>
      </c>
      <c r="DU147" s="59">
        <f t="shared" si="152"/>
        <v>310.43914804089906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42.63686277504938</v>
      </c>
      <c r="EB147" s="21">
        <f>EXP(-LN(2)/25)*EB146+(1-EXP(-LN(2)/25))/(LN(2)/25)*Calculateur!DW147*Calculateur!DY147*VLOOKUP('Données projet'!$B$14,Paramètres!$A$1:$I$89,3,0)*0.475*44/12</f>
        <v>18.062855201536582</v>
      </c>
      <c r="EC147" s="21">
        <f>EXP(-LN(2)/2)*EC146+(1-EXP(-LN(2)/2))/(LN(2)/2)*DW147*DZ147*VLOOKUP('Données projet'!$B$14,Paramètres!$A$1:$I$89,3,0)*0.475*44/12</f>
        <v>3.3506770377868597E-6</v>
      </c>
      <c r="ED147" s="22">
        <f t="shared" si="126"/>
        <v>60.699721327262999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>
        <f>VLOOKUP(A147,'Données projet'!$A$191:$I$211,2,0)</f>
        <v>379.92</v>
      </c>
      <c r="EH147" s="12">
        <f>VLOOKUP(A147,'Données projet'!$A$191:$I$211,9,0)</f>
        <v>7.3375000000000012</v>
      </c>
      <c r="EI147" s="12">
        <f t="array" ref="EI147">INDEX(EH:EH,MIN(IF(ISNUMBER(EH147:EH343),ROW(EH147:EH343),"")))</f>
        <v>7.3375000000000012</v>
      </c>
      <c r="EJ147" s="12">
        <f>IF('Données projet'!$A$192&gt;35,EJ146+EI147-ER146,IF(A147&lt;'Données projet'!$A$192,$EG$205^A147,IF(A147='Données projet'!$A$192,'Données projet'!$B$192,EJ146+EI147-ER146)))</f>
        <v>379.91999999999979</v>
      </c>
      <c r="EK147" s="17">
        <f>EJ147*VLOOKUP('Données projet'!$B$15,Paramètres!$A$1:$I$89,3,0)*VLOOKUP('Données projet'!$B$15,Paramètres!$A$1:$I$89,5,0)</f>
        <v>385.23887999999982</v>
      </c>
      <c r="EL147" s="13">
        <f t="shared" si="153"/>
        <v>88.777557329023793</v>
      </c>
      <c r="EM147" s="20">
        <f t="shared" si="127"/>
        <v>825.57862834804939</v>
      </c>
      <c r="EN147" s="59">
        <f t="shared" si="128"/>
        <v>1118.9119616813828</v>
      </c>
      <c r="EO147" s="59">
        <f ca="1">AVERAGE(OFFSET($EN$3,0,0,'Données projet'!$E$15+1,1))-AVERAGE(OFFSET($H$3,0,0,'Données projet'!$E$15+1,1))</f>
        <v>533.26035274112917</v>
      </c>
      <c r="EP147" s="59">
        <f t="shared" si="154"/>
        <v>262.58149402282521</v>
      </c>
      <c r="EQ147" s="15">
        <f>IF(ISNA(VLOOKUP(A147,'Données projet'!$A$191:$I$211,3,0)),0,VLOOKUP(A147,'Données projet'!$A$191:$I$211,3,0))</f>
        <v>10</v>
      </c>
      <c r="ER147" s="15">
        <f>IF(ISNA(VLOOKUP(A147,'Données projet'!$A$191:$I$211,4,0)),0,VLOOKUP(A147,'Données projet'!$A$191:$I$211,4,0))</f>
        <v>60.949999999999989</v>
      </c>
      <c r="ES147" s="16">
        <f>IF(ISNA(VLOOKUP(A147,'Données projet'!$A$191:$I$211,5,0)),0%,VLOOKUP(A147,'Données projet'!$A$191:$I$211,5,0)*VLOOKUP('Données projet'!$B$15,Paramètres!$A$1:$I$89,7,0))</f>
        <v>0.15049999999999999</v>
      </c>
      <c r="ET147" s="16">
        <f>IF(ISNA(VLOOKUP(A147,'Données projet'!$A$191:$I$211,6,0)),0%,VLOOKUP(A147,'Données projet'!$A$191:$I$211,6,0)*VLOOKUP('Données projet'!$B$15,Paramètres!$A$1:$I$89,7,0))</f>
        <v>8.6000000000000007E-2</v>
      </c>
      <c r="EU147" s="16">
        <f>IF(ISNA(VLOOKUP(A147,'Données projet'!$A$191:$I$211,7,0)),0%,VLOOKUP(A147,'Données projet'!$A$191:$I$211,7,0))</f>
        <v>0.1</v>
      </c>
      <c r="EV147" s="21">
        <f>EXP(-LN(2)/35)*EV146+(1-EXP(-LN(2)/35))/(LN(2)/35)*ER147*ES147*VLOOKUP('Données projet'!$B$15,Paramètres!$A$1:$I$89,3,0)*0.475*44/12</f>
        <v>33.279121647327884</v>
      </c>
      <c r="EW147" s="21">
        <f>EXP(-LN(2)/25)*EW146+(1-EXP(-LN(2)/25))/(LN(2)/25)*Calculateur!ER147*Calculateur!ET147*VLOOKUP('Données projet'!$B$15,Paramètres!$A$1:$I$89,3,0)*0.475*44/12</f>
        <v>23.088424422837178</v>
      </c>
      <c r="EX147" s="21">
        <f>EXP(-LN(2)/2)*EX146+(1-EXP(-LN(2)/2))/(LN(2)/2)*ER147*EU147*VLOOKUP('Données projet'!$B$15,Paramètres!$A$1:$I$89,3,0)*0.475*44/12</f>
        <v>5.9063400666521613</v>
      </c>
      <c r="EY147" s="22">
        <f t="shared" si="129"/>
        <v>62.273886136817225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239.26156489359892</v>
      </c>
      <c r="FK147" s="59">
        <f t="shared" si="156"/>
        <v>213.97034450798111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3.711440340972417</v>
      </c>
      <c r="FR147" s="21">
        <f>EXP(-LN(2)/25)*FR146+(1-EXP(-LN(2)/25))/(LN(2)/25)*Calculateur!FM147*Calculateur!FO147*VLOOKUP('Données projet'!$B$16,Paramètres!$A$1:$I$89,3,0)*0.475*44/12</f>
        <v>14.289731947554133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18.001172288526551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2.5579538487363607E-13</v>
      </c>
      <c r="O148" s="13">
        <f>N148*VLOOKUP('Données projet'!$B$9,Paramètres!$A$1:$I$89,3,0)*VLOOKUP('Données projet'!$B$9,Paramètres!$A$1:$I$89,5,0)</f>
        <v>2.4341488824575211E-13</v>
      </c>
      <c r="P148" s="13">
        <f t="shared" si="141"/>
        <v>3.2970717324875541E-12</v>
      </c>
      <c r="Q148" s="20">
        <f t="shared" si="108"/>
        <v>6.1663475311105072E-12</v>
      </c>
      <c r="R148" s="59">
        <f t="shared" si="109"/>
        <v>293.33333333333945</v>
      </c>
      <c r="S148" s="59">
        <f ca="1">AVERAGE(OFFSET($R$3,0,0,'Données projet'!$E$9+1,1))-AVERAGE(OFFSET($H$3,0,0,'Données projet'!$E$9+1,1))</f>
        <v>449.28947235329758</v>
      </c>
      <c r="T148" s="59">
        <f t="shared" si="142"/>
        <v>289.36994109443964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88.27527271262683</v>
      </c>
      <c r="AA148" s="21">
        <f>EXP(-LN(2)/25)*AA147+(1-EXP(-LN(2)/25))/(LN(2)/25)*Calculateur!V148*Calculateur!X148*VLOOKUP('Données projet'!$B$9,Paramètres!$A$1:$I$89,3,0)*0.475*44/12</f>
        <v>16.334630607647419</v>
      </c>
      <c r="AB148" s="21">
        <f>EXP(-LN(2)/2)*AB147+(1-EXP(-LN(2)/2))/(LN(2)/2)*V148*Y148*VLOOKUP('Données projet'!$B$9,Paramètres!$A$1:$I$89,3,0)*0.475*44/12</f>
        <v>3.9561762476524313E-2</v>
      </c>
      <c r="AC148" s="22">
        <f t="shared" si="111"/>
        <v>104.64946508275077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-2.2737367544323206E-13</v>
      </c>
      <c r="AJ148" s="13">
        <f>AI148*VLOOKUP('Données projet'!$B$10,Paramètres!$A$1:$I$89,3,0)*VLOOKUP('Données projet'!$B$10,Paramètres!$A$1:$I$89,5,0)</f>
        <v>-1.3596945791505279E-13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349.71285006949597</v>
      </c>
      <c r="AO148" s="59">
        <f t="shared" si="144"/>
        <v>258.51550516456842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42.305251696778981</v>
      </c>
      <c r="AV148" s="21">
        <f>EXP(-LN(2)/25)*AV147+(1-EXP(-LN(2)/25))/(LN(2)/25)*Calculateur!AQ148*Calculateur!AS148*VLOOKUP('Données projet'!$B$10,Paramètres!$A$1:$I$89,3,0)*0.475*44/12</f>
        <v>8.5346386523682192</v>
      </c>
      <c r="AW148" s="21">
        <f>EXP(-LN(2)/2)*AW147+(1-EXP(-LN(2)/2))/(LN(2)/2)*AQ148*AT148*VLOOKUP('Données projet'!$B$10,Paramètres!$A$1:$I$89,3,0)*0.475*44/12</f>
        <v>1.1642514184927923E-8</v>
      </c>
      <c r="AX148" s="21">
        <f t="shared" si="114"/>
        <v>50.83989036078971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1.1368683772161603E-13</v>
      </c>
      <c r="BE148" s="13">
        <f>BD148*VLOOKUP('Données projet'!$B$11,Paramètres!$A$1:$I$89,3,0)*VLOOKUP('Données projet'!$B$11,Paramètres!$A$1:$I$89,5,0)</f>
        <v>6.7984728957526396E-14</v>
      </c>
      <c r="BF148" s="13">
        <f t="shared" si="145"/>
        <v>1.0682447123141398E-12</v>
      </c>
      <c r="BG148" s="20">
        <f t="shared" si="115"/>
        <v>1.978932943548152E-12</v>
      </c>
      <c r="BH148" s="59">
        <f t="shared" si="116"/>
        <v>293.3333333333353</v>
      </c>
      <c r="BI148" s="59">
        <f ca="1">AVERAGE(OFFSET($BH$3,0,0,'Données projet'!$E$11+1,1))-AVERAGE(OFFSET($H$3,0,0,'Données projet'!$E$11+1,1))</f>
        <v>302.00825291248458</v>
      </c>
      <c r="BJ148" s="59">
        <f t="shared" si="146"/>
        <v>307.35115839449355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25.79483784898262</v>
      </c>
      <c r="BQ148" s="21">
        <f>EXP(-LN(2)/25)*BQ147+(1-EXP(-LN(2)/25))/(LN(2)/25)*Calculateur!BL148*Calculateur!BN148*VLOOKUP('Données projet'!$B$11,Paramètres!$A$1:$I$89,3,0)*0.475*44/12</f>
        <v>4.5888809540632538</v>
      </c>
      <c r="BR148" s="21">
        <f>EXP(-LN(2)/2)*BR147+(1-EXP(-LN(2)/2))/(LN(2)/2)*BL148*BO148*VLOOKUP('Données projet'!$B$11,Paramètres!$A$1:$I$89,3,0)*0.475*44/12</f>
        <v>9.6404489409275581E-12</v>
      </c>
      <c r="BS148" s="22">
        <f t="shared" si="117"/>
        <v>30.383718803055515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1.7053025658242404E-13</v>
      </c>
      <c r="BZ148" s="13">
        <f>BY148*VLOOKUP('Données projet'!$B$12,Paramètres!$A$1:$I$89,3,0)*VLOOKUP('Données projet'!$B$12,Paramètres!$A$1:$I$89,5,0)</f>
        <v>7.9808160080574461E-14</v>
      </c>
      <c r="CA148" s="13">
        <f t="shared" si="147"/>
        <v>1.2308384591775343E-12</v>
      </c>
      <c r="CB148" s="20">
        <f t="shared" si="118"/>
        <v>2.282709528541206E-12</v>
      </c>
      <c r="CC148" s="59">
        <f t="shared" si="119"/>
        <v>293.33333333333559</v>
      </c>
      <c r="CD148" s="59">
        <f ca="1">AVERAGE(OFFSET($CC$3,0,0,'Données projet'!$E$12+1,1))-AVERAGE(OFFSET($H$3,0,0,'Données projet'!$E$12+1,1))</f>
        <v>337.10499990421835</v>
      </c>
      <c r="CE148" s="59">
        <f t="shared" si="148"/>
        <v>277.4254079562175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110.23179550322871</v>
      </c>
      <c r="CL148" s="21">
        <f>EXP(-LN(2)/25)*CL147+(1-EXP(-LN(2)/25))/(LN(2)/25)*Calculateur!CG148*Calculateur!CI148*VLOOKUP('Données projet'!$B$12,Paramètres!$A$1:$I$89,3,0)*0.475*44/12</f>
        <v>30.464651575420053</v>
      </c>
      <c r="CM148" s="21">
        <f>EXP(-LN(2)/2)*CM147+(1-EXP(-LN(2)/2))/(LN(2)/2)*CG148*CJ148*VLOOKUP('Données projet'!$B$12,Paramètres!$A$1:$I$89,3,0)*0.475*44/12</f>
        <v>0.25319260683264699</v>
      </c>
      <c r="CN148" s="22">
        <f t="shared" si="120"/>
        <v>140.9496396854814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7.5191666666666634</v>
      </c>
      <c r="CT148" s="12">
        <f>IF('Données projet'!$A$140&gt;35,CT147+CS148-DB147,IF(A148&lt;'Données projet'!$A$140,$CQ$205^A148,IF(A148='Données projet'!$A$140,'Données projet'!$B$140,CT147+CS148-DB147)))</f>
        <v>326.48916666666645</v>
      </c>
      <c r="CU148" s="17">
        <f>CT148*VLOOKUP('Données projet'!$B$13,Paramètres!$A$1:$I$89,3,0)*VLOOKUP('Données projet'!$B$13,Paramètres!$A$1:$I$89,5,0)</f>
        <v>325.96678399999979</v>
      </c>
      <c r="CV148" s="13">
        <f t="shared" si="149"/>
        <v>76.593521079687577</v>
      </c>
      <c r="CW148" s="20">
        <f t="shared" si="121"/>
        <v>701.12586468045549</v>
      </c>
      <c r="CX148" s="59">
        <f t="shared" si="122"/>
        <v>994.45919801378886</v>
      </c>
      <c r="CY148" s="59">
        <f ca="1">AVERAGE(OFFSET($CX$3,0,0,'Données projet'!$E$13+1,1))-AVERAGE(OFFSET($H$3,0,0,'Données projet'!$E$13+1,1))</f>
        <v>525.74725170626471</v>
      </c>
      <c r="CZ148" s="59">
        <f t="shared" si="150"/>
        <v>259.19103598192197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32.124591625928574</v>
      </c>
      <c r="DG148" s="21">
        <f>EXP(-LN(2)/25)*DG147+(1-EXP(-LN(2)/25))/(LN(2)/25)*Calculateur!DB148*Calculateur!DD148*VLOOKUP('Données projet'!$B$13,Paramètres!$A$1:$I$89,3,0)*0.475*44/12</f>
        <v>22.111576854476038</v>
      </c>
      <c r="DH148" s="21">
        <f>EXP(-LN(2)/2)*DH147+(1-EXP(-LN(2)/2))/(LN(2)/2)*DB148*DE148*VLOOKUP('Données projet'!$B$13,Paramètres!$A$1:$I$89,3,0)*0.475*44/12</f>
        <v>4.1121606036908789</v>
      </c>
      <c r="DI148" s="22">
        <f t="shared" si="123"/>
        <v>58.348329084095496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7.5999999999999988</v>
      </c>
      <c r="DO148" s="12">
        <f>IF('Données projet'!$A$166&gt;35,DO147+DN148-DW147,IF(A148&lt;'Données projet'!$A$166,$DL$205^A148,IF(A148='Données projet'!$A$166,'Données projet'!$B$166,DO147+DN148-DW147)))</f>
        <v>414.16000000000042</v>
      </c>
      <c r="DP148" s="17">
        <f>DO148*VLOOKUP('Données projet'!$B$14,Paramètres!$A$1:$I$89,3,0)*VLOOKUP('Données projet'!$B$14,Paramètres!$A$1:$I$89,5,0)</f>
        <v>374.73196800000034</v>
      </c>
      <c r="DQ148" s="13">
        <f t="shared" si="151"/>
        <v>86.634667747380036</v>
      </c>
      <c r="DR148" s="20">
        <f t="shared" si="124"/>
        <v>803.54689059335408</v>
      </c>
      <c r="DS148" s="59">
        <f t="shared" si="125"/>
        <v>1096.8802239266874</v>
      </c>
      <c r="DT148" s="59">
        <f ca="1">AVERAGE(OFFSET($DS$3,0,0,'Données projet'!$E$14+1,1))-AVERAGE(OFFSET($H$3,0,0,'Données projet'!$E$14+1,1))</f>
        <v>490.06222615476065</v>
      </c>
      <c r="DU148" s="59">
        <f t="shared" si="152"/>
        <v>310.43914804089906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41.800779901949085</v>
      </c>
      <c r="EB148" s="21">
        <f>EXP(-LN(2)/25)*EB147+(1-EXP(-LN(2)/25))/(LN(2)/25)*Calculateur!DW148*Calculateur!DY148*VLOOKUP('Données projet'!$B$14,Paramètres!$A$1:$I$89,3,0)*0.475*44/12</f>
        <v>17.568925476166292</v>
      </c>
      <c r="EC148" s="21">
        <f>EXP(-LN(2)/2)*EC147+(1-EXP(-LN(2)/2))/(LN(2)/2)*DW148*DZ148*VLOOKUP('Données projet'!$B$14,Paramètres!$A$1:$I$89,3,0)*0.475*44/12</f>
        <v>2.3692864549851422E-6</v>
      </c>
      <c r="ED148" s="22">
        <f t="shared" si="126"/>
        <v>59.369707747401833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7.5191666666666634</v>
      </c>
      <c r="EJ148" s="12">
        <f>IF('Données projet'!$A$192&gt;35,EJ147+EI148-ER147,IF(A148&lt;'Données projet'!$A$192,$EG$205^A148,IF(A148='Données projet'!$A$192,'Données projet'!$B$192,EJ147+EI148-ER147)))</f>
        <v>326.48916666666645</v>
      </c>
      <c r="EK148" s="17">
        <f>EJ148*VLOOKUP('Données projet'!$B$15,Paramètres!$A$1:$I$89,3,0)*VLOOKUP('Données projet'!$B$15,Paramètres!$A$1:$I$89,5,0)</f>
        <v>331.06001499999979</v>
      </c>
      <c r="EL148" s="13">
        <f t="shared" si="153"/>
        <v>77.650034289681813</v>
      </c>
      <c r="EM148" s="20">
        <f t="shared" si="127"/>
        <v>711.83666917952871</v>
      </c>
      <c r="EN148" s="59">
        <f t="shared" si="128"/>
        <v>1005.1700025128621</v>
      </c>
      <c r="EO148" s="59">
        <f ca="1">AVERAGE(OFFSET($EN$3,0,0,'Données projet'!$E$15+1,1))-AVERAGE(OFFSET($H$3,0,0,'Données projet'!$E$15+1,1))</f>
        <v>533.26035274112917</v>
      </c>
      <c r="EP148" s="59">
        <f t="shared" si="154"/>
        <v>262.58149402282521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32.626538370083701</v>
      </c>
      <c r="EW148" s="21">
        <f>EXP(-LN(2)/25)*EW147+(1-EXP(-LN(2)/25))/(LN(2)/25)*Calculateur!ER148*Calculateur!ET148*VLOOKUP('Données projet'!$B$15,Paramètres!$A$1:$I$89,3,0)*0.475*44/12</f>
        <v>22.457070242827225</v>
      </c>
      <c r="EX148" s="21">
        <f>EXP(-LN(2)/2)*EX147+(1-EXP(-LN(2)/2))/(LN(2)/2)*ER148*EU148*VLOOKUP('Données projet'!$B$15,Paramètres!$A$1:$I$89,3,0)*0.475*44/12</f>
        <v>4.1764131131235489</v>
      </c>
      <c r="EY148" s="22">
        <f t="shared" si="129"/>
        <v>59.260021726034473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239.26156489359892</v>
      </c>
      <c r="FK148" s="59">
        <f t="shared" si="156"/>
        <v>213.97034450798111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3.6386612596410286</v>
      </c>
      <c r="FR148" s="21">
        <f>EXP(-LN(2)/25)*FR147+(1-EXP(-LN(2)/25))/(LN(2)/25)*Calculateur!FM148*Calculateur!FO148*VLOOKUP('Données projet'!$B$16,Paramètres!$A$1:$I$89,3,0)*0.475*44/12</f>
        <v>13.898978475983922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17.53763973562495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2.5579538487363607E-13</v>
      </c>
      <c r="O149" s="13">
        <f>N149*VLOOKUP('Données projet'!$B$9,Paramètres!$A$1:$I$89,3,0)*VLOOKUP('Données projet'!$B$9,Paramètres!$A$1:$I$89,5,0)</f>
        <v>2.4341488824575211E-13</v>
      </c>
      <c r="P149" s="13">
        <f t="shared" si="141"/>
        <v>3.2970717324875541E-12</v>
      </c>
      <c r="Q149" s="20">
        <f t="shared" si="108"/>
        <v>6.1663475311105072E-12</v>
      </c>
      <c r="R149" s="59">
        <f t="shared" si="109"/>
        <v>293.33333333333945</v>
      </c>
      <c r="S149" s="59">
        <f ca="1">AVERAGE(OFFSET($R$3,0,0,'Données projet'!$E$9+1,1))-AVERAGE(OFFSET($H$3,0,0,'Données projet'!$E$9+1,1))</f>
        <v>449.28947235329758</v>
      </c>
      <c r="T149" s="59">
        <f t="shared" si="142"/>
        <v>289.36994109443964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86.54424845733206</v>
      </c>
      <c r="AA149" s="21">
        <f>EXP(-LN(2)/25)*AA148+(1-EXP(-LN(2)/25))/(LN(2)/25)*Calculateur!V149*Calculateur!X149*VLOOKUP('Données projet'!$B$9,Paramètres!$A$1:$I$89,3,0)*0.475*44/12</f>
        <v>15.88795927468041</v>
      </c>
      <c r="AB149" s="21">
        <f>EXP(-LN(2)/2)*AB148+(1-EXP(-LN(2)/2))/(LN(2)/2)*V149*Y149*VLOOKUP('Données projet'!$B$9,Paramètres!$A$1:$I$89,3,0)*0.475*44/12</f>
        <v>2.7974390522841844E-2</v>
      </c>
      <c r="AC149" s="22">
        <f t="shared" si="111"/>
        <v>102.46018212253531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-2.2737367544323206E-13</v>
      </c>
      <c r="AJ149" s="13">
        <f>AI149*VLOOKUP('Données projet'!$B$10,Paramètres!$A$1:$I$89,3,0)*VLOOKUP('Données projet'!$B$10,Paramètres!$A$1:$I$89,5,0)</f>
        <v>-1.3596945791505279E-13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349.71285006949597</v>
      </c>
      <c r="AO149" s="59">
        <f t="shared" si="144"/>
        <v>258.51550516456842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41.475671514660782</v>
      </c>
      <c r="AV149" s="21">
        <f>EXP(-LN(2)/25)*AV148+(1-EXP(-LN(2)/25))/(LN(2)/25)*Calculateur!AQ149*Calculateur!AS149*VLOOKUP('Données projet'!$B$10,Paramètres!$A$1:$I$89,3,0)*0.475*44/12</f>
        <v>8.3012585096020697</v>
      </c>
      <c r="AW149" s="21">
        <f>EXP(-LN(2)/2)*AW148+(1-EXP(-LN(2)/2))/(LN(2)/2)*AQ149*AT149*VLOOKUP('Données projet'!$B$10,Paramètres!$A$1:$I$89,3,0)*0.475*44/12</f>
        <v>8.2325007302231047E-9</v>
      </c>
      <c r="AX149" s="21">
        <f t="shared" si="114"/>
        <v>49.776930032495351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1.1368683772161603E-13</v>
      </c>
      <c r="BE149" s="13">
        <f>BD149*VLOOKUP('Données projet'!$B$11,Paramètres!$A$1:$I$89,3,0)*VLOOKUP('Données projet'!$B$11,Paramètres!$A$1:$I$89,5,0)</f>
        <v>6.7984728957526396E-14</v>
      </c>
      <c r="BF149" s="13">
        <f t="shared" si="145"/>
        <v>1.0682447123141398E-12</v>
      </c>
      <c r="BG149" s="20">
        <f t="shared" si="115"/>
        <v>1.978932943548152E-12</v>
      </c>
      <c r="BH149" s="59">
        <f t="shared" si="116"/>
        <v>293.3333333333353</v>
      </c>
      <c r="BI149" s="59">
        <f ca="1">AVERAGE(OFFSET($BH$3,0,0,'Données projet'!$E$11+1,1))-AVERAGE(OFFSET($H$3,0,0,'Données projet'!$E$11+1,1))</f>
        <v>302.00825291248458</v>
      </c>
      <c r="BJ149" s="59">
        <f t="shared" si="146"/>
        <v>307.35115839449355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25.289016812061625</v>
      </c>
      <c r="BQ149" s="21">
        <f>EXP(-LN(2)/25)*BQ148+(1-EXP(-LN(2)/25))/(LN(2)/25)*Calculateur!BL149*Calculateur!BN149*VLOOKUP('Données projet'!$B$11,Paramètres!$A$1:$I$89,3,0)*0.475*44/12</f>
        <v>4.4633977630556325</v>
      </c>
      <c r="BR149" s="21">
        <f>EXP(-LN(2)/2)*BR148+(1-EXP(-LN(2)/2))/(LN(2)/2)*BL149*BO149*VLOOKUP('Données projet'!$B$11,Paramètres!$A$1:$I$89,3,0)*0.475*44/12</f>
        <v>6.8168268198125467E-12</v>
      </c>
      <c r="BS149" s="22">
        <f t="shared" si="117"/>
        <v>29.752414575124075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1.7053025658242404E-13</v>
      </c>
      <c r="BZ149" s="13">
        <f>BY149*VLOOKUP('Données projet'!$B$12,Paramètres!$A$1:$I$89,3,0)*VLOOKUP('Données projet'!$B$12,Paramètres!$A$1:$I$89,5,0)</f>
        <v>7.9808160080574461E-14</v>
      </c>
      <c r="CA149" s="13">
        <f t="shared" si="147"/>
        <v>1.2308384591775343E-12</v>
      </c>
      <c r="CB149" s="20">
        <f t="shared" si="118"/>
        <v>2.282709528541206E-12</v>
      </c>
      <c r="CC149" s="59">
        <f t="shared" si="119"/>
        <v>293.33333333333559</v>
      </c>
      <c r="CD149" s="59">
        <f ca="1">AVERAGE(OFFSET($CC$3,0,0,'Données projet'!$E$12+1,1))-AVERAGE(OFFSET($H$3,0,0,'Données projet'!$E$12+1,1))</f>
        <v>337.10499990421835</v>
      </c>
      <c r="CE149" s="59">
        <f t="shared" si="148"/>
        <v>277.4254079562175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108.07021722816677</v>
      </c>
      <c r="CL149" s="21">
        <f>EXP(-LN(2)/25)*CL148+(1-EXP(-LN(2)/25))/(LN(2)/25)*Calculateur!CG149*Calculateur!CI149*VLOOKUP('Données projet'!$B$12,Paramètres!$A$1:$I$89,3,0)*0.475*44/12</f>
        <v>29.631594076023791</v>
      </c>
      <c r="CM149" s="21">
        <f>EXP(-LN(2)/2)*CM148+(1-EXP(-LN(2)/2))/(LN(2)/2)*CG149*CJ149*VLOOKUP('Données projet'!$B$12,Paramètres!$A$1:$I$89,3,0)*0.475*44/12</f>
        <v>0.17903420923766408</v>
      </c>
      <c r="CN149" s="22">
        <f t="shared" si="120"/>
        <v>137.88084551342823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7.5191666666666634</v>
      </c>
      <c r="CT149" s="12">
        <f>IF('Données projet'!$A$140&gt;35,CT148+CS149-DB148,IF(A149&lt;'Données projet'!$A$140,$CQ$205^A149,IF(A149='Données projet'!$A$140,'Données projet'!$B$140,CT148+CS149-DB148)))</f>
        <v>334.0083333333331</v>
      </c>
      <c r="CU149" s="17">
        <f>CT149*VLOOKUP('Données projet'!$B$13,Paramètres!$A$1:$I$89,3,0)*VLOOKUP('Données projet'!$B$13,Paramètres!$A$1:$I$89,5,0)</f>
        <v>333.47391999999979</v>
      </c>
      <c r="CV149" s="13">
        <f t="shared" si="149"/>
        <v>78.150099871389941</v>
      </c>
      <c r="CW149" s="20">
        <f t="shared" si="121"/>
        <v>716.91183460933723</v>
      </c>
      <c r="CX149" s="59">
        <f t="shared" si="122"/>
        <v>1010.2451679426706</v>
      </c>
      <c r="CY149" s="59">
        <f ca="1">AVERAGE(OFFSET($CX$3,0,0,'Données projet'!$E$13+1,1))-AVERAGE(OFFSET($H$3,0,0,'Données projet'!$E$13+1,1))</f>
        <v>525.74725170626471</v>
      </c>
      <c r="CZ149" s="59">
        <f t="shared" si="150"/>
        <v>259.19103598192197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31.494647978210253</v>
      </c>
      <c r="DG149" s="21">
        <f>EXP(-LN(2)/25)*DG148+(1-EXP(-LN(2)/25))/(LN(2)/25)*Calculateur!DB149*Calculateur!DD149*VLOOKUP('Données projet'!$B$13,Paramètres!$A$1:$I$89,3,0)*0.475*44/12</f>
        <v>21.5069346225931</v>
      </c>
      <c r="DH149" s="21">
        <f>EXP(-LN(2)/2)*DH148+(1-EXP(-LN(2)/2))/(LN(2)/2)*DB149*DE149*VLOOKUP('Données projet'!$B$13,Paramètres!$A$1:$I$89,3,0)*0.475*44/12</f>
        <v>2.9077366481979876</v>
      </c>
      <c r="DI149" s="22">
        <f t="shared" si="123"/>
        <v>55.909319249001342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7.5999999999999988</v>
      </c>
      <c r="DO149" s="12">
        <f>IF('Données projet'!$A$166&gt;35,DO148+DN149-DW148,IF(A149&lt;'Données projet'!$A$166,$DL$205^A149,IF(A149='Données projet'!$A$166,'Données projet'!$B$166,DO148+DN149-DW148)))</f>
        <v>421.76000000000045</v>
      </c>
      <c r="DP149" s="17">
        <f>DO149*VLOOKUP('Données projet'!$B$14,Paramètres!$A$1:$I$89,3,0)*VLOOKUP('Données projet'!$B$14,Paramètres!$A$1:$I$89,5,0)</f>
        <v>381.60844800000035</v>
      </c>
      <c r="DQ149" s="13">
        <f t="shared" si="151"/>
        <v>88.037907665522127</v>
      </c>
      <c r="DR149" s="20">
        <f t="shared" si="124"/>
        <v>817.96740278411835</v>
      </c>
      <c r="DS149" s="59">
        <f t="shared" si="125"/>
        <v>1111.3007361174516</v>
      </c>
      <c r="DT149" s="59">
        <f ca="1">AVERAGE(OFFSET($DS$3,0,0,'Données projet'!$E$14+1,1))-AVERAGE(OFFSET($H$3,0,0,'Données projet'!$E$14+1,1))</f>
        <v>490.06222615476065</v>
      </c>
      <c r="DU149" s="59">
        <f t="shared" si="152"/>
        <v>310.43914804089906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40.98109210403009</v>
      </c>
      <c r="EB149" s="21">
        <f>EXP(-LN(2)/25)*EB148+(1-EXP(-LN(2)/25))/(LN(2)/25)*Calculateur!DW149*Calculateur!DY149*VLOOKUP('Données projet'!$B$14,Paramètres!$A$1:$I$89,3,0)*0.475*44/12</f>
        <v>17.088502285110888</v>
      </c>
      <c r="EC149" s="21">
        <f>EXP(-LN(2)/2)*EC148+(1-EXP(-LN(2)/2))/(LN(2)/2)*DW149*DZ149*VLOOKUP('Données projet'!$B$14,Paramètres!$A$1:$I$89,3,0)*0.475*44/12</f>
        <v>1.6753385188934299E-6</v>
      </c>
      <c r="ED149" s="22">
        <f t="shared" si="126"/>
        <v>58.069596064479491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7.5191666666666634</v>
      </c>
      <c r="EJ149" s="12">
        <f>IF('Données projet'!$A$192&gt;35,EJ148+EI149-ER148,IF(A149&lt;'Données projet'!$A$192,$EG$205^A149,IF(A149='Données projet'!$A$192,'Données projet'!$B$192,EJ148+EI149-ER148)))</f>
        <v>334.0083333333331</v>
      </c>
      <c r="EK149" s="17">
        <f>EJ149*VLOOKUP('Données projet'!$B$15,Paramètres!$A$1:$I$89,3,0)*VLOOKUP('Données projet'!$B$15,Paramètres!$A$1:$I$89,5,0)</f>
        <v>338.6844499999998</v>
      </c>
      <c r="EL149" s="13">
        <f t="shared" si="153"/>
        <v>79.228084167092831</v>
      </c>
      <c r="EM149" s="20">
        <f t="shared" si="127"/>
        <v>727.86433034101958</v>
      </c>
      <c r="EN149" s="59">
        <f t="shared" si="128"/>
        <v>1021.197663674353</v>
      </c>
      <c r="EO149" s="59">
        <f ca="1">AVERAGE(OFFSET($EN$3,0,0,'Données projet'!$E$15+1,1))-AVERAGE(OFFSET($H$3,0,0,'Données projet'!$E$15+1,1))</f>
        <v>533.26035274112917</v>
      </c>
      <c r="EP149" s="59">
        <f t="shared" si="154"/>
        <v>262.58149402282521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31.98675185286978</v>
      </c>
      <c r="EW149" s="21">
        <f>EXP(-LN(2)/25)*EW148+(1-EXP(-LN(2)/25))/(LN(2)/25)*Calculateur!ER149*Calculateur!ET149*VLOOKUP('Données projet'!$B$15,Paramètres!$A$1:$I$89,3,0)*0.475*44/12</f>
        <v>21.842980476071116</v>
      </c>
      <c r="EX149" s="21">
        <f>EXP(-LN(2)/2)*EX148+(1-EXP(-LN(2)/2))/(LN(2)/2)*ER149*EU149*VLOOKUP('Données projet'!$B$15,Paramètres!$A$1:$I$89,3,0)*0.475*44/12</f>
        <v>2.9531700333260811</v>
      </c>
      <c r="EY149" s="22">
        <f t="shared" si="129"/>
        <v>56.782902362266974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239.26156489359892</v>
      </c>
      <c r="FK149" s="59">
        <f t="shared" si="156"/>
        <v>213.97034450798111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3.5673093317036924</v>
      </c>
      <c r="FR149" s="21">
        <f>EXP(-LN(2)/25)*FR148+(1-EXP(-LN(2)/25))/(LN(2)/25)*Calculateur!FM149*Calculateur!FO149*VLOOKUP('Données projet'!$B$16,Paramètres!$A$1:$I$89,3,0)*0.475*44/12</f>
        <v>13.51891017864263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17.086219510346321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2.5579538487363607E-13</v>
      </c>
      <c r="O150" s="13">
        <f>N150*VLOOKUP('Données projet'!$B$9,Paramètres!$A$1:$I$89,3,0)*VLOOKUP('Données projet'!$B$9,Paramètres!$A$1:$I$89,5,0)</f>
        <v>2.4341488824575211E-13</v>
      </c>
      <c r="P150" s="13">
        <f t="shared" si="141"/>
        <v>3.2970717324875541E-12</v>
      </c>
      <c r="Q150" s="20">
        <f t="shared" si="108"/>
        <v>6.1663475311105072E-12</v>
      </c>
      <c r="R150" s="59">
        <f t="shared" si="109"/>
        <v>293.33333333333945</v>
      </c>
      <c r="S150" s="59">
        <f ca="1">AVERAGE(OFFSET($R$3,0,0,'Données projet'!$E$9+1,1))-AVERAGE(OFFSET($H$3,0,0,'Données projet'!$E$9+1,1))</f>
        <v>449.28947235329758</v>
      </c>
      <c r="T150" s="59">
        <f t="shared" si="142"/>
        <v>289.36994109443964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84.847168531863076</v>
      </c>
      <c r="AA150" s="21">
        <f>EXP(-LN(2)/25)*AA149+(1-EXP(-LN(2)/25))/(LN(2)/25)*Calculateur!V150*Calculateur!X150*VLOOKUP('Données projet'!$B$9,Paramètres!$A$1:$I$89,3,0)*0.475*44/12</f>
        <v>15.453502192802809</v>
      </c>
      <c r="AB150" s="21">
        <f>EXP(-LN(2)/2)*AB149+(1-EXP(-LN(2)/2))/(LN(2)/2)*V150*Y150*VLOOKUP('Données projet'!$B$9,Paramètres!$A$1:$I$89,3,0)*0.475*44/12</f>
        <v>1.9780881238262157E-2</v>
      </c>
      <c r="AC150" s="22">
        <f t="shared" si="111"/>
        <v>100.32045160590414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-2.2737367544323206E-13</v>
      </c>
      <c r="AJ150" s="13">
        <f>AI150*VLOOKUP('Données projet'!$B$10,Paramètres!$A$1:$I$89,3,0)*VLOOKUP('Données projet'!$B$10,Paramètres!$A$1:$I$89,5,0)</f>
        <v>-1.3596945791505279E-13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349.71285006949597</v>
      </c>
      <c r="AO150" s="59">
        <f t="shared" si="144"/>
        <v>258.51550516456842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40.662358893919972</v>
      </c>
      <c r="AV150" s="21">
        <f>EXP(-LN(2)/25)*AV149+(1-EXP(-LN(2)/25))/(LN(2)/25)*Calculateur!AQ150*Calculateur!AS150*VLOOKUP('Données projet'!$B$10,Paramètres!$A$1:$I$89,3,0)*0.475*44/12</f>
        <v>8.0742601591127894</v>
      </c>
      <c r="AW150" s="21">
        <f>EXP(-LN(2)/2)*AW149+(1-EXP(-LN(2)/2))/(LN(2)/2)*AQ150*AT150*VLOOKUP('Données projet'!$B$10,Paramètres!$A$1:$I$89,3,0)*0.475*44/12</f>
        <v>5.8212570924639616E-9</v>
      </c>
      <c r="AX150" s="21">
        <f t="shared" si="114"/>
        <v>48.736619058854018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1.1368683772161603E-13</v>
      </c>
      <c r="BE150" s="13">
        <f>BD150*VLOOKUP('Données projet'!$B$11,Paramètres!$A$1:$I$89,3,0)*VLOOKUP('Données projet'!$B$11,Paramètres!$A$1:$I$89,5,0)</f>
        <v>6.7984728957526396E-14</v>
      </c>
      <c r="BF150" s="13">
        <f t="shared" si="145"/>
        <v>1.0682447123141398E-12</v>
      </c>
      <c r="BG150" s="20">
        <f t="shared" si="115"/>
        <v>1.978932943548152E-12</v>
      </c>
      <c r="BH150" s="59">
        <f t="shared" si="116"/>
        <v>293.3333333333353</v>
      </c>
      <c r="BI150" s="59">
        <f ca="1">AVERAGE(OFFSET($BH$3,0,0,'Données projet'!$E$11+1,1))-AVERAGE(OFFSET($H$3,0,0,'Données projet'!$E$11+1,1))</f>
        <v>302.00825291248458</v>
      </c>
      <c r="BJ150" s="59">
        <f t="shared" si="146"/>
        <v>307.35115839449355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24.793114617154281</v>
      </c>
      <c r="BQ150" s="21">
        <f>EXP(-LN(2)/25)*BQ149+(1-EXP(-LN(2)/25))/(LN(2)/25)*Calculateur!BL150*Calculateur!BN150*VLOOKUP('Données projet'!$B$11,Paramètres!$A$1:$I$89,3,0)*0.475*44/12</f>
        <v>4.3413459165049888</v>
      </c>
      <c r="BR150" s="21">
        <f>EXP(-LN(2)/2)*BR149+(1-EXP(-LN(2)/2))/(LN(2)/2)*BL150*BO150*VLOOKUP('Données projet'!$B$11,Paramètres!$A$1:$I$89,3,0)*0.475*44/12</f>
        <v>4.8202244704637791E-12</v>
      </c>
      <c r="BS150" s="22">
        <f t="shared" si="117"/>
        <v>29.13446053366409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1.7053025658242404E-13</v>
      </c>
      <c r="BZ150" s="13">
        <f>BY150*VLOOKUP('Données projet'!$B$12,Paramètres!$A$1:$I$89,3,0)*VLOOKUP('Données projet'!$B$12,Paramètres!$A$1:$I$89,5,0)</f>
        <v>7.9808160080574461E-14</v>
      </c>
      <c r="CA150" s="13">
        <f t="shared" si="147"/>
        <v>1.2308384591775343E-12</v>
      </c>
      <c r="CB150" s="20">
        <f t="shared" si="118"/>
        <v>2.282709528541206E-12</v>
      </c>
      <c r="CC150" s="59">
        <f t="shared" si="119"/>
        <v>293.33333333333559</v>
      </c>
      <c r="CD150" s="59">
        <f ca="1">AVERAGE(OFFSET($CC$3,0,0,'Données projet'!$E$12+1,1))-AVERAGE(OFFSET($H$3,0,0,'Données projet'!$E$12+1,1))</f>
        <v>337.10499990421835</v>
      </c>
      <c r="CE150" s="59">
        <f t="shared" si="148"/>
        <v>277.4254079562175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105.95102618464622</v>
      </c>
      <c r="CL150" s="21">
        <f>EXP(-LN(2)/25)*CL149+(1-EXP(-LN(2)/25))/(LN(2)/25)*Calculateur!CG150*Calculateur!CI150*VLOOKUP('Données projet'!$B$12,Paramètres!$A$1:$I$89,3,0)*0.475*44/12</f>
        <v>28.821316577757113</v>
      </c>
      <c r="CM150" s="21">
        <f>EXP(-LN(2)/2)*CM149+(1-EXP(-LN(2)/2))/(LN(2)/2)*CG150*CJ150*VLOOKUP('Données projet'!$B$12,Paramètres!$A$1:$I$89,3,0)*0.475*44/12</f>
        <v>0.1265963034163235</v>
      </c>
      <c r="CN150" s="22">
        <f t="shared" si="120"/>
        <v>134.89893906581966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7.5191666666666634</v>
      </c>
      <c r="CT150" s="12">
        <f>IF('Données projet'!$A$140&gt;35,CT149+CS150-DB149,IF(A150&lt;'Données projet'!$A$140,$CQ$205^A150,IF(A150='Données projet'!$A$140,'Données projet'!$B$140,CT149+CS150-DB149)))</f>
        <v>341.52749999999975</v>
      </c>
      <c r="CU150" s="17">
        <f>CT150*VLOOKUP('Données projet'!$B$13,Paramètres!$A$1:$I$89,3,0)*VLOOKUP('Données projet'!$B$13,Paramètres!$A$1:$I$89,5,0)</f>
        <v>340.9810559999998</v>
      </c>
      <c r="CV150" s="13">
        <f t="shared" si="149"/>
        <v>79.702604800414434</v>
      </c>
      <c r="CW150" s="20">
        <f t="shared" si="121"/>
        <v>732.6907092273882</v>
      </c>
      <c r="CX150" s="59">
        <f t="shared" si="122"/>
        <v>1026.0240425607215</v>
      </c>
      <c r="CY150" s="59">
        <f ca="1">AVERAGE(OFFSET($CX$3,0,0,'Données projet'!$E$13+1,1))-AVERAGE(OFFSET($H$3,0,0,'Données projet'!$E$13+1,1))</f>
        <v>525.74725170626471</v>
      </c>
      <c r="CZ150" s="59">
        <f t="shared" si="150"/>
        <v>259.19103598192197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30.877057141196001</v>
      </c>
      <c r="DG150" s="21">
        <f>EXP(-LN(2)/25)*DG149+(1-EXP(-LN(2)/25))/(LN(2)/25)*Calculateur!DB150*Calculateur!DD150*VLOOKUP('Données projet'!$B$13,Paramètres!$A$1:$I$89,3,0)*0.475*44/12</f>
        <v>20.918826364337754</v>
      </c>
      <c r="DH150" s="21">
        <f>EXP(-LN(2)/2)*DH149+(1-EXP(-LN(2)/2))/(LN(2)/2)*DB150*DE150*VLOOKUP('Données projet'!$B$13,Paramètres!$A$1:$I$89,3,0)*0.475*44/12</f>
        <v>2.0560803018454399</v>
      </c>
      <c r="DI150" s="22">
        <f t="shared" si="123"/>
        <v>53.851963807379192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7.5999999999999988</v>
      </c>
      <c r="DO150" s="12">
        <f>IF('Données projet'!$A$166&gt;35,DO149+DN150-DW149,IF(A150&lt;'Données projet'!$A$166,$DL$205^A150,IF(A150='Données projet'!$A$166,'Données projet'!$B$166,DO149+DN150-DW149)))</f>
        <v>429.36000000000047</v>
      </c>
      <c r="DP150" s="17">
        <f>DO150*VLOOKUP('Données projet'!$B$14,Paramètres!$A$1:$I$89,3,0)*VLOOKUP('Données projet'!$B$14,Paramètres!$A$1:$I$89,5,0)</f>
        <v>388.48492800000042</v>
      </c>
      <c r="DQ150" s="13">
        <f t="shared" si="151"/>
        <v>89.438207209646222</v>
      </c>
      <c r="DR150" s="20">
        <f t="shared" si="124"/>
        <v>832.38279382346775</v>
      </c>
      <c r="DS150" s="59">
        <f t="shared" si="125"/>
        <v>1125.7161271568011</v>
      </c>
      <c r="DT150" s="59">
        <f ca="1">AVERAGE(OFFSET($DS$3,0,0,'Données projet'!$E$14+1,1))-AVERAGE(OFFSET($H$3,0,0,'Données projet'!$E$14+1,1))</f>
        <v>490.06222615476065</v>
      </c>
      <c r="DU150" s="59">
        <f t="shared" si="152"/>
        <v>310.43914804089906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40.177477883868093</v>
      </c>
      <c r="EB150" s="21">
        <f>EXP(-LN(2)/25)*EB149+(1-EXP(-LN(2)/25))/(LN(2)/25)*Calculateur!DW150*Calculateur!DY150*VLOOKUP('Données projet'!$B$14,Paramètres!$A$1:$I$89,3,0)*0.475*44/12</f>
        <v>16.62121629147925</v>
      </c>
      <c r="EC150" s="21">
        <f>EXP(-LN(2)/2)*EC149+(1-EXP(-LN(2)/2))/(LN(2)/2)*DW150*DZ150*VLOOKUP('Données projet'!$B$14,Paramètres!$A$1:$I$89,3,0)*0.475*44/12</f>
        <v>1.1846432274925711E-6</v>
      </c>
      <c r="ED150" s="22">
        <f t="shared" si="126"/>
        <v>56.798695359990568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7.5191666666666634</v>
      </c>
      <c r="EJ150" s="12">
        <f>IF('Données projet'!$A$192&gt;35,EJ149+EI150-ER149,IF(A150&lt;'Données projet'!$A$192,$EG$205^A150,IF(A150='Données projet'!$A$192,'Données projet'!$B$192,EJ149+EI150-ER149)))</f>
        <v>341.52749999999975</v>
      </c>
      <c r="EK150" s="17">
        <f>EJ150*VLOOKUP('Données projet'!$B$15,Paramètres!$A$1:$I$89,3,0)*VLOOKUP('Données projet'!$B$15,Paramètres!$A$1:$I$89,5,0)</f>
        <v>346.3088849999998</v>
      </c>
      <c r="EL150" s="13">
        <f t="shared" si="153"/>
        <v>80.802003987912002</v>
      </c>
      <c r="EM150" s="20">
        <f t="shared" si="127"/>
        <v>743.88479832061319</v>
      </c>
      <c r="EN150" s="59">
        <f t="shared" si="128"/>
        <v>1037.2181316539466</v>
      </c>
      <c r="EO150" s="59">
        <f ca="1">AVERAGE(OFFSET($EN$3,0,0,'Données projet'!$E$15+1,1))-AVERAGE(OFFSET($H$3,0,0,'Données projet'!$E$15+1,1))</f>
        <v>533.26035274112917</v>
      </c>
      <c r="EP150" s="59">
        <f t="shared" si="154"/>
        <v>262.58149402282521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31.359511159027182</v>
      </c>
      <c r="EW150" s="21">
        <f>EXP(-LN(2)/25)*EW149+(1-EXP(-LN(2)/25))/(LN(2)/25)*Calculateur!ER150*Calculateur!ET150*VLOOKUP('Données projet'!$B$15,Paramètres!$A$1:$I$89,3,0)*0.475*44/12</f>
        <v>21.245683026280531</v>
      </c>
      <c r="EX150" s="21">
        <f>EXP(-LN(2)/2)*EX149+(1-EXP(-LN(2)/2))/(LN(2)/2)*ER150*EU150*VLOOKUP('Données projet'!$B$15,Paramètres!$A$1:$I$89,3,0)*0.475*44/12</f>
        <v>2.0882065565617745</v>
      </c>
      <c r="EY150" s="22">
        <f t="shared" si="129"/>
        <v>54.693400741869482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239.26156489359892</v>
      </c>
      <c r="FK150" s="59">
        <f t="shared" si="156"/>
        <v>213.97034450798111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3.4973565715528285</v>
      </c>
      <c r="FR150" s="21">
        <f>EXP(-LN(2)/25)*FR149+(1-EXP(-LN(2)/25))/(LN(2)/25)*Calculateur!FM150*Calculateur!FO150*VLOOKUP('Données projet'!$B$16,Paramètres!$A$1:$I$89,3,0)*0.475*44/12</f>
        <v>13.149234868879059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16.646591440431887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2.5579538487363607E-13</v>
      </c>
      <c r="O151" s="13">
        <f>N151*VLOOKUP('Données projet'!$B$9,Paramètres!$A$1:$I$89,3,0)*VLOOKUP('Données projet'!$B$9,Paramètres!$A$1:$I$89,5,0)</f>
        <v>2.4341488824575211E-13</v>
      </c>
      <c r="P151" s="13">
        <f t="shared" si="141"/>
        <v>3.2970717324875541E-12</v>
      </c>
      <c r="Q151" s="20">
        <f t="shared" si="108"/>
        <v>6.1663475311105072E-12</v>
      </c>
      <c r="R151" s="59">
        <f t="shared" si="109"/>
        <v>293.33333333333945</v>
      </c>
      <c r="S151" s="59">
        <f ca="1">AVERAGE(OFFSET($R$3,0,0,'Données projet'!$E$9+1,1))-AVERAGE(OFFSET($H$3,0,0,'Données projet'!$E$9+1,1))</f>
        <v>449.28947235329758</v>
      </c>
      <c r="T151" s="59">
        <f t="shared" si="142"/>
        <v>289.36994109443964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83.183367308615999</v>
      </c>
      <c r="AA151" s="21">
        <f>EXP(-LN(2)/25)*AA150+(1-EXP(-LN(2)/25))/(LN(2)/25)*Calculateur!V151*Calculateur!X151*VLOOKUP('Données projet'!$B$9,Paramètres!$A$1:$I$89,3,0)*0.475*44/12</f>
        <v>15.030925362676255</v>
      </c>
      <c r="AB151" s="21">
        <f>EXP(-LN(2)/2)*AB150+(1-EXP(-LN(2)/2))/(LN(2)/2)*V151*Y151*VLOOKUP('Données projet'!$B$9,Paramètres!$A$1:$I$89,3,0)*0.475*44/12</f>
        <v>1.3987195261420922E-2</v>
      </c>
      <c r="AC151" s="22">
        <f t="shared" si="111"/>
        <v>98.228279866553677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-2.2737367544323206E-13</v>
      </c>
      <c r="AJ151" s="13">
        <f>AI151*VLOOKUP('Données projet'!$B$10,Paramètres!$A$1:$I$89,3,0)*VLOOKUP('Données projet'!$B$10,Paramètres!$A$1:$I$89,5,0)</f>
        <v>-1.3596945791505279E-13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349.71285006949597</v>
      </c>
      <c r="AO151" s="59">
        <f t="shared" si="144"/>
        <v>258.51550516456842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39.864994837600172</v>
      </c>
      <c r="AV151" s="21">
        <f>EXP(-LN(2)/25)*AV150+(1-EXP(-LN(2)/25))/(LN(2)/25)*Calculateur!AQ151*Calculateur!AS151*VLOOKUP('Données projet'!$B$10,Paramètres!$A$1:$I$89,3,0)*0.475*44/12</f>
        <v>7.8534690904549622</v>
      </c>
      <c r="AW151" s="21">
        <f>EXP(-LN(2)/2)*AW150+(1-EXP(-LN(2)/2))/(LN(2)/2)*AQ151*AT151*VLOOKUP('Données projet'!$B$10,Paramètres!$A$1:$I$89,3,0)*0.475*44/12</f>
        <v>4.1162503651115523E-9</v>
      </c>
      <c r="AX151" s="21">
        <f t="shared" si="114"/>
        <v>47.718463932171389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1.1368683772161603E-13</v>
      </c>
      <c r="BE151" s="13">
        <f>BD151*VLOOKUP('Données projet'!$B$11,Paramètres!$A$1:$I$89,3,0)*VLOOKUP('Données projet'!$B$11,Paramètres!$A$1:$I$89,5,0)</f>
        <v>6.7984728957526396E-14</v>
      </c>
      <c r="BF151" s="13">
        <f t="shared" si="145"/>
        <v>1.0682447123141398E-12</v>
      </c>
      <c r="BG151" s="20">
        <f t="shared" si="115"/>
        <v>1.978932943548152E-12</v>
      </c>
      <c r="BH151" s="59">
        <f t="shared" si="116"/>
        <v>293.3333333333353</v>
      </c>
      <c r="BI151" s="59">
        <f ca="1">AVERAGE(OFFSET($BH$3,0,0,'Données projet'!$E$11+1,1))-AVERAGE(OFFSET($H$3,0,0,'Données projet'!$E$11+1,1))</f>
        <v>302.00825291248458</v>
      </c>
      <c r="BJ151" s="59">
        <f t="shared" si="146"/>
        <v>307.35115839449355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24.306936761818598</v>
      </c>
      <c r="BQ151" s="21">
        <f>EXP(-LN(2)/25)*BQ150+(1-EXP(-LN(2)/25))/(LN(2)/25)*Calculateur!BL151*Calculateur!BN151*VLOOKUP('Données projet'!$B$11,Paramètres!$A$1:$I$89,3,0)*0.475*44/12</f>
        <v>4.2226315841167006</v>
      </c>
      <c r="BR151" s="21">
        <f>EXP(-LN(2)/2)*BR150+(1-EXP(-LN(2)/2))/(LN(2)/2)*BL151*BO151*VLOOKUP('Données projet'!$B$11,Paramètres!$A$1:$I$89,3,0)*0.475*44/12</f>
        <v>3.4084134099062734E-12</v>
      </c>
      <c r="BS151" s="22">
        <f t="shared" si="117"/>
        <v>28.529568345938706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1.7053025658242404E-13</v>
      </c>
      <c r="BZ151" s="13">
        <f>BY151*VLOOKUP('Données projet'!$B$12,Paramètres!$A$1:$I$89,3,0)*VLOOKUP('Données projet'!$B$12,Paramètres!$A$1:$I$89,5,0)</f>
        <v>7.9808160080574461E-14</v>
      </c>
      <c r="CA151" s="13">
        <f t="shared" si="147"/>
        <v>1.2308384591775343E-12</v>
      </c>
      <c r="CB151" s="20">
        <f t="shared" si="118"/>
        <v>2.282709528541206E-12</v>
      </c>
      <c r="CC151" s="59">
        <f t="shared" si="119"/>
        <v>293.33333333333559</v>
      </c>
      <c r="CD151" s="59">
        <f ca="1">AVERAGE(OFFSET($CC$3,0,0,'Données projet'!$E$12+1,1))-AVERAGE(OFFSET($H$3,0,0,'Données projet'!$E$12+1,1))</f>
        <v>337.10499990421835</v>
      </c>
      <c r="CE151" s="59">
        <f t="shared" si="148"/>
        <v>277.4254079562175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103.87339118491022</v>
      </c>
      <c r="CL151" s="21">
        <f>EXP(-LN(2)/25)*CL150+(1-EXP(-LN(2)/25))/(LN(2)/25)*Calculateur!CG151*Calculateur!CI151*VLOOKUP('Données projet'!$B$12,Paramètres!$A$1:$I$89,3,0)*0.475*44/12</f>
        <v>28.033196160291176</v>
      </c>
      <c r="CM151" s="21">
        <f>EXP(-LN(2)/2)*CM150+(1-EXP(-LN(2)/2))/(LN(2)/2)*CG151*CJ151*VLOOKUP('Données projet'!$B$12,Paramètres!$A$1:$I$89,3,0)*0.475*44/12</f>
        <v>8.9517104618832041E-2</v>
      </c>
      <c r="CN151" s="22">
        <f t="shared" si="120"/>
        <v>131.99610444982022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7.5191666666666634</v>
      </c>
      <c r="CT151" s="12">
        <f>IF('Données projet'!$A$140&gt;35,CT150+CS151-DB150,IF(A151&lt;'Données projet'!$A$140,$CQ$205^A151,IF(A151='Données projet'!$A$140,'Données projet'!$B$140,CT150+CS151-DB150)))</f>
        <v>349.0466666666664</v>
      </c>
      <c r="CU151" s="17">
        <f>CT151*VLOOKUP('Données projet'!$B$13,Paramètres!$A$1:$I$89,3,0)*VLOOKUP('Données projet'!$B$13,Paramètres!$A$1:$I$89,5,0)</f>
        <v>348.48819199999974</v>
      </c>
      <c r="CV151" s="13">
        <f t="shared" si="149"/>
        <v>81.25113588628092</v>
      </c>
      <c r="CW151" s="20">
        <f t="shared" si="121"/>
        <v>748.46266273527215</v>
      </c>
      <c r="CX151" s="59">
        <f t="shared" si="122"/>
        <v>1041.7959960686055</v>
      </c>
      <c r="CY151" s="59">
        <f ca="1">AVERAGE(OFFSET($CX$3,0,0,'Données projet'!$E$13+1,1))-AVERAGE(OFFSET($H$3,0,0,'Données projet'!$E$13+1,1))</f>
        <v>525.74725170626471</v>
      </c>
      <c r="CZ151" s="59">
        <f t="shared" si="150"/>
        <v>259.19103598192197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30.271576883802386</v>
      </c>
      <c r="DG151" s="21">
        <f>EXP(-LN(2)/25)*DG150+(1-EXP(-LN(2)/25))/(LN(2)/25)*Calculateur!DB151*Calculateur!DD151*VLOOKUP('Données projet'!$B$13,Paramètres!$A$1:$I$89,3,0)*0.475*44/12</f>
        <v>20.346799957331669</v>
      </c>
      <c r="DH151" s="21">
        <f>EXP(-LN(2)/2)*DH150+(1-EXP(-LN(2)/2))/(LN(2)/2)*DB151*DE151*VLOOKUP('Données projet'!$B$13,Paramètres!$A$1:$I$89,3,0)*0.475*44/12</f>
        <v>1.4538683240989942</v>
      </c>
      <c r="DI151" s="22">
        <f t="shared" si="123"/>
        <v>52.072245165233042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7.5999999999999988</v>
      </c>
      <c r="DO151" s="12">
        <f>IF('Données projet'!$A$166&gt;35,DO150+DN151-DW150,IF(A151&lt;'Données projet'!$A$166,$DL$205^A151,IF(A151='Données projet'!$A$166,'Données projet'!$B$166,DO150+DN151-DW150)))</f>
        <v>436.96000000000049</v>
      </c>
      <c r="DP151" s="17">
        <f>DO151*VLOOKUP('Données projet'!$B$14,Paramètres!$A$1:$I$89,3,0)*VLOOKUP('Données projet'!$B$14,Paramètres!$A$1:$I$89,5,0)</f>
        <v>395.36140800000044</v>
      </c>
      <c r="DQ151" s="13">
        <f t="shared" si="151"/>
        <v>90.835624431167318</v>
      </c>
      <c r="DR151" s="20">
        <f t="shared" si="124"/>
        <v>846.79316481761714</v>
      </c>
      <c r="DS151" s="59">
        <f t="shared" si="125"/>
        <v>1140.1264981509505</v>
      </c>
      <c r="DT151" s="59">
        <f ca="1">AVERAGE(OFFSET($DS$3,0,0,'Données projet'!$E$14+1,1))-AVERAGE(OFFSET($H$3,0,0,'Données projet'!$E$14+1,1))</f>
        <v>490.06222615476065</v>
      </c>
      <c r="DU151" s="59">
        <f t="shared" si="152"/>
        <v>310.43914804089906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39.389622048407197</v>
      </c>
      <c r="EB151" s="21">
        <f>EXP(-LN(2)/25)*EB150+(1-EXP(-LN(2)/25))/(LN(2)/25)*Calculateur!DW151*Calculateur!DY151*VLOOKUP('Données projet'!$B$14,Paramètres!$A$1:$I$89,3,0)*0.475*44/12</f>
        <v>16.166708257916973</v>
      </c>
      <c r="EC151" s="21">
        <f>EXP(-LN(2)/2)*EC150+(1-EXP(-LN(2)/2))/(LN(2)/2)*DW151*DZ151*VLOOKUP('Données projet'!$B$14,Paramètres!$A$1:$I$89,3,0)*0.475*44/12</f>
        <v>8.3766925944671493E-7</v>
      </c>
      <c r="ED151" s="22">
        <f t="shared" si="126"/>
        <v>55.556331143993432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7.5191666666666634</v>
      </c>
      <c r="EJ151" s="12">
        <f>IF('Données projet'!$A$192&gt;35,EJ150+EI151-ER150,IF(A151&lt;'Données projet'!$A$192,$EG$205^A151,IF(A151='Données projet'!$A$192,'Données projet'!$B$192,EJ150+EI151-ER150)))</f>
        <v>349.0466666666664</v>
      </c>
      <c r="EK151" s="17">
        <f>EJ151*VLOOKUP('Données projet'!$B$15,Paramètres!$A$1:$I$89,3,0)*VLOOKUP('Données projet'!$B$15,Paramètres!$A$1:$I$89,5,0)</f>
        <v>353.93331999999975</v>
      </c>
      <c r="EL151" s="13">
        <f t="shared" si="153"/>
        <v>82.371895151305182</v>
      </c>
      <c r="EM151" s="20">
        <f t="shared" si="127"/>
        <v>759.89824972185613</v>
      </c>
      <c r="EN151" s="59">
        <f t="shared" si="128"/>
        <v>1053.2315830551895</v>
      </c>
      <c r="EO151" s="59">
        <f ca="1">AVERAGE(OFFSET($EN$3,0,0,'Données projet'!$E$15+1,1))-AVERAGE(OFFSET($H$3,0,0,'Données projet'!$E$15+1,1))</f>
        <v>533.26035274112917</v>
      </c>
      <c r="EP151" s="59">
        <f t="shared" si="154"/>
        <v>262.58149402282521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30.744570272611792</v>
      </c>
      <c r="EW151" s="21">
        <f>EXP(-LN(2)/25)*EW150+(1-EXP(-LN(2)/25))/(LN(2)/25)*Calculateur!ER151*Calculateur!ET151*VLOOKUP('Données projet'!$B$15,Paramètres!$A$1:$I$89,3,0)*0.475*44/12</f>
        <v>20.664718706664978</v>
      </c>
      <c r="EX151" s="21">
        <f>EXP(-LN(2)/2)*EX150+(1-EXP(-LN(2)/2))/(LN(2)/2)*ER151*EU151*VLOOKUP('Données projet'!$B$15,Paramètres!$A$1:$I$89,3,0)*0.475*44/12</f>
        <v>1.4765850166630405</v>
      </c>
      <c r="EY151" s="22">
        <f t="shared" si="129"/>
        <v>52.885873995939804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239.26156489359892</v>
      </c>
      <c r="FK151" s="59">
        <f t="shared" si="156"/>
        <v>213.97034450798111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3.4287755423615525</v>
      </c>
      <c r="FR151" s="21">
        <f>EXP(-LN(2)/25)*FR150+(1-EXP(-LN(2)/25))/(LN(2)/25)*Calculateur!FM151*Calculateur!FO151*VLOOKUP('Données projet'!$B$16,Paramètres!$A$1:$I$89,3,0)*0.475*44/12</f>
        <v>12.789668349901353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16.218443892262904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2.5579538487363607E-13</v>
      </c>
      <c r="O152" s="13">
        <f>N152*VLOOKUP('Données projet'!$B$9,Paramètres!$A$1:$I$89,3,0)*VLOOKUP('Données projet'!$B$9,Paramètres!$A$1:$I$89,5,0)</f>
        <v>2.4341488824575211E-13</v>
      </c>
      <c r="P152" s="13">
        <f t="shared" si="141"/>
        <v>3.2970717324875541E-12</v>
      </c>
      <c r="Q152" s="20">
        <f t="shared" si="108"/>
        <v>6.1663475311105072E-12</v>
      </c>
      <c r="R152" s="59">
        <f t="shared" si="109"/>
        <v>293.33333333333945</v>
      </c>
      <c r="S152" s="59">
        <f ca="1">AVERAGE(OFFSET($R$3,0,0,'Données projet'!$E$9+1,1))-AVERAGE(OFFSET($H$3,0,0,'Données projet'!$E$9+1,1))</f>
        <v>449.28947235329758</v>
      </c>
      <c r="T152" s="59">
        <f t="shared" si="142"/>
        <v>289.36994109443964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81.552192212538245</v>
      </c>
      <c r="AA152" s="21">
        <f>EXP(-LN(2)/25)*AA151+(1-EXP(-LN(2)/25))/(LN(2)/25)*Calculateur!V152*Calculateur!X152*VLOOKUP('Données projet'!$B$9,Paramètres!$A$1:$I$89,3,0)*0.475*44/12</f>
        <v>14.619903918191861</v>
      </c>
      <c r="AB152" s="21">
        <f>EXP(-LN(2)/2)*AB151+(1-EXP(-LN(2)/2))/(LN(2)/2)*V152*Y152*VLOOKUP('Données projet'!$B$9,Paramètres!$A$1:$I$89,3,0)*0.475*44/12</f>
        <v>9.8904406191310783E-3</v>
      </c>
      <c r="AC152" s="22">
        <f t="shared" si="111"/>
        <v>96.181986571349242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-2.2737367544323206E-13</v>
      </c>
      <c r="AJ152" s="13">
        <f>AI152*VLOOKUP('Données projet'!$B$10,Paramètres!$A$1:$I$89,3,0)*VLOOKUP('Données projet'!$B$10,Paramètres!$A$1:$I$89,5,0)</f>
        <v>-1.3596945791505279E-13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349.71285006949597</v>
      </c>
      <c r="AO152" s="59">
        <f t="shared" si="144"/>
        <v>258.51550516456842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39.083266604080755</v>
      </c>
      <c r="AV152" s="21">
        <f>EXP(-LN(2)/25)*AV151+(1-EXP(-LN(2)/25))/(LN(2)/25)*Calculateur!AQ152*Calculateur!AS152*VLOOKUP('Données projet'!$B$10,Paramètres!$A$1:$I$89,3,0)*0.475*44/12</f>
        <v>7.6387155651804814</v>
      </c>
      <c r="AW152" s="21">
        <f>EXP(-LN(2)/2)*AW151+(1-EXP(-LN(2)/2))/(LN(2)/2)*AQ152*AT152*VLOOKUP('Données projet'!$B$10,Paramètres!$A$1:$I$89,3,0)*0.475*44/12</f>
        <v>2.9106285462319808E-9</v>
      </c>
      <c r="AX152" s="21">
        <f t="shared" si="114"/>
        <v>46.72198217217187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1.1368683772161603E-13</v>
      </c>
      <c r="BE152" s="13">
        <f>BD152*VLOOKUP('Données projet'!$B$11,Paramètres!$A$1:$I$89,3,0)*VLOOKUP('Données projet'!$B$11,Paramètres!$A$1:$I$89,5,0)</f>
        <v>6.7984728957526396E-14</v>
      </c>
      <c r="BF152" s="13">
        <f t="shared" si="145"/>
        <v>1.0682447123141398E-12</v>
      </c>
      <c r="BG152" s="20">
        <f t="shared" si="115"/>
        <v>1.978932943548152E-12</v>
      </c>
      <c r="BH152" s="59">
        <f t="shared" si="116"/>
        <v>293.3333333333353</v>
      </c>
      <c r="BI152" s="59">
        <f ca="1">AVERAGE(OFFSET($BH$3,0,0,'Données projet'!$E$11+1,1))-AVERAGE(OFFSET($H$3,0,0,'Données projet'!$E$11+1,1))</f>
        <v>302.00825291248458</v>
      </c>
      <c r="BJ152" s="59">
        <f t="shared" si="146"/>
        <v>307.35115839449355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23.830292557686835</v>
      </c>
      <c r="BQ152" s="21">
        <f>EXP(-LN(2)/25)*BQ151+(1-EXP(-LN(2)/25))/(LN(2)/25)*Calculateur!BL152*Calculateur!BN152*VLOOKUP('Données projet'!$B$11,Paramètres!$A$1:$I$89,3,0)*0.475*44/12</f>
        <v>4.1071635013904855</v>
      </c>
      <c r="BR152" s="21">
        <f>EXP(-LN(2)/2)*BR151+(1-EXP(-LN(2)/2))/(LN(2)/2)*BL152*BO152*VLOOKUP('Données projet'!$B$11,Paramètres!$A$1:$I$89,3,0)*0.475*44/12</f>
        <v>2.4101122352318895E-12</v>
      </c>
      <c r="BS152" s="22">
        <f t="shared" si="117"/>
        <v>27.937456059079729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1.7053025658242404E-13</v>
      </c>
      <c r="BZ152" s="13">
        <f>BY152*VLOOKUP('Données projet'!$B$12,Paramètres!$A$1:$I$89,3,0)*VLOOKUP('Données projet'!$B$12,Paramètres!$A$1:$I$89,5,0)</f>
        <v>7.9808160080574461E-14</v>
      </c>
      <c r="CA152" s="13">
        <f t="shared" si="147"/>
        <v>1.2308384591775343E-12</v>
      </c>
      <c r="CB152" s="20">
        <f t="shared" si="118"/>
        <v>2.282709528541206E-12</v>
      </c>
      <c r="CC152" s="59">
        <f t="shared" si="119"/>
        <v>293.33333333333559</v>
      </c>
      <c r="CD152" s="59">
        <f ca="1">AVERAGE(OFFSET($CC$3,0,0,'Données projet'!$E$12+1,1))-AVERAGE(OFFSET($H$3,0,0,'Données projet'!$E$12+1,1))</f>
        <v>337.10499990421835</v>
      </c>
      <c r="CE152" s="59">
        <f t="shared" si="148"/>
        <v>277.4254079562175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101.83649734028681</v>
      </c>
      <c r="CL152" s="21">
        <f>EXP(-LN(2)/25)*CL151+(1-EXP(-LN(2)/25))/(LN(2)/25)*Calculateur!CG152*Calculateur!CI152*VLOOKUP('Données projet'!$B$12,Paramètres!$A$1:$I$89,3,0)*0.475*44/12</f>
        <v>27.266626937086297</v>
      </c>
      <c r="CM152" s="21">
        <f>EXP(-LN(2)/2)*CM151+(1-EXP(-LN(2)/2))/(LN(2)/2)*CG152*CJ152*VLOOKUP('Données projet'!$B$12,Paramètres!$A$1:$I$89,3,0)*0.475*44/12</f>
        <v>6.3298151708161748E-2</v>
      </c>
      <c r="CN152" s="22">
        <f t="shared" si="120"/>
        <v>129.16642242908125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7.5191666666666634</v>
      </c>
      <c r="CT152" s="12">
        <f>IF('Données projet'!$A$140&gt;35,CT151+CS152-DB151,IF(A152&lt;'Données projet'!$A$140,$CQ$205^A152,IF(A152='Données projet'!$A$140,'Données projet'!$B$140,CT151+CS152-DB151)))</f>
        <v>356.56583333333305</v>
      </c>
      <c r="CU152" s="17">
        <f>CT152*VLOOKUP('Données projet'!$B$13,Paramètres!$A$1:$I$89,3,0)*VLOOKUP('Données projet'!$B$13,Paramètres!$A$1:$I$89,5,0)</f>
        <v>355.99532799999974</v>
      </c>
      <c r="CV152" s="13">
        <f t="shared" si="149"/>
        <v>82.795788593122282</v>
      </c>
      <c r="CW152" s="20">
        <f t="shared" si="121"/>
        <v>764.22786139968741</v>
      </c>
      <c r="CX152" s="59">
        <f t="shared" si="122"/>
        <v>1057.5611947330208</v>
      </c>
      <c r="CY152" s="59">
        <f ca="1">AVERAGE(OFFSET($CX$3,0,0,'Données projet'!$E$13+1,1))-AVERAGE(OFFSET($H$3,0,0,'Données projet'!$E$13+1,1))</f>
        <v>525.74725170626471</v>
      </c>
      <c r="CZ152" s="59">
        <f t="shared" si="150"/>
        <v>259.19103598192197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29.677969724949769</v>
      </c>
      <c r="DG152" s="21">
        <f>EXP(-LN(2)/25)*DG151+(1-EXP(-LN(2)/25))/(LN(2)/25)*Calculateur!DB152*Calculateur!DD152*VLOOKUP('Données projet'!$B$13,Paramètres!$A$1:$I$89,3,0)*0.475*44/12</f>
        <v>19.790415642506726</v>
      </c>
      <c r="DH152" s="21">
        <f>EXP(-LN(2)/2)*DH151+(1-EXP(-LN(2)/2))/(LN(2)/2)*DB152*DE152*VLOOKUP('Données projet'!$B$13,Paramètres!$A$1:$I$89,3,0)*0.475*44/12</f>
        <v>1.0280401509227202</v>
      </c>
      <c r="DI152" s="22">
        <f t="shared" si="123"/>
        <v>50.496425518379212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>
        <f>VLOOKUP(A152,'Données projet'!$A$165:$I$185,2,0)</f>
        <v>444.56</v>
      </c>
      <c r="DM152" s="12">
        <f>VLOOKUP(A152,'Données projet'!$A$165:$I$185,9,0)</f>
        <v>7.5999999999999988</v>
      </c>
      <c r="DN152" s="12">
        <f t="array" ref="DN152">INDEX(DM:DM,MIN(IF(ISNUMBER(DM152:DM348),ROW(DM152:DM348),"")))</f>
        <v>7.5999999999999988</v>
      </c>
      <c r="DO152" s="12">
        <f>IF('Données projet'!$A$166&gt;35,DO151+DN152-DW151,IF(A152&lt;'Données projet'!$A$166,$DL$205^A152,IF(A152='Données projet'!$A$166,'Données projet'!$B$166,DO151+DN152-DW151)))</f>
        <v>444.56000000000051</v>
      </c>
      <c r="DP152" s="17">
        <f>DO152*VLOOKUP('Données projet'!$B$14,Paramètres!$A$1:$I$89,3,0)*VLOOKUP('Données projet'!$B$14,Paramètres!$A$1:$I$89,5,0)</f>
        <v>402.23788800000051</v>
      </c>
      <c r="DQ152" s="13">
        <f t="shared" si="151"/>
        <v>92.230215246448978</v>
      </c>
      <c r="DR152" s="20">
        <f t="shared" si="124"/>
        <v>861.1986131542327</v>
      </c>
      <c r="DS152" s="59">
        <f t="shared" si="125"/>
        <v>1154.5319464875661</v>
      </c>
      <c r="DT152" s="59">
        <f ca="1">AVERAGE(OFFSET($DS$3,0,0,'Données projet'!$E$14+1,1))-AVERAGE(OFFSET($H$3,0,0,'Données projet'!$E$14+1,1))</f>
        <v>490.06222615476065</v>
      </c>
      <c r="DU152" s="59">
        <f t="shared" si="152"/>
        <v>310.43914804089906</v>
      </c>
      <c r="DV152" s="15">
        <f>IF(ISNA(VLOOKUP(A152,'Données projet'!$A$165:$I$185,3,0)),0,VLOOKUP(A152,'Données projet'!$A$165:$I$185,3,0))</f>
        <v>12</v>
      </c>
      <c r="DW152" s="15">
        <f>IF(ISNA(VLOOKUP(A152,'Données projet'!$A$165:$I$185,4,0)),0,VLOOKUP(A152,'Données projet'!$A$165:$I$185,4,0))</f>
        <v>176.67000000000002</v>
      </c>
      <c r="DX152" s="16">
        <f>IF(ISNA(VLOOKUP(A152,'Données projet'!$A$165:$I$185,5,0)),0%,VLOOKUP(A152,'Données projet'!$A$165:$I$185,5,0)*VLOOKUP('Données projet'!$B$14,Paramètres!$A$1:$I$89,7,0))</f>
        <v>0.19350000000000001</v>
      </c>
      <c r="DY152" s="16">
        <f>IF(ISNA(VLOOKUP(A152,'Données projet'!$A$165:$I$185,6,0)),0%,VLOOKUP(A152,'Données projet'!$A$165:$I$185,6,0)*VLOOKUP('Données projet'!$B$14,Paramètres!$A$1:$I$89,7,0))</f>
        <v>2.1500000000000002E-2</v>
      </c>
      <c r="DZ152" s="16">
        <f>IF(ISNA(VLOOKUP(A152,'Données projet'!$A$165:$I$185,7,0)),0%,VLOOKUP(A152,'Données projet'!$A$165:$I$185,7,0))</f>
        <v>0.05</v>
      </c>
      <c r="EA152" s="21">
        <f>EXP(-LN(2)/35)*EA151+(1-EXP(-LN(2)/35))/(LN(2)/35)*DW152*DX152*VLOOKUP('Données projet'!$B$14,Paramètres!$A$1:$I$89,3,0)*0.475*44/12</f>
        <v>72.810709588964016</v>
      </c>
      <c r="EB152" s="21">
        <f>EXP(-LN(2)/25)*EB151+(1-EXP(-LN(2)/25))/(LN(2)/25)*Calculateur!DW152*Calculateur!DY152*VLOOKUP('Données projet'!$B$14,Paramètres!$A$1:$I$89,3,0)*0.475*44/12</f>
        <v>19.508946680322214</v>
      </c>
      <c r="EC152" s="21">
        <f>EXP(-LN(2)/2)*EC151+(1-EXP(-LN(2)/2))/(LN(2)/2)*DW152*DZ152*VLOOKUP('Données projet'!$B$14,Paramètres!$A$1:$I$89,3,0)*0.475*44/12</f>
        <v>7.5411873884724425</v>
      </c>
      <c r="ED152" s="22">
        <f t="shared" si="126"/>
        <v>99.860843657758664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7.5191666666666634</v>
      </c>
      <c r="EJ152" s="12">
        <f>IF('Données projet'!$A$192&gt;35,EJ151+EI152-ER151,IF(A152&lt;'Données projet'!$A$192,$EG$205^A152,IF(A152='Données projet'!$A$192,'Données projet'!$B$192,EJ151+EI152-ER151)))</f>
        <v>356.56583333333305</v>
      </c>
      <c r="EK152" s="17">
        <f>EJ152*VLOOKUP('Données projet'!$B$15,Paramètres!$A$1:$I$89,3,0)*VLOOKUP('Données projet'!$B$15,Paramètres!$A$1:$I$89,5,0)</f>
        <v>361.5577549999997</v>
      </c>
      <c r="EL152" s="13">
        <f t="shared" si="153"/>
        <v>83.937854438215282</v>
      </c>
      <c r="EM152" s="20">
        <f t="shared" si="127"/>
        <v>775.904853104891</v>
      </c>
      <c r="EN152" s="59">
        <f t="shared" si="128"/>
        <v>1069.2381864382244</v>
      </c>
      <c r="EO152" s="59">
        <f ca="1">AVERAGE(OFFSET($EN$3,0,0,'Données projet'!$E$15+1,1))-AVERAGE(OFFSET($H$3,0,0,'Données projet'!$E$15+1,1))</f>
        <v>533.26035274112917</v>
      </c>
      <c r="EP152" s="59">
        <f t="shared" si="154"/>
        <v>262.58149402282521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30.141688001902104</v>
      </c>
      <c r="EW152" s="21">
        <f>EXP(-LN(2)/25)*EW151+(1-EXP(-LN(2)/25))/(LN(2)/25)*Calculateur!ER152*Calculateur!ET152*VLOOKUP('Données projet'!$B$15,Paramètres!$A$1:$I$89,3,0)*0.475*44/12</f>
        <v>20.099640886920898</v>
      </c>
      <c r="EX152" s="21">
        <f>EXP(-LN(2)/2)*EX151+(1-EXP(-LN(2)/2))/(LN(2)/2)*ER152*EU152*VLOOKUP('Données projet'!$B$15,Paramètres!$A$1:$I$89,3,0)*0.475*44/12</f>
        <v>1.0441032782808872</v>
      </c>
      <c r="EY152" s="22">
        <f t="shared" si="129"/>
        <v>51.285432167103892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239.26156489359892</v>
      </c>
      <c r="FK152" s="59">
        <f t="shared" si="156"/>
        <v>213.97034450798111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3.36153934532242</v>
      </c>
      <c r="FR152" s="21">
        <f>EXP(-LN(2)/25)*FR151+(1-EXP(-LN(2)/25))/(LN(2)/25)*Calculateur!FM152*Calculateur!FO152*VLOOKUP('Données projet'!$B$16,Paramètres!$A$1:$I$89,3,0)*0.475*44/12</f>
        <v>12.439934196293873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15.801473541616293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2.5579538487363607E-13</v>
      </c>
      <c r="O153" s="13">
        <f>N153*VLOOKUP('Données projet'!$B$9,Paramètres!$A$1:$I$89,3,0)*VLOOKUP('Données projet'!$B$9,Paramètres!$A$1:$I$89,5,0)</f>
        <v>2.4341488824575211E-13</v>
      </c>
      <c r="P153" s="13">
        <f t="shared" si="141"/>
        <v>3.2970717324875541E-12</v>
      </c>
      <c r="Q153" s="20">
        <f t="shared" si="108"/>
        <v>6.1663475311105072E-12</v>
      </c>
      <c r="R153" s="59">
        <f t="shared" si="109"/>
        <v>293.33333333333945</v>
      </c>
      <c r="S153" s="59">
        <f ca="1">AVERAGE(OFFSET($R$3,0,0,'Données projet'!$E$9+1,1))-AVERAGE(OFFSET($H$3,0,0,'Données projet'!$E$9+1,1))</f>
        <v>449.28947235329758</v>
      </c>
      <c r="T153" s="59">
        <f t="shared" si="142"/>
        <v>289.36994109443964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79.95300346517601</v>
      </c>
      <c r="AA153" s="21">
        <f>EXP(-LN(2)/25)*AA152+(1-EXP(-LN(2)/25))/(LN(2)/25)*Calculateur!V153*Calculateur!X153*VLOOKUP('Données projet'!$B$9,Paramètres!$A$1:$I$89,3,0)*0.475*44/12</f>
        <v>14.220121876721572</v>
      </c>
      <c r="AB153" s="21">
        <f>EXP(-LN(2)/2)*AB152+(1-EXP(-LN(2)/2))/(LN(2)/2)*V153*Y153*VLOOKUP('Données projet'!$B$9,Paramètres!$A$1:$I$89,3,0)*0.475*44/12</f>
        <v>6.9935976307104611E-3</v>
      </c>
      <c r="AC153" s="22">
        <f t="shared" si="111"/>
        <v>94.180118939528299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-2.2737367544323206E-13</v>
      </c>
      <c r="AJ153" s="13">
        <f>AI153*VLOOKUP('Données projet'!$B$10,Paramètres!$A$1:$I$89,3,0)*VLOOKUP('Données projet'!$B$10,Paramètres!$A$1:$I$89,5,0)</f>
        <v>-1.3596945791505279E-13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349.71285006949597</v>
      </c>
      <c r="AO153" s="59">
        <f t="shared" si="144"/>
        <v>258.51550516456842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38.316867584413508</v>
      </c>
      <c r="AV153" s="21">
        <f>EXP(-LN(2)/25)*AV152+(1-EXP(-LN(2)/25))/(LN(2)/25)*Calculateur!AQ153*Calculateur!AS153*VLOOKUP('Données projet'!$B$10,Paramètres!$A$1:$I$89,3,0)*0.475*44/12</f>
        <v>7.4298344863480281</v>
      </c>
      <c r="AW153" s="21">
        <f>EXP(-LN(2)/2)*AW152+(1-EXP(-LN(2)/2))/(LN(2)/2)*AQ153*AT153*VLOOKUP('Données projet'!$B$10,Paramètres!$A$1:$I$89,3,0)*0.475*44/12</f>
        <v>2.0581251825557762E-9</v>
      </c>
      <c r="AX153" s="21">
        <f t="shared" si="114"/>
        <v>45.746702072819659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1.1368683772161603E-13</v>
      </c>
      <c r="BE153" s="13">
        <f>BD153*VLOOKUP('Données projet'!$B$11,Paramètres!$A$1:$I$89,3,0)*VLOOKUP('Données projet'!$B$11,Paramètres!$A$1:$I$89,5,0)</f>
        <v>6.7984728957526396E-14</v>
      </c>
      <c r="BF153" s="13">
        <f t="shared" si="145"/>
        <v>1.0682447123141398E-12</v>
      </c>
      <c r="BG153" s="20">
        <f t="shared" si="115"/>
        <v>1.978932943548152E-12</v>
      </c>
      <c r="BH153" s="59">
        <f t="shared" si="116"/>
        <v>293.3333333333353</v>
      </c>
      <c r="BI153" s="59">
        <f ca="1">AVERAGE(OFFSET($BH$3,0,0,'Données projet'!$E$11+1,1))-AVERAGE(OFFSET($H$3,0,0,'Données projet'!$E$11+1,1))</f>
        <v>302.00825291248458</v>
      </c>
      <c r="BJ153" s="59">
        <f t="shared" si="146"/>
        <v>307.35115839449355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23.362995055673842</v>
      </c>
      <c r="BQ153" s="21">
        <f>EXP(-LN(2)/25)*BQ152+(1-EXP(-LN(2)/25))/(LN(2)/25)*Calculateur!BL153*Calculateur!BN153*VLOOKUP('Données projet'!$B$11,Paramètres!$A$1:$I$89,3,0)*0.475*44/12</f>
        <v>3.9948528994586212</v>
      </c>
      <c r="BR153" s="21">
        <f>EXP(-LN(2)/2)*BR152+(1-EXP(-LN(2)/2))/(LN(2)/2)*BL153*BO153*VLOOKUP('Données projet'!$B$11,Paramètres!$A$1:$I$89,3,0)*0.475*44/12</f>
        <v>1.7042067049531367E-12</v>
      </c>
      <c r="BS153" s="22">
        <f t="shared" si="117"/>
        <v>27.357847955134169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1.7053025658242404E-13</v>
      </c>
      <c r="BZ153" s="13">
        <f>BY153*VLOOKUP('Données projet'!$B$12,Paramètres!$A$1:$I$89,3,0)*VLOOKUP('Données projet'!$B$12,Paramètres!$A$1:$I$89,5,0)</f>
        <v>7.9808160080574461E-14</v>
      </c>
      <c r="CA153" s="13">
        <f t="shared" si="147"/>
        <v>1.2308384591775343E-12</v>
      </c>
      <c r="CB153" s="20">
        <f t="shared" si="118"/>
        <v>2.282709528541206E-12</v>
      </c>
      <c r="CC153" s="59">
        <f t="shared" si="119"/>
        <v>293.33333333333559</v>
      </c>
      <c r="CD153" s="59">
        <f ca="1">AVERAGE(OFFSET($CC$3,0,0,'Données projet'!$E$12+1,1))-AVERAGE(OFFSET($H$3,0,0,'Données projet'!$E$12+1,1))</f>
        <v>337.10499990421835</v>
      </c>
      <c r="CE153" s="59">
        <f t="shared" si="148"/>
        <v>277.4254079562175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99.8395457415739</v>
      </c>
      <c r="CL153" s="21">
        <f>EXP(-LN(2)/25)*CL152+(1-EXP(-LN(2)/25))/(LN(2)/25)*Calculateur!CG153*Calculateur!CI153*VLOOKUP('Données projet'!$B$12,Paramètres!$A$1:$I$89,3,0)*0.475*44/12</f>
        <v>26.52101958960208</v>
      </c>
      <c r="CM153" s="21">
        <f>EXP(-LN(2)/2)*CM152+(1-EXP(-LN(2)/2))/(LN(2)/2)*CG153*CJ153*VLOOKUP('Données projet'!$B$12,Paramètres!$A$1:$I$89,3,0)*0.475*44/12</f>
        <v>4.4758552309416021E-2</v>
      </c>
      <c r="CN153" s="22">
        <f t="shared" si="120"/>
        <v>126.40532388348539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7.5191666666666634</v>
      </c>
      <c r="CT153" s="12">
        <f>IF('Données projet'!$A$140&gt;35,CT152+CS153-DB152,IF(A153&lt;'Données projet'!$A$140,$CQ$205^A153,IF(A153='Données projet'!$A$140,'Données projet'!$B$140,CT152+CS153-DB152)))</f>
        <v>364.0849999999997</v>
      </c>
      <c r="CU153" s="17">
        <f>CT153*VLOOKUP('Données projet'!$B$13,Paramètres!$A$1:$I$89,3,0)*VLOOKUP('Données projet'!$B$13,Paramètres!$A$1:$I$89,5,0)</f>
        <v>363.50246399999969</v>
      </c>
      <c r="CV153" s="13">
        <f t="shared" si="149"/>
        <v>84.336654128776331</v>
      </c>
      <c r="CW153" s="20">
        <f t="shared" si="121"/>
        <v>779.98646407428487</v>
      </c>
      <c r="CX153" s="59">
        <f t="shared" si="122"/>
        <v>1073.3197974076181</v>
      </c>
      <c r="CY153" s="59">
        <f ca="1">AVERAGE(OFFSET($CX$3,0,0,'Données projet'!$E$13+1,1))-AVERAGE(OFFSET($H$3,0,0,'Données projet'!$E$13+1,1))</f>
        <v>525.74725170626471</v>
      </c>
      <c r="CZ153" s="59">
        <f t="shared" si="150"/>
        <v>259.19103598192197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29.096002840417633</v>
      </c>
      <c r="DG153" s="21">
        <f>EXP(-LN(2)/25)*DG152+(1-EXP(-LN(2)/25))/(LN(2)/25)*Calculateur!DB153*Calculateur!DD153*VLOOKUP('Données projet'!$B$13,Paramètres!$A$1:$I$89,3,0)*0.475*44/12</f>
        <v>19.249245686029653</v>
      </c>
      <c r="DH153" s="21">
        <f>EXP(-LN(2)/2)*DH152+(1-EXP(-LN(2)/2))/(LN(2)/2)*DB153*DE153*VLOOKUP('Données projet'!$B$13,Paramètres!$A$1:$I$89,3,0)*0.475*44/12</f>
        <v>0.72693416204949723</v>
      </c>
      <c r="DI153" s="22">
        <f t="shared" si="123"/>
        <v>49.072182688496781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4.6025000000000063</v>
      </c>
      <c r="DO153" s="12">
        <f>IF('Données projet'!$A$166&gt;35,DO152+DN153-DW152,IF(A153&lt;'Données projet'!$A$166,$DL$205^A153,IF(A153='Données projet'!$A$166,'Données projet'!$B$166,DO152+DN153-DW152)))</f>
        <v>272.49250000000052</v>
      </c>
      <c r="DP153" s="17">
        <f>DO153*VLOOKUP('Données projet'!$B$14,Paramètres!$A$1:$I$89,3,0)*VLOOKUP('Données projet'!$B$14,Paramètres!$A$1:$I$89,5,0)</f>
        <v>246.55121400000044</v>
      </c>
      <c r="DQ153" s="13">
        <f t="shared" si="151"/>
        <v>59.846839241174408</v>
      </c>
      <c r="DR153" s="20">
        <f t="shared" si="124"/>
        <v>533.64327606171275</v>
      </c>
      <c r="DS153" s="59">
        <f t="shared" si="125"/>
        <v>826.97660939504613</v>
      </c>
      <c r="DT153" s="59">
        <f ca="1">AVERAGE(OFFSET($DS$3,0,0,'Données projet'!$E$14+1,1))-AVERAGE(OFFSET($H$3,0,0,'Données projet'!$E$14+1,1))</f>
        <v>490.06222615476065</v>
      </c>
      <c r="DU153" s="59">
        <f t="shared" si="152"/>
        <v>310.43914804089906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71.382935984072148</v>
      </c>
      <c r="EB153" s="21">
        <f>EXP(-LN(2)/25)*EB152+(1-EXP(-LN(2)/25))/(LN(2)/25)*Calculateur!DW153*Calculateur!DY153*VLOOKUP('Données projet'!$B$14,Paramètres!$A$1:$I$89,3,0)*0.475*44/12</f>
        <v>18.975473507417885</v>
      </c>
      <c r="EC153" s="21">
        <f>EXP(-LN(2)/2)*EC152+(1-EXP(-LN(2)/2))/(LN(2)/2)*DW153*DZ153*VLOOKUP('Données projet'!$B$14,Paramètres!$A$1:$I$89,3,0)*0.475*44/12</f>
        <v>5.332424740587336</v>
      </c>
      <c r="ED153" s="22">
        <f t="shared" si="126"/>
        <v>95.690834232077378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7.5191666666666634</v>
      </c>
      <c r="EJ153" s="12">
        <f>IF('Données projet'!$A$192&gt;35,EJ152+EI153-ER152,IF(A153&lt;'Données projet'!$A$192,$EG$205^A153,IF(A153='Données projet'!$A$192,'Données projet'!$B$192,EJ152+EI153-ER152)))</f>
        <v>364.0849999999997</v>
      </c>
      <c r="EK153" s="17">
        <f>EJ153*VLOOKUP('Données projet'!$B$15,Paramètres!$A$1:$I$89,3,0)*VLOOKUP('Données projet'!$B$15,Paramètres!$A$1:$I$89,5,0)</f>
        <v>369.18218999999971</v>
      </c>
      <c r="EL153" s="13">
        <f t="shared" si="153"/>
        <v>85.499974314579831</v>
      </c>
      <c r="EM153" s="20">
        <f t="shared" si="127"/>
        <v>791.90476951455923</v>
      </c>
      <c r="EN153" s="59">
        <f t="shared" si="128"/>
        <v>1085.2381028478926</v>
      </c>
      <c r="EO153" s="59">
        <f ca="1">AVERAGE(OFFSET($EN$3,0,0,'Données projet'!$E$15+1,1))-AVERAGE(OFFSET($H$3,0,0,'Données projet'!$E$15+1,1))</f>
        <v>533.26035274112917</v>
      </c>
      <c r="EP153" s="59">
        <f t="shared" si="154"/>
        <v>262.58149402282521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29.550627884799155</v>
      </c>
      <c r="EW153" s="21">
        <f>EXP(-LN(2)/25)*EW152+(1-EXP(-LN(2)/25))/(LN(2)/25)*Calculateur!ER153*Calculateur!ET153*VLOOKUP('Données projet'!$B$15,Paramètres!$A$1:$I$89,3,0)*0.475*44/12</f>
        <v>19.550015149873872</v>
      </c>
      <c r="EX153" s="21">
        <f>EXP(-LN(2)/2)*EX152+(1-EXP(-LN(2)/2))/(LN(2)/2)*ER153*EU153*VLOOKUP('Données projet'!$B$15,Paramètres!$A$1:$I$89,3,0)*0.475*44/12</f>
        <v>0.73829250833152027</v>
      </c>
      <c r="EY153" s="22">
        <f t="shared" si="129"/>
        <v>49.838935543004546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239.26156489359892</v>
      </c>
      <c r="FK153" s="59">
        <f t="shared" si="156"/>
        <v>213.97034450798111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3.2956216090971941</v>
      </c>
      <c r="FR153" s="21">
        <f>EXP(-LN(2)/25)*FR152+(1-EXP(-LN(2)/25))/(LN(2)/25)*Calculateur!FM153*Calculateur!FO153*VLOOKUP('Données projet'!$B$16,Paramètres!$A$1:$I$89,3,0)*0.475*44/12</f>
        <v>12.099763541508509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15.395385150605703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2.5579538487363607E-13</v>
      </c>
      <c r="O154" s="13">
        <f>N154*VLOOKUP('Données projet'!$B$9,Paramètres!$A$1:$I$89,3,0)*VLOOKUP('Données projet'!$B$9,Paramètres!$A$1:$I$89,5,0)</f>
        <v>2.4341488824575211E-13</v>
      </c>
      <c r="P154" s="13">
        <f t="shared" si="141"/>
        <v>3.2970717324875541E-12</v>
      </c>
      <c r="Q154" s="20">
        <f t="shared" ref="Q154:Q203" si="162">(O154+P154)*0.475*44/12</f>
        <v>6.1663475311105072E-12</v>
      </c>
      <c r="R154" s="59">
        <f t="shared" si="109"/>
        <v>293.33333333333945</v>
      </c>
      <c r="S154" s="59">
        <f ca="1">AVERAGE(OFFSET($R$3,0,0,'Données projet'!$E$9+1,1))-AVERAGE(OFFSET($H$3,0,0,'Données projet'!$E$9+1,1))</f>
        <v>449.28947235329758</v>
      </c>
      <c r="T154" s="59">
        <f t="shared" si="142"/>
        <v>289.36994109443964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78.385173833740723</v>
      </c>
      <c r="AA154" s="21">
        <f>EXP(-LN(2)/25)*AA153+(1-EXP(-LN(2)/25))/(LN(2)/25)*Calculateur!V154*Calculateur!X154*VLOOKUP('Données projet'!$B$9,Paramètres!$A$1:$I$89,3,0)*0.475*44/12</f>
        <v>13.831271896198912</v>
      </c>
      <c r="AB154" s="21">
        <f>EXP(-LN(2)/2)*AB153+(1-EXP(-LN(2)/2))/(LN(2)/2)*V154*Y154*VLOOKUP('Données projet'!$B$9,Paramètres!$A$1:$I$89,3,0)*0.475*44/12</f>
        <v>4.9452203095655392E-3</v>
      </c>
      <c r="AC154" s="22">
        <f t="shared" ref="AC154:AC203" si="163">SUM(Z154:AB154)</f>
        <v>92.221390950249202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-1.3596945791505279E-13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349.71285006949597</v>
      </c>
      <c r="AO154" s="59">
        <f t="shared" si="144"/>
        <v>258.51550516456842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37.565497182064696</v>
      </c>
      <c r="AV154" s="21">
        <f>EXP(-LN(2)/25)*AV153+(1-EXP(-LN(2)/25))/(LN(2)/25)*Calculateur!AQ154*Calculateur!AS154*VLOOKUP('Données projet'!$B$10,Paramètres!$A$1:$I$89,3,0)*0.475*44/12</f>
        <v>7.2266652716008268</v>
      </c>
      <c r="AW154" s="21">
        <f>EXP(-LN(2)/2)*AW153+(1-EXP(-LN(2)/2))/(LN(2)/2)*AQ154*AT154*VLOOKUP('Données projet'!$B$10,Paramètres!$A$1:$I$89,3,0)*0.475*44/12</f>
        <v>1.4553142731159904E-9</v>
      </c>
      <c r="AX154" s="21">
        <f t="shared" ref="AX154:AX203" si="166">SUM(AU154:AW154)</f>
        <v>44.792162455120838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1.1368683772161603E-13</v>
      </c>
      <c r="BE154" s="13">
        <f>BD154*VLOOKUP('Données projet'!$B$11,Paramètres!$A$1:$I$89,3,0)*VLOOKUP('Données projet'!$B$11,Paramètres!$A$1:$I$89,5,0)</f>
        <v>6.7984728957526396E-14</v>
      </c>
      <c r="BF154" s="13">
        <f t="shared" ref="BF154:BF203" si="167">EXP(-1.0587+0.8836*LN(BE154)+0.284)</f>
        <v>1.0682447123141398E-12</v>
      </c>
      <c r="BG154" s="20">
        <f t="shared" ref="BG154:BG203" si="168">(BE154+BF154)*0.475*44/12</f>
        <v>1.978932943548152E-12</v>
      </c>
      <c r="BH154" s="59">
        <f t="shared" si="116"/>
        <v>293.3333333333353</v>
      </c>
      <c r="BI154" s="59">
        <f ca="1">AVERAGE(OFFSET($BH$3,0,0,'Données projet'!$E$11+1,1))-AVERAGE(OFFSET($H$3,0,0,'Données projet'!$E$11+1,1))</f>
        <v>302.00825291248458</v>
      </c>
      <c r="BJ154" s="59">
        <f t="shared" si="146"/>
        <v>307.35115839449355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22.904860972651989</v>
      </c>
      <c r="BQ154" s="21">
        <f>EXP(-LN(2)/25)*BQ153+(1-EXP(-LN(2)/25))/(LN(2)/25)*Calculateur!BL154*Calculateur!BN154*VLOOKUP('Données projet'!$B$11,Paramètres!$A$1:$I$89,3,0)*0.475*44/12</f>
        <v>3.8856134368427417</v>
      </c>
      <c r="BR154" s="21">
        <f>EXP(-LN(2)/2)*BR153+(1-EXP(-LN(2)/2))/(LN(2)/2)*BL154*BO154*VLOOKUP('Données projet'!$B$11,Paramètres!$A$1:$I$89,3,0)*0.475*44/12</f>
        <v>1.2050561176159448E-12</v>
      </c>
      <c r="BS154" s="22">
        <f t="shared" ref="BS154:BS203" si="169">SUM(BP154:BR154)</f>
        <v>26.790474409495936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1.7053025658242404E-13</v>
      </c>
      <c r="BZ154" s="13">
        <f>BY154*VLOOKUP('Données projet'!$B$12,Paramètres!$A$1:$I$89,3,0)*VLOOKUP('Données projet'!$B$12,Paramètres!$A$1:$I$89,5,0)</f>
        <v>7.9808160080574461E-14</v>
      </c>
      <c r="CA154" s="13">
        <f t="shared" ref="CA154:CA203" si="170">EXP(-1.0587+0.8836*LN(BZ154)+0.284)</f>
        <v>1.2308384591775343E-12</v>
      </c>
      <c r="CB154" s="20">
        <f t="shared" ref="CB154:CB203" si="171">(BZ154+CA154)*0.475*44/12</f>
        <v>2.282709528541206E-12</v>
      </c>
      <c r="CC154" s="59">
        <f t="shared" si="119"/>
        <v>293.33333333333559</v>
      </c>
      <c r="CD154" s="59">
        <f ca="1">AVERAGE(OFFSET($CC$3,0,0,'Données projet'!$E$12+1,1))-AVERAGE(OFFSET($H$3,0,0,'Données projet'!$E$12+1,1))</f>
        <v>337.10499990421835</v>
      </c>
      <c r="CE154" s="59">
        <f t="shared" si="148"/>
        <v>277.4254079562175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97.881753145691548</v>
      </c>
      <c r="CL154" s="21">
        <f>EXP(-LN(2)/25)*CL153+(1-EXP(-LN(2)/25))/(LN(2)/25)*Calculateur!CG154*Calculateur!CI154*VLOOKUP('Données projet'!$B$12,Paramètres!$A$1:$I$89,3,0)*0.475*44/12</f>
        <v>25.795800914244605</v>
      </c>
      <c r="CM154" s="21">
        <f>EXP(-LN(2)/2)*CM153+(1-EXP(-LN(2)/2))/(LN(2)/2)*CG154*CJ154*VLOOKUP('Données projet'!$B$12,Paramètres!$A$1:$I$89,3,0)*0.475*44/12</f>
        <v>3.1649075854080874E-2</v>
      </c>
      <c r="CN154" s="22">
        <f t="shared" ref="CN154:CN203" si="172">SUM(CK154:CM154)</f>
        <v>123.70920313579023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7.5191666666666634</v>
      </c>
      <c r="CT154" s="12">
        <f>IF('Données projet'!$A$140&gt;35,CT153+CS154-DB153,IF(A154&lt;'Données projet'!$A$140,$CQ$205^A154,IF(A154='Données projet'!$A$140,'Données projet'!$B$140,CT153+CS154-DB153)))</f>
        <v>371.60416666666634</v>
      </c>
      <c r="CU154" s="17">
        <f>CT154*VLOOKUP('Données projet'!$B$13,Paramètres!$A$1:$I$89,3,0)*VLOOKUP('Données projet'!$B$13,Paramètres!$A$1:$I$89,5,0)</f>
        <v>371.00959999999969</v>
      </c>
      <c r="CV154" s="13">
        <f t="shared" ref="CV154:CV203" si="173">EXP(-1.0587+0.8836*LN(CU154)+0.284)</f>
        <v>85.873819718472461</v>
      </c>
      <c r="CW154" s="20">
        <f t="shared" ref="CW154:CW203" si="174">(CU154+CV154)*0.475*44/12</f>
        <v>795.73862267633888</v>
      </c>
      <c r="CX154" s="59">
        <f t="shared" si="122"/>
        <v>1089.0719560096722</v>
      </c>
      <c r="CY154" s="59">
        <f ca="1">AVERAGE(OFFSET($CX$3,0,0,'Données projet'!$E$13+1,1))-AVERAGE(OFFSET($H$3,0,0,'Données projet'!$E$13+1,1))</f>
        <v>525.74725170626471</v>
      </c>
      <c r="CZ154" s="59">
        <f t="shared" si="150"/>
        <v>259.19103598192197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28.525447971526425</v>
      </c>
      <c r="DG154" s="21">
        <f>EXP(-LN(2)/25)*DG153+(1-EXP(-LN(2)/25))/(LN(2)/25)*Calculateur!DB154*Calculateur!DD154*VLOOKUP('Données projet'!$B$13,Paramètres!$A$1:$I$89,3,0)*0.475*44/12</f>
        <v>18.722874050471336</v>
      </c>
      <c r="DH154" s="21">
        <f>EXP(-LN(2)/2)*DH153+(1-EXP(-LN(2)/2))/(LN(2)/2)*DB154*DE154*VLOOKUP('Données projet'!$B$13,Paramètres!$A$1:$I$89,3,0)*0.475*44/12</f>
        <v>0.51402007546136019</v>
      </c>
      <c r="DI154" s="22">
        <f t="shared" ref="DI154:DI203" si="175">SUM(DF154:DH154)</f>
        <v>47.762342097459126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4.6025000000000063</v>
      </c>
      <c r="DO154" s="12">
        <f>IF('Données projet'!$A$166&gt;35,DO153+DN154-DW153,IF(A154&lt;'Données projet'!$A$166,$DL$205^A154,IF(A154='Données projet'!$A$166,'Données projet'!$B$166,DO153+DN154-DW153)))</f>
        <v>277.09500000000054</v>
      </c>
      <c r="DP154" s="17">
        <f>DO154*VLOOKUP('Données projet'!$B$14,Paramètres!$A$1:$I$89,3,0)*VLOOKUP('Données projet'!$B$14,Paramètres!$A$1:$I$89,5,0)</f>
        <v>250.71555600000048</v>
      </c>
      <c r="DQ154" s="13">
        <f t="shared" ref="DQ154:DQ203" si="176">EXP(-1.0587+0.8836*LN(DP154)+0.284)</f>
        <v>60.739140902774786</v>
      </c>
      <c r="DR154" s="20">
        <f t="shared" ref="DR154:DR203" si="177">(DP154+DQ154)*0.475*44/12</f>
        <v>542.45026377233353</v>
      </c>
      <c r="DS154" s="59">
        <f t="shared" si="125"/>
        <v>835.78359710566679</v>
      </c>
      <c r="DT154" s="59">
        <f ca="1">AVERAGE(OFFSET($DS$3,0,0,'Données projet'!$E$14+1,1))-AVERAGE(OFFSET($H$3,0,0,'Données projet'!$E$14+1,1))</f>
        <v>490.06222615476065</v>
      </c>
      <c r="DU154" s="59">
        <f t="shared" si="152"/>
        <v>310.43914804089906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69.983160148716294</v>
      </c>
      <c r="EB154" s="21">
        <f>EXP(-LN(2)/25)*EB153+(1-EXP(-LN(2)/25))/(LN(2)/25)*Calculateur!DW154*Calculateur!DY154*VLOOKUP('Données projet'!$B$14,Paramètres!$A$1:$I$89,3,0)*0.475*44/12</f>
        <v>18.456588186480761</v>
      </c>
      <c r="EC154" s="21">
        <f>EXP(-LN(2)/2)*EC153+(1-EXP(-LN(2)/2))/(LN(2)/2)*DW154*DZ154*VLOOKUP('Données projet'!$B$14,Paramètres!$A$1:$I$89,3,0)*0.475*44/12</f>
        <v>3.7705936942362221</v>
      </c>
      <c r="ED154" s="22">
        <f t="shared" ref="ED154:ED203" si="178">SUM(EA154:EC154)</f>
        <v>92.210342029433278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7.5191666666666634</v>
      </c>
      <c r="EJ154" s="12">
        <f>IF('Données projet'!$A$192&gt;35,EJ153+EI154-ER153,IF(A154&lt;'Données projet'!$A$192,$EG$205^A154,IF(A154='Données projet'!$A$192,'Données projet'!$B$192,EJ153+EI154-ER153)))</f>
        <v>371.60416666666634</v>
      </c>
      <c r="EK154" s="17">
        <f>EJ154*VLOOKUP('Données projet'!$B$15,Paramètres!$A$1:$I$89,3,0)*VLOOKUP('Données projet'!$B$15,Paramètres!$A$1:$I$89,5,0)</f>
        <v>376.80662499999971</v>
      </c>
      <c r="EL154" s="13">
        <f t="shared" ref="EL154:EL203" si="179">EXP(-1.0587+0.8836*LN(EK154)+0.284)</f>
        <v>87.058343208792692</v>
      </c>
      <c r="EM154" s="20">
        <f t="shared" ref="EM154:EM203" si="180">(EK154+EL154)*0.475*44/12</f>
        <v>807.89815296364668</v>
      </c>
      <c r="EN154" s="59">
        <f t="shared" si="128"/>
        <v>1101.2314862969799</v>
      </c>
      <c r="EO154" s="59">
        <f ca="1">AVERAGE(OFFSET($EN$3,0,0,'Données projet'!$E$15+1,1))-AVERAGE(OFFSET($H$3,0,0,'Données projet'!$E$15+1,1))</f>
        <v>533.26035274112917</v>
      </c>
      <c r="EP154" s="59">
        <f t="shared" si="154"/>
        <v>262.58149402282521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28.97115809608152</v>
      </c>
      <c r="EW154" s="21">
        <f>EXP(-LN(2)/25)*EW153+(1-EXP(-LN(2)/25))/(LN(2)/25)*Calculateur!ER154*Calculateur!ET154*VLOOKUP('Données projet'!$B$15,Paramètres!$A$1:$I$89,3,0)*0.475*44/12</f>
        <v>19.015418957509954</v>
      </c>
      <c r="EX154" s="21">
        <f>EXP(-LN(2)/2)*EX153+(1-EXP(-LN(2)/2))/(LN(2)/2)*ER154*EU154*VLOOKUP('Données projet'!$B$15,Paramètres!$A$1:$I$89,3,0)*0.475*44/12</f>
        <v>0.52205163914044361</v>
      </c>
      <c r="EY154" s="22">
        <f t="shared" ref="EY154:EY203" si="181">SUM(EV154:EX154)</f>
        <v>48.508628692731918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239.26156489359892</v>
      </c>
      <c r="FK154" s="59">
        <f t="shared" si="156"/>
        <v>213.97034450798111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3.2309964794734958</v>
      </c>
      <c r="FR154" s="21">
        <f>EXP(-LN(2)/25)*FR153+(1-EXP(-LN(2)/25))/(LN(2)/25)*Calculateur!FM154*Calculateur!FO154*VLOOKUP('Données projet'!$B$16,Paramètres!$A$1:$I$89,3,0)*0.475*44/12</f>
        <v>11.768894871167047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14.999891350640542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2.5579538487363607E-13</v>
      </c>
      <c r="O155" s="13">
        <f>N155*VLOOKUP('Données projet'!$B$9,Paramètres!$A$1:$I$89,3,0)*VLOOKUP('Données projet'!$B$9,Paramètres!$A$1:$I$89,5,0)</f>
        <v>2.4341488824575211E-13</v>
      </c>
      <c r="P155" s="13">
        <f t="shared" si="141"/>
        <v>3.2970717324875541E-12</v>
      </c>
      <c r="Q155" s="20">
        <f t="shared" si="162"/>
        <v>6.1663475311105072E-12</v>
      </c>
      <c r="R155" s="59">
        <f t="shared" si="109"/>
        <v>293.33333333333945</v>
      </c>
      <c r="S155" s="59">
        <f ca="1">AVERAGE(OFFSET($R$3,0,0,'Données projet'!$E$9+1,1))-AVERAGE(OFFSET($H$3,0,0,'Données projet'!$E$9+1,1))</f>
        <v>449.28947235329758</v>
      </c>
      <c r="T155" s="59">
        <f t="shared" si="142"/>
        <v>289.36994109443964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76.848088385096233</v>
      </c>
      <c r="AA155" s="21">
        <f>EXP(-LN(2)/25)*AA154+(1-EXP(-LN(2)/25))/(LN(2)/25)*Calculateur!V155*Calculateur!X155*VLOOKUP('Données projet'!$B$9,Paramètres!$A$1:$I$89,3,0)*0.475*44/12</f>
        <v>13.453055038842376</v>
      </c>
      <c r="AB155" s="21">
        <f>EXP(-LN(2)/2)*AB154+(1-EXP(-LN(2)/2))/(LN(2)/2)*V155*Y155*VLOOKUP('Données projet'!$B$9,Paramètres!$A$1:$I$89,3,0)*0.475*44/12</f>
        <v>3.4967988153552306E-3</v>
      </c>
      <c r="AC155" s="22">
        <f t="shared" si="163"/>
        <v>90.30464022275396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-1.3596945791505279E-13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349.71285006949597</v>
      </c>
      <c r="AO155" s="59">
        <f t="shared" si="144"/>
        <v>258.51550516456842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36.828860695015251</v>
      </c>
      <c r="AV155" s="21">
        <f>EXP(-LN(2)/25)*AV154+(1-EXP(-LN(2)/25))/(LN(2)/25)*Calculateur!AQ155*Calculateur!AS155*VLOOKUP('Données projet'!$B$10,Paramètres!$A$1:$I$89,3,0)*0.475*44/12</f>
        <v>7.0290517297150927</v>
      </c>
      <c r="AW155" s="21">
        <f>EXP(-LN(2)/2)*AW154+(1-EXP(-LN(2)/2))/(LN(2)/2)*AQ155*AT155*VLOOKUP('Données projet'!$B$10,Paramètres!$A$1:$I$89,3,0)*0.475*44/12</f>
        <v>1.0290625912778881E-9</v>
      </c>
      <c r="AX155" s="21">
        <f t="shared" si="166"/>
        <v>43.857912425759409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1.1368683772161603E-13</v>
      </c>
      <c r="BE155" s="13">
        <f>BD155*VLOOKUP('Données projet'!$B$11,Paramètres!$A$1:$I$89,3,0)*VLOOKUP('Données projet'!$B$11,Paramètres!$A$1:$I$89,5,0)</f>
        <v>6.7984728957526396E-14</v>
      </c>
      <c r="BF155" s="13">
        <f t="shared" si="167"/>
        <v>1.0682447123141398E-12</v>
      </c>
      <c r="BG155" s="20">
        <f t="shared" si="168"/>
        <v>1.978932943548152E-12</v>
      </c>
      <c r="BH155" s="59">
        <f t="shared" si="116"/>
        <v>293.3333333333353</v>
      </c>
      <c r="BI155" s="59">
        <f ca="1">AVERAGE(OFFSET($BH$3,0,0,'Données projet'!$E$11+1,1))-AVERAGE(OFFSET($H$3,0,0,'Données projet'!$E$11+1,1))</f>
        <v>302.00825291248458</v>
      </c>
      <c r="BJ155" s="59">
        <f t="shared" si="146"/>
        <v>307.35115839449355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22.455710619563995</v>
      </c>
      <c r="BQ155" s="21">
        <f>EXP(-LN(2)/25)*BQ154+(1-EXP(-LN(2)/25))/(LN(2)/25)*Calculateur!BL155*Calculateur!BN155*VLOOKUP('Données projet'!$B$11,Paramètres!$A$1:$I$89,3,0)*0.475*44/12</f>
        <v>3.7793611330767471</v>
      </c>
      <c r="BR155" s="21">
        <f>EXP(-LN(2)/2)*BR154+(1-EXP(-LN(2)/2))/(LN(2)/2)*BL155*BO155*VLOOKUP('Données projet'!$B$11,Paramètres!$A$1:$I$89,3,0)*0.475*44/12</f>
        <v>8.5210335247656834E-13</v>
      </c>
      <c r="BS155" s="22">
        <f t="shared" si="169"/>
        <v>26.235071752641595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1.7053025658242404E-13</v>
      </c>
      <c r="BZ155" s="13">
        <f>BY155*VLOOKUP('Données projet'!$B$12,Paramètres!$A$1:$I$89,3,0)*VLOOKUP('Données projet'!$B$12,Paramètres!$A$1:$I$89,5,0)</f>
        <v>7.9808160080574461E-14</v>
      </c>
      <c r="CA155" s="13">
        <f t="shared" si="170"/>
        <v>1.2308384591775343E-12</v>
      </c>
      <c r="CB155" s="20">
        <f t="shared" si="171"/>
        <v>2.282709528541206E-12</v>
      </c>
      <c r="CC155" s="59">
        <f t="shared" si="119"/>
        <v>293.33333333333559</v>
      </c>
      <c r="CD155" s="59">
        <f ca="1">AVERAGE(OFFSET($CC$3,0,0,'Données projet'!$E$12+1,1))-AVERAGE(OFFSET($H$3,0,0,'Données projet'!$E$12+1,1))</f>
        <v>337.10499990421835</v>
      </c>
      <c r="CE155" s="59">
        <f t="shared" si="148"/>
        <v>277.4254079562175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95.962351668478874</v>
      </c>
      <c r="CL155" s="21">
        <f>EXP(-LN(2)/25)*CL154+(1-EXP(-LN(2)/25))/(LN(2)/25)*Calculateur!CG155*Calculateur!CI155*VLOOKUP('Données projet'!$B$12,Paramètres!$A$1:$I$89,3,0)*0.475*44/12</f>
        <v>25.090413381702373</v>
      </c>
      <c r="CM155" s="21">
        <f>EXP(-LN(2)/2)*CM154+(1-EXP(-LN(2)/2))/(LN(2)/2)*CG155*CJ155*VLOOKUP('Données projet'!$B$12,Paramètres!$A$1:$I$89,3,0)*0.475*44/12</f>
        <v>2.237927615470801E-2</v>
      </c>
      <c r="CN155" s="22">
        <f t="shared" si="172"/>
        <v>121.07514432633596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7.5191666666666634</v>
      </c>
      <c r="CT155" s="12">
        <f>IF('Données projet'!$A$140&gt;35,CT154+CS155-DB154,IF(A155&lt;'Données projet'!$A$140,$CQ$205^A155,IF(A155='Données projet'!$A$140,'Données projet'!$B$140,CT154+CS155-DB154)))</f>
        <v>379.12333333333299</v>
      </c>
      <c r="CU155" s="17">
        <f>CT155*VLOOKUP('Données projet'!$B$13,Paramètres!$A$1:$I$89,3,0)*VLOOKUP('Données projet'!$B$13,Paramètres!$A$1:$I$89,5,0)</f>
        <v>378.5167359999997</v>
      </c>
      <c r="CV155" s="13">
        <f t="shared" si="173"/>
        <v>87.407368855741154</v>
      </c>
      <c r="CW155" s="20">
        <f t="shared" si="174"/>
        <v>811.48448262374859</v>
      </c>
      <c r="CX155" s="59">
        <f t="shared" si="122"/>
        <v>1104.8178159570818</v>
      </c>
      <c r="CY155" s="59">
        <f ca="1">AVERAGE(OFFSET($CX$3,0,0,'Données projet'!$E$13+1,1))-AVERAGE(OFFSET($H$3,0,0,'Données projet'!$E$13+1,1))</f>
        <v>525.74725170626471</v>
      </c>
      <c r="CZ155" s="59">
        <f t="shared" si="150"/>
        <v>259.19103598192197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27.966081335610067</v>
      </c>
      <c r="DG155" s="21">
        <f>EXP(-LN(2)/25)*DG154+(1-EXP(-LN(2)/25))/(LN(2)/25)*Calculateur!DB155*Calculateur!DD155*VLOOKUP('Données projet'!$B$13,Paramètres!$A$1:$I$89,3,0)*0.475*44/12</f>
        <v>18.210896074968044</v>
      </c>
      <c r="DH155" s="21">
        <f>EXP(-LN(2)/2)*DH154+(1-EXP(-LN(2)/2))/(LN(2)/2)*DB155*DE155*VLOOKUP('Données projet'!$B$13,Paramètres!$A$1:$I$89,3,0)*0.475*44/12</f>
        <v>0.36346708102474867</v>
      </c>
      <c r="DI155" s="22">
        <f t="shared" si="175"/>
        <v>46.540444491602862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4.6025000000000063</v>
      </c>
      <c r="DO155" s="12">
        <f>IF('Données projet'!$A$166&gt;35,DO154+DN155-DW154,IF(A155&lt;'Données projet'!$A$166,$DL$205^A155,IF(A155='Données projet'!$A$166,'Données projet'!$B$166,DO154+DN155-DW154)))</f>
        <v>281.69750000000056</v>
      </c>
      <c r="DP155" s="17">
        <f>DO155*VLOOKUP('Données projet'!$B$14,Paramètres!$A$1:$I$89,3,0)*VLOOKUP('Données projet'!$B$14,Paramètres!$A$1:$I$89,5,0)</f>
        <v>254.87989800000048</v>
      </c>
      <c r="DQ155" s="13">
        <f t="shared" si="176"/>
        <v>61.629718985583246</v>
      </c>
      <c r="DR155" s="20">
        <f t="shared" si="177"/>
        <v>551.25424958322492</v>
      </c>
      <c r="DS155" s="59">
        <f t="shared" si="125"/>
        <v>844.58758291655818</v>
      </c>
      <c r="DT155" s="59">
        <f ca="1">AVERAGE(OFFSET($DS$3,0,0,'Données projet'!$E$14+1,1))-AVERAGE(OFFSET($H$3,0,0,'Données projet'!$E$14+1,1))</f>
        <v>490.06222615476065</v>
      </c>
      <c r="DU155" s="59">
        <f t="shared" si="152"/>
        <v>310.43914804089906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68.610833063712818</v>
      </c>
      <c r="EB155" s="21">
        <f>EXP(-LN(2)/25)*EB154+(1-EXP(-LN(2)/25))/(LN(2)/25)*Calculateur!DW155*Calculateur!DY155*VLOOKUP('Données projet'!$B$14,Paramètres!$A$1:$I$89,3,0)*0.475*44/12</f>
        <v>17.951891811931656</v>
      </c>
      <c r="EC155" s="21">
        <f>EXP(-LN(2)/2)*EC154+(1-EXP(-LN(2)/2))/(LN(2)/2)*DW155*DZ155*VLOOKUP('Données projet'!$B$14,Paramètres!$A$1:$I$89,3,0)*0.475*44/12</f>
        <v>2.6662123702936684</v>
      </c>
      <c r="ED155" s="22">
        <f t="shared" si="178"/>
        <v>89.228937245938141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7.5191666666666634</v>
      </c>
      <c r="EJ155" s="12">
        <f>IF('Données projet'!$A$192&gt;35,EJ154+EI155-ER154,IF(A155&lt;'Données projet'!$A$192,$EG$205^A155,IF(A155='Données projet'!$A$192,'Données projet'!$B$192,EJ154+EI155-ER154)))</f>
        <v>379.12333333333299</v>
      </c>
      <c r="EK155" s="17">
        <f>EJ155*VLOOKUP('Données projet'!$B$15,Paramètres!$A$1:$I$89,3,0)*VLOOKUP('Données projet'!$B$15,Paramètres!$A$1:$I$89,5,0)</f>
        <v>384.43105999999966</v>
      </c>
      <c r="EL155" s="13">
        <f t="shared" si="179"/>
        <v>88.613045766074748</v>
      </c>
      <c r="EM155" s="20">
        <f t="shared" si="180"/>
        <v>823.88515087591293</v>
      </c>
      <c r="EN155" s="59">
        <f t="shared" si="128"/>
        <v>1117.2184842092463</v>
      </c>
      <c r="EO155" s="59">
        <f ca="1">AVERAGE(OFFSET($EN$3,0,0,'Données projet'!$E$15+1,1))-AVERAGE(OFFSET($H$3,0,0,'Données projet'!$E$15+1,1))</f>
        <v>533.26035274112917</v>
      </c>
      <c r="EP155" s="59">
        <f t="shared" si="154"/>
        <v>262.58149402282521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28.403051356478969</v>
      </c>
      <c r="EW155" s="21">
        <f>EXP(-LN(2)/25)*EW154+(1-EXP(-LN(2)/25))/(LN(2)/25)*Calculateur!ER155*Calculateur!ET155*VLOOKUP('Données projet'!$B$15,Paramètres!$A$1:$I$89,3,0)*0.475*44/12</f>
        <v>18.495441326139421</v>
      </c>
      <c r="EX155" s="21">
        <f>EXP(-LN(2)/2)*EX154+(1-EXP(-LN(2)/2))/(LN(2)/2)*ER155*EU155*VLOOKUP('Données projet'!$B$15,Paramètres!$A$1:$I$89,3,0)*0.475*44/12</f>
        <v>0.36914625416576013</v>
      </c>
      <c r="EY155" s="22">
        <f t="shared" si="181"/>
        <v>47.267638936784152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239.26156489359892</v>
      </c>
      <c r="FK155" s="59">
        <f t="shared" si="156"/>
        <v>213.97034450798111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3.1676386092242814</v>
      </c>
      <c r="FR155" s="21">
        <f>EXP(-LN(2)/25)*FR154+(1-EXP(-LN(2)/25))/(LN(2)/25)*Calculateur!FM155*Calculateur!FO155*VLOOKUP('Données projet'!$B$16,Paramètres!$A$1:$I$89,3,0)*0.475*44/12</f>
        <v>11.447073822015701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14.614712431239983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2.5579538487363607E-13</v>
      </c>
      <c r="O156" s="13">
        <f>N156*VLOOKUP('Données projet'!$B$9,Paramètres!$A$1:$I$89,3,0)*VLOOKUP('Données projet'!$B$9,Paramètres!$A$1:$I$89,5,0)</f>
        <v>2.4341488824575211E-13</v>
      </c>
      <c r="P156" s="13">
        <f t="shared" si="141"/>
        <v>3.2970717324875541E-12</v>
      </c>
      <c r="Q156" s="20">
        <f t="shared" si="162"/>
        <v>6.1663475311105072E-12</v>
      </c>
      <c r="R156" s="59">
        <f t="shared" si="109"/>
        <v>293.33333333333945</v>
      </c>
      <c r="S156" s="59">
        <f ca="1">AVERAGE(OFFSET($R$3,0,0,'Données projet'!$E$9+1,1))-AVERAGE(OFFSET($H$3,0,0,'Données projet'!$E$9+1,1))</f>
        <v>449.28947235329758</v>
      </c>
      <c r="T156" s="59">
        <f t="shared" si="142"/>
        <v>289.36994109443964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75.341144244570117</v>
      </c>
      <c r="AA156" s="21">
        <f>EXP(-LN(2)/25)*AA155+(1-EXP(-LN(2)/25))/(LN(2)/25)*Calculateur!V156*Calculateur!X156*VLOOKUP('Données projet'!$B$9,Paramètres!$A$1:$I$89,3,0)*0.475*44/12</f>
        <v>13.085180541339813</v>
      </c>
      <c r="AB156" s="21">
        <f>EXP(-LN(2)/2)*AB155+(1-EXP(-LN(2)/2))/(LN(2)/2)*V156*Y156*VLOOKUP('Données projet'!$B$9,Paramètres!$A$1:$I$89,3,0)*0.475*44/12</f>
        <v>2.4726101547827696E-3</v>
      </c>
      <c r="AC156" s="22">
        <f t="shared" si="163"/>
        <v>88.428797396064709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-1.3596945791505279E-13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349.71285006949597</v>
      </c>
      <c r="AO156" s="59">
        <f t="shared" si="144"/>
        <v>258.51550516456842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36.106669200172952</v>
      </c>
      <c r="AV156" s="21">
        <f>EXP(-LN(2)/25)*AV155+(1-EXP(-LN(2)/25))/(LN(2)/25)*Calculateur!AQ156*Calculateur!AS156*VLOOKUP('Données projet'!$B$10,Paramètres!$A$1:$I$89,3,0)*0.475*44/12</f>
        <v>6.836841940524268</v>
      </c>
      <c r="AW156" s="21">
        <f>EXP(-LN(2)/2)*AW155+(1-EXP(-LN(2)/2))/(LN(2)/2)*AQ156*AT156*VLOOKUP('Données projet'!$B$10,Paramètres!$A$1:$I$89,3,0)*0.475*44/12</f>
        <v>7.2765713655799521E-10</v>
      </c>
      <c r="AX156" s="21">
        <f t="shared" si="166"/>
        <v>42.943511141424878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1.1368683772161603E-13</v>
      </c>
      <c r="BE156" s="13">
        <f>BD156*VLOOKUP('Données projet'!$B$11,Paramètres!$A$1:$I$89,3,0)*VLOOKUP('Données projet'!$B$11,Paramètres!$A$1:$I$89,5,0)</f>
        <v>6.7984728957526396E-14</v>
      </c>
      <c r="BF156" s="13">
        <f t="shared" si="167"/>
        <v>1.0682447123141398E-12</v>
      </c>
      <c r="BG156" s="20">
        <f t="shared" si="168"/>
        <v>1.978932943548152E-12</v>
      </c>
      <c r="BH156" s="59">
        <f t="shared" si="116"/>
        <v>293.3333333333353</v>
      </c>
      <c r="BI156" s="59">
        <f ca="1">AVERAGE(OFFSET($BH$3,0,0,'Données projet'!$E$11+1,1))-AVERAGE(OFFSET($H$3,0,0,'Données projet'!$E$11+1,1))</f>
        <v>302.00825291248458</v>
      </c>
      <c r="BJ156" s="59">
        <f t="shared" si="146"/>
        <v>307.35115839449355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22.015367830945394</v>
      </c>
      <c r="BQ156" s="21">
        <f>EXP(-LN(2)/25)*BQ155+(1-EXP(-LN(2)/25))/(LN(2)/25)*Calculateur!BL156*Calculateur!BN156*VLOOKUP('Données projet'!$B$11,Paramètres!$A$1:$I$89,3,0)*0.475*44/12</f>
        <v>3.6760143041447995</v>
      </c>
      <c r="BR156" s="21">
        <f>EXP(-LN(2)/2)*BR155+(1-EXP(-LN(2)/2))/(LN(2)/2)*BL156*BO156*VLOOKUP('Données projet'!$B$11,Paramètres!$A$1:$I$89,3,0)*0.475*44/12</f>
        <v>6.0252805880797238E-13</v>
      </c>
      <c r="BS156" s="22">
        <f t="shared" si="169"/>
        <v>25.691382135090798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1.7053025658242404E-13</v>
      </c>
      <c r="BZ156" s="13">
        <f>BY156*VLOOKUP('Données projet'!$B$12,Paramètres!$A$1:$I$89,3,0)*VLOOKUP('Données projet'!$B$12,Paramètres!$A$1:$I$89,5,0)</f>
        <v>7.9808160080574461E-14</v>
      </c>
      <c r="CA156" s="13">
        <f t="shared" si="170"/>
        <v>1.2308384591775343E-12</v>
      </c>
      <c r="CB156" s="20">
        <f t="shared" si="171"/>
        <v>2.282709528541206E-12</v>
      </c>
      <c r="CC156" s="59">
        <f t="shared" si="119"/>
        <v>293.33333333333559</v>
      </c>
      <c r="CD156" s="59">
        <f ca="1">AVERAGE(OFFSET($CC$3,0,0,'Données projet'!$E$12+1,1))-AVERAGE(OFFSET($H$3,0,0,'Données projet'!$E$12+1,1))</f>
        <v>337.10499990421835</v>
      </c>
      <c r="CE156" s="59">
        <f t="shared" si="148"/>
        <v>277.4254079562175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94.080588483515044</v>
      </c>
      <c r="CL156" s="21">
        <f>EXP(-LN(2)/25)*CL155+(1-EXP(-LN(2)/25))/(LN(2)/25)*Calculateur!CG156*Calculateur!CI156*VLOOKUP('Données projet'!$B$12,Paramètres!$A$1:$I$89,3,0)*0.475*44/12</f>
        <v>24.404314708332226</v>
      </c>
      <c r="CM156" s="21">
        <f>EXP(-LN(2)/2)*CM155+(1-EXP(-LN(2)/2))/(LN(2)/2)*CG156*CJ156*VLOOKUP('Données projet'!$B$12,Paramètres!$A$1:$I$89,3,0)*0.475*44/12</f>
        <v>1.5824537927040437E-2</v>
      </c>
      <c r="CN156" s="22">
        <f t="shared" si="172"/>
        <v>118.50072772977431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7.5191666666666634</v>
      </c>
      <c r="CT156" s="12">
        <f>IF('Données projet'!$A$140&gt;35,CT155+CS156-DB155,IF(A156&lt;'Données projet'!$A$140,$CQ$205^A156,IF(A156='Données projet'!$A$140,'Données projet'!$B$140,CT155+CS156-DB155)))</f>
        <v>386.64249999999964</v>
      </c>
      <c r="CU156" s="17">
        <f>CT156*VLOOKUP('Données projet'!$B$13,Paramètres!$A$1:$I$89,3,0)*VLOOKUP('Données projet'!$B$13,Paramètres!$A$1:$I$89,5,0)</f>
        <v>386.02387199999964</v>
      </c>
      <c r="CV156" s="13">
        <f t="shared" si="173"/>
        <v>88.937381532856236</v>
      </c>
      <c r="CW156" s="20">
        <f t="shared" si="174"/>
        <v>827.22418323639067</v>
      </c>
      <c r="CX156" s="59">
        <f t="shared" si="122"/>
        <v>1120.5575165697239</v>
      </c>
      <c r="CY156" s="59">
        <f ca="1">AVERAGE(OFFSET($CX$3,0,0,'Données projet'!$E$13+1,1))-AVERAGE(OFFSET($H$3,0,0,'Données projet'!$E$13+1,1))</f>
        <v>525.74725170626471</v>
      </c>
      <c r="CZ156" s="59">
        <f t="shared" si="150"/>
        <v>259.19103598192197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27.417683538244066</v>
      </c>
      <c r="DG156" s="21">
        <f>EXP(-LN(2)/25)*DG155+(1-EXP(-LN(2)/25))/(LN(2)/25)*Calculateur!DB156*Calculateur!DD156*VLOOKUP('Données projet'!$B$13,Paramètres!$A$1:$I$89,3,0)*0.475*44/12</f>
        <v>17.712918164128642</v>
      </c>
      <c r="DH156" s="21">
        <f>EXP(-LN(2)/2)*DH155+(1-EXP(-LN(2)/2))/(LN(2)/2)*DB156*DE156*VLOOKUP('Données projet'!$B$13,Paramètres!$A$1:$I$89,3,0)*0.475*44/12</f>
        <v>0.2570100377306801</v>
      </c>
      <c r="DI156" s="22">
        <f t="shared" si="175"/>
        <v>45.387611740103388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>
        <f>VLOOKUP(A156,'Données projet'!$A$165:$I$185,2,0)</f>
        <v>286.3</v>
      </c>
      <c r="DM156" s="12">
        <f>VLOOKUP(A156,'Données projet'!$A$165:$I$185,9,0)</f>
        <v>4.6025000000000063</v>
      </c>
      <c r="DN156" s="12">
        <f t="array" ref="DN156">INDEX(DM:DM,MIN(IF(ISNUMBER(DM156:DM352),ROW(DM156:DM352),"")))</f>
        <v>4.6025000000000063</v>
      </c>
      <c r="DO156" s="12">
        <f>IF('Données projet'!$A$166&gt;35,DO155+DN156-DW155,IF(A156&lt;'Données projet'!$A$166,$DL$205^A156,IF(A156='Données projet'!$A$166,'Données projet'!$B$166,DO155+DN156-DW155)))</f>
        <v>286.30000000000058</v>
      </c>
      <c r="DP156" s="17">
        <f>DO156*VLOOKUP('Données projet'!$B$14,Paramètres!$A$1:$I$89,3,0)*VLOOKUP('Données projet'!$B$14,Paramètres!$A$1:$I$89,5,0)</f>
        <v>259.04424000000051</v>
      </c>
      <c r="DQ156" s="13">
        <f t="shared" si="176"/>
        <v>62.518604901036426</v>
      </c>
      <c r="DR156" s="20">
        <f t="shared" si="177"/>
        <v>560.0552882026393</v>
      </c>
      <c r="DS156" s="59">
        <f t="shared" si="125"/>
        <v>853.38862153597256</v>
      </c>
      <c r="DT156" s="59">
        <f ca="1">AVERAGE(OFFSET($DS$3,0,0,'Données projet'!$E$14+1,1))-AVERAGE(OFFSET($H$3,0,0,'Données projet'!$E$14+1,1))</f>
        <v>490.06222615476065</v>
      </c>
      <c r="DU156" s="59">
        <f t="shared" si="152"/>
        <v>310.43914804089906</v>
      </c>
      <c r="DV156" s="15">
        <f>IF(ISNA(VLOOKUP(A156,'Données projet'!$A$165:$I$185,3,0)),0,VLOOKUP(A156,'Données projet'!$A$165:$I$185,3,0))</f>
        <v>13</v>
      </c>
      <c r="DW156" s="15">
        <f>IF(ISNA(VLOOKUP(A156,'Données projet'!$A$165:$I$185,4,0)),0,VLOOKUP(A156,'Données projet'!$A$165:$I$185,4,0))</f>
        <v>102.89000000000001</v>
      </c>
      <c r="DX156" s="16">
        <f>IF(ISNA(VLOOKUP(A156,'Données projet'!$A$165:$I$185,5,0)),0%,VLOOKUP(A156,'Données projet'!$A$165:$I$185,5,0)*VLOOKUP('Données projet'!$B$14,Paramètres!$A$1:$I$89,7,0))</f>
        <v>0.19350000000000001</v>
      </c>
      <c r="DY156" s="16">
        <f>IF(ISNA(VLOOKUP(A156,'Données projet'!$A$165:$I$185,6,0)),0%,VLOOKUP(A156,'Données projet'!$A$165:$I$185,6,0)*VLOOKUP('Données projet'!$B$14,Paramètres!$A$1:$I$89,7,0))</f>
        <v>2.1500000000000002E-2</v>
      </c>
      <c r="DZ156" s="16">
        <f>IF(ISNA(VLOOKUP(A156,'Données projet'!$A$165:$I$185,7,0)),0%,VLOOKUP(A156,'Données projet'!$A$165:$I$185,7,0))</f>
        <v>0.05</v>
      </c>
      <c r="EA156" s="21">
        <f>EXP(-LN(2)/35)*EA155+(1-EXP(-LN(2)/35))/(LN(2)/35)*DW156*DX156*VLOOKUP('Données projet'!$B$14,Paramètres!$A$1:$I$89,3,0)*0.475*44/12</f>
        <v>87.179202619655996</v>
      </c>
      <c r="EB156" s="21">
        <f>EXP(-LN(2)/25)*EB155+(1-EXP(-LN(2)/25))/(LN(2)/25)*Calculateur!DW156*Calculateur!DY156*VLOOKUP('Données projet'!$B$14,Paramètres!$A$1:$I$89,3,0)*0.475*44/12</f>
        <v>19.664927272957744</v>
      </c>
      <c r="EC156" s="21">
        <f>EXP(-LN(2)/2)*EC155+(1-EXP(-LN(2)/2))/(LN(2)/2)*DW156*DZ156*VLOOKUP('Données projet'!$B$14,Paramètres!$A$1:$I$89,3,0)*0.475*44/12</f>
        <v>6.2771727143052889</v>
      </c>
      <c r="ED156" s="22">
        <f t="shared" si="178"/>
        <v>113.12130260691903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7.5191666666666634</v>
      </c>
      <c r="EJ156" s="12">
        <f>IF('Données projet'!$A$192&gt;35,EJ155+EI156-ER155,IF(A156&lt;'Données projet'!$A$192,$EG$205^A156,IF(A156='Données projet'!$A$192,'Données projet'!$B$192,EJ155+EI156-ER155)))</f>
        <v>386.64249999999964</v>
      </c>
      <c r="EK156" s="17">
        <f>EJ156*VLOOKUP('Données projet'!$B$15,Paramètres!$A$1:$I$89,3,0)*VLOOKUP('Données projet'!$B$15,Paramètres!$A$1:$I$89,5,0)</f>
        <v>392.05549499999967</v>
      </c>
      <c r="EL156" s="13">
        <f t="shared" si="179"/>
        <v>90.164163082094575</v>
      </c>
      <c r="EM156" s="20">
        <f t="shared" si="180"/>
        <v>839.8659044929808</v>
      </c>
      <c r="EN156" s="59">
        <f t="shared" si="128"/>
        <v>1133.1992378263142</v>
      </c>
      <c r="EO156" s="59">
        <f ca="1">AVERAGE(OFFSET($EN$3,0,0,'Données projet'!$E$15+1,1))-AVERAGE(OFFSET($H$3,0,0,'Données projet'!$E$15+1,1))</f>
        <v>533.26035274112917</v>
      </c>
      <c r="EP156" s="59">
        <f t="shared" si="154"/>
        <v>262.58149402282521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27.846084843529127</v>
      </c>
      <c r="EW156" s="21">
        <f>EXP(-LN(2)/25)*EW155+(1-EXP(-LN(2)/25))/(LN(2)/25)*Calculateur!ER156*Calculateur!ET156*VLOOKUP('Données projet'!$B$15,Paramètres!$A$1:$I$89,3,0)*0.475*44/12</f>
        <v>17.989682510443149</v>
      </c>
      <c r="EX156" s="21">
        <f>EXP(-LN(2)/2)*EX155+(1-EXP(-LN(2)/2))/(LN(2)/2)*ER156*EU156*VLOOKUP('Données projet'!$B$15,Paramètres!$A$1:$I$89,3,0)*0.475*44/12</f>
        <v>0.26102581957022181</v>
      </c>
      <c r="EY156" s="22">
        <f t="shared" si="181"/>
        <v>46.096793173542494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239.26156489359892</v>
      </c>
      <c r="FK156" s="59">
        <f t="shared" si="156"/>
        <v>213.97034450798111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3.1055231481661689</v>
      </c>
      <c r="FR156" s="21">
        <f>EXP(-LN(2)/25)*FR155+(1-EXP(-LN(2)/25))/(LN(2)/25)*Calculateur!FM156*Calculateur!FO156*VLOOKUP('Données projet'!$B$16,Paramètres!$A$1:$I$89,3,0)*0.475*44/12</f>
        <v>11.134052986377233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14.239576134543402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2.5579538487363607E-13</v>
      </c>
      <c r="O157" s="13">
        <f>N157*VLOOKUP('Données projet'!$B$9,Paramètres!$A$1:$I$89,3,0)*VLOOKUP('Données projet'!$B$9,Paramètres!$A$1:$I$89,5,0)</f>
        <v>2.4341488824575211E-13</v>
      </c>
      <c r="P157" s="13">
        <f t="shared" si="141"/>
        <v>3.2970717324875541E-12</v>
      </c>
      <c r="Q157" s="20">
        <f t="shared" si="162"/>
        <v>6.1663475311105072E-12</v>
      </c>
      <c r="R157" s="59">
        <f t="shared" si="109"/>
        <v>293.33333333333945</v>
      </c>
      <c r="S157" s="59">
        <f ca="1">AVERAGE(OFFSET($R$3,0,0,'Données projet'!$E$9+1,1))-AVERAGE(OFFSET($H$3,0,0,'Données projet'!$E$9+1,1))</f>
        <v>449.28947235329758</v>
      </c>
      <c r="T157" s="59">
        <f t="shared" si="142"/>
        <v>289.36994109443964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73.863750359494546</v>
      </c>
      <c r="AA157" s="21">
        <f>EXP(-LN(2)/25)*AA156+(1-EXP(-LN(2)/25))/(LN(2)/25)*Calculateur!V157*Calculateur!X157*VLOOKUP('Données projet'!$B$9,Paramètres!$A$1:$I$89,3,0)*0.475*44/12</f>
        <v>12.727365591317138</v>
      </c>
      <c r="AB157" s="21">
        <f>EXP(-LN(2)/2)*AB156+(1-EXP(-LN(2)/2))/(LN(2)/2)*V157*Y157*VLOOKUP('Données projet'!$B$9,Paramètres!$A$1:$I$89,3,0)*0.475*44/12</f>
        <v>1.7483994076776153E-3</v>
      </c>
      <c r="AC157" s="22">
        <f t="shared" si="163"/>
        <v>86.592864350219358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-1.3596945791505279E-13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349.71285006949597</v>
      </c>
      <c r="AO157" s="59">
        <f t="shared" si="144"/>
        <v>258.51550516456842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35.398639440051191</v>
      </c>
      <c r="AV157" s="21">
        <f>EXP(-LN(2)/25)*AV156+(1-EXP(-LN(2)/25))/(LN(2)/25)*Calculateur!AQ157*Calculateur!AS157*VLOOKUP('Données projet'!$B$10,Paramètres!$A$1:$I$89,3,0)*0.475*44/12</f>
        <v>6.6498881381267401</v>
      </c>
      <c r="AW157" s="21">
        <f>EXP(-LN(2)/2)*AW156+(1-EXP(-LN(2)/2))/(LN(2)/2)*AQ157*AT157*VLOOKUP('Données projet'!$B$10,Paramètres!$A$1:$I$89,3,0)*0.475*44/12</f>
        <v>5.1453129563894404E-10</v>
      </c>
      <c r="AX157" s="21">
        <f t="shared" si="166"/>
        <v>42.048527578692465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1.1368683772161603E-13</v>
      </c>
      <c r="BE157" s="13">
        <f>BD157*VLOOKUP('Données projet'!$B$11,Paramètres!$A$1:$I$89,3,0)*VLOOKUP('Données projet'!$B$11,Paramètres!$A$1:$I$89,5,0)</f>
        <v>6.7984728957526396E-14</v>
      </c>
      <c r="BF157" s="13">
        <f t="shared" si="167"/>
        <v>1.0682447123141398E-12</v>
      </c>
      <c r="BG157" s="20">
        <f t="shared" si="168"/>
        <v>1.978932943548152E-12</v>
      </c>
      <c r="BH157" s="59">
        <f t="shared" si="116"/>
        <v>293.3333333333353</v>
      </c>
      <c r="BI157" s="59">
        <f ca="1">AVERAGE(OFFSET($BH$3,0,0,'Données projet'!$E$11+1,1))-AVERAGE(OFFSET($H$3,0,0,'Données projet'!$E$11+1,1))</f>
        <v>302.00825291248458</v>
      </c>
      <c r="BJ157" s="59">
        <f t="shared" si="146"/>
        <v>307.35115839449355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21.583659895829022</v>
      </c>
      <c r="BQ157" s="21">
        <f>EXP(-LN(2)/25)*BQ156+(1-EXP(-LN(2)/25))/(LN(2)/25)*Calculateur!BL157*Calculateur!BN157*VLOOKUP('Données projet'!$B$11,Paramètres!$A$1:$I$89,3,0)*0.475*44/12</f>
        <v>3.5754934996847694</v>
      </c>
      <c r="BR157" s="21">
        <f>EXP(-LN(2)/2)*BR156+(1-EXP(-LN(2)/2))/(LN(2)/2)*BL157*BO157*VLOOKUP('Données projet'!$B$11,Paramètres!$A$1:$I$89,3,0)*0.475*44/12</f>
        <v>4.2605167623828417E-13</v>
      </c>
      <c r="BS157" s="22">
        <f t="shared" si="169"/>
        <v>25.159153395514217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1.7053025658242404E-13</v>
      </c>
      <c r="BZ157" s="13">
        <f>BY157*VLOOKUP('Données projet'!$B$12,Paramètres!$A$1:$I$89,3,0)*VLOOKUP('Données projet'!$B$12,Paramètres!$A$1:$I$89,5,0)</f>
        <v>7.9808160080574461E-14</v>
      </c>
      <c r="CA157" s="13">
        <f t="shared" si="170"/>
        <v>1.2308384591775343E-12</v>
      </c>
      <c r="CB157" s="20">
        <f t="shared" si="171"/>
        <v>2.282709528541206E-12</v>
      </c>
      <c r="CC157" s="59">
        <f t="shared" si="119"/>
        <v>293.33333333333559</v>
      </c>
      <c r="CD157" s="59">
        <f ca="1">AVERAGE(OFFSET($CC$3,0,0,'Données projet'!$E$12+1,1))-AVERAGE(OFFSET($H$3,0,0,'Données projet'!$E$12+1,1))</f>
        <v>337.10499990421835</v>
      </c>
      <c r="CE157" s="59">
        <f t="shared" si="148"/>
        <v>277.4254079562175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92.235725526846139</v>
      </c>
      <c r="CL157" s="21">
        <f>EXP(-LN(2)/25)*CL156+(1-EXP(-LN(2)/25))/(LN(2)/25)*Calculateur!CG157*Calculateur!CI157*VLOOKUP('Données projet'!$B$12,Paramètres!$A$1:$I$89,3,0)*0.475*44/12</f>
        <v>23.736977439265747</v>
      </c>
      <c r="CM157" s="21">
        <f>EXP(-LN(2)/2)*CM156+(1-EXP(-LN(2)/2))/(LN(2)/2)*CG157*CJ157*VLOOKUP('Données projet'!$B$12,Paramètres!$A$1:$I$89,3,0)*0.475*44/12</f>
        <v>1.1189638077354005E-2</v>
      </c>
      <c r="CN157" s="22">
        <f t="shared" si="172"/>
        <v>115.98389260418924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7.5191666666666634</v>
      </c>
      <c r="CT157" s="12">
        <f>IF('Données projet'!$A$140&gt;35,CT156+CS157-DB156,IF(A157&lt;'Données projet'!$A$140,$CQ$205^A157,IF(A157='Données projet'!$A$140,'Données projet'!$B$140,CT156+CS157-DB156)))</f>
        <v>394.16166666666629</v>
      </c>
      <c r="CU157" s="17">
        <f>CT157*VLOOKUP('Données projet'!$B$13,Paramètres!$A$1:$I$89,3,0)*VLOOKUP('Données projet'!$B$13,Paramètres!$A$1:$I$89,5,0)</f>
        <v>393.53100799999964</v>
      </c>
      <c r="CV157" s="13">
        <f t="shared" si="173"/>
        <v>90.463934452844001</v>
      </c>
      <c r="CW157" s="20">
        <f t="shared" si="174"/>
        <v>842.95785810536938</v>
      </c>
      <c r="CX157" s="59">
        <f t="shared" si="122"/>
        <v>1136.2911914387028</v>
      </c>
      <c r="CY157" s="59">
        <f ca="1">AVERAGE(OFFSET($CX$3,0,0,'Données projet'!$E$13+1,1))-AVERAGE(OFFSET($H$3,0,0,'Données projet'!$E$13+1,1))</f>
        <v>525.74725170626471</v>
      </c>
      <c r="CZ157" s="59">
        <f t="shared" si="150"/>
        <v>259.19103598192197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26.880039487194786</v>
      </c>
      <c r="DG157" s="21">
        <f>EXP(-LN(2)/25)*DG156+(1-EXP(-LN(2)/25))/(LN(2)/25)*Calculateur!DB157*Calculateur!DD157*VLOOKUP('Données projet'!$B$13,Paramètres!$A$1:$I$89,3,0)*0.475*44/12</f>
        <v>17.228557485448661</v>
      </c>
      <c r="DH157" s="21">
        <f>EXP(-LN(2)/2)*DH156+(1-EXP(-LN(2)/2))/(LN(2)/2)*DB157*DE157*VLOOKUP('Données projet'!$B$13,Paramètres!$A$1:$I$89,3,0)*0.475*44/12</f>
        <v>0.18173354051237434</v>
      </c>
      <c r="DI157" s="22">
        <f t="shared" si="175"/>
        <v>44.290330513155823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2.7775000000000034</v>
      </c>
      <c r="DO157" s="12">
        <f>IF('Données projet'!$A$166&gt;35,DO156+DN157-DW156,IF(A157&lt;'Données projet'!$A$166,$DL$205^A157,IF(A157='Données projet'!$A$166,'Données projet'!$B$166,DO156+DN157-DW156)))</f>
        <v>186.18750000000054</v>
      </c>
      <c r="DP157" s="17">
        <f>DO157*VLOOKUP('Données projet'!$B$14,Paramètres!$A$1:$I$89,3,0)*VLOOKUP('Données projet'!$B$14,Paramètres!$A$1:$I$89,5,0)</f>
        <v>168.4624500000005</v>
      </c>
      <c r="DQ157" s="13">
        <f t="shared" si="176"/>
        <v>42.745481653995263</v>
      </c>
      <c r="DR157" s="20">
        <f t="shared" si="177"/>
        <v>367.85381429737589</v>
      </c>
      <c r="DS157" s="59">
        <f t="shared" si="125"/>
        <v>661.18714763070921</v>
      </c>
      <c r="DT157" s="59">
        <f ca="1">AVERAGE(OFFSET($DS$3,0,0,'Données projet'!$E$14+1,1))-AVERAGE(OFFSET($H$3,0,0,'Données projet'!$E$14+1,1))</f>
        <v>490.06222615476065</v>
      </c>
      <c r="DU157" s="59">
        <f t="shared" si="152"/>
        <v>310.43914804089906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85.469671630347634</v>
      </c>
      <c r="EB157" s="21">
        <f>EXP(-LN(2)/25)*EB156+(1-EXP(-LN(2)/25))/(LN(2)/25)*Calculateur!DW157*Calculateur!DY157*VLOOKUP('Données projet'!$B$14,Paramètres!$A$1:$I$89,3,0)*0.475*44/12</f>
        <v>19.127188802545135</v>
      </c>
      <c r="EC157" s="21">
        <f>EXP(-LN(2)/2)*EC156+(1-EXP(-LN(2)/2))/(LN(2)/2)*DW157*DZ157*VLOOKUP('Données projet'!$B$14,Paramètres!$A$1:$I$89,3,0)*0.475*44/12</f>
        <v>4.438631392964437</v>
      </c>
      <c r="ED157" s="22">
        <f t="shared" si="178"/>
        <v>109.03549182585721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7.5191666666666634</v>
      </c>
      <c r="EJ157" s="12">
        <f>IF('Données projet'!$A$192&gt;35,EJ156+EI157-ER156,IF(A157&lt;'Données projet'!$A$192,$EG$205^A157,IF(A157='Données projet'!$A$192,'Données projet'!$B$192,EJ156+EI157-ER156)))</f>
        <v>394.16166666666629</v>
      </c>
      <c r="EK157" s="17">
        <f>EJ157*VLOOKUP('Données projet'!$B$15,Paramètres!$A$1:$I$89,3,0)*VLOOKUP('Données projet'!$B$15,Paramètres!$A$1:$I$89,5,0)</f>
        <v>399.67992999999967</v>
      </c>
      <c r="EL157" s="13">
        <f t="shared" si="179"/>
        <v>91.711772917902209</v>
      </c>
      <c r="EM157" s="20">
        <f t="shared" si="180"/>
        <v>855.84054924867905</v>
      </c>
      <c r="EN157" s="59">
        <f t="shared" si="128"/>
        <v>1149.1738825820123</v>
      </c>
      <c r="EO157" s="59">
        <f ca="1">AVERAGE(OFFSET($EN$3,0,0,'Données projet'!$E$15+1,1))-AVERAGE(OFFSET($H$3,0,0,'Données projet'!$E$15+1,1))</f>
        <v>533.26035274112917</v>
      </c>
      <c r="EP157" s="59">
        <f t="shared" si="154"/>
        <v>262.58149402282521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27.300040104182202</v>
      </c>
      <c r="EW157" s="21">
        <f>EXP(-LN(2)/25)*EW156+(1-EXP(-LN(2)/25))/(LN(2)/25)*Calculateur!ER157*Calculateur!ET157*VLOOKUP('Données projet'!$B$15,Paramètres!$A$1:$I$89,3,0)*0.475*44/12</f>
        <v>17.497753696158796</v>
      </c>
      <c r="EX157" s="21">
        <f>EXP(-LN(2)/2)*EX156+(1-EXP(-LN(2)/2))/(LN(2)/2)*ER157*EU157*VLOOKUP('Données projet'!$B$15,Paramètres!$A$1:$I$89,3,0)*0.475*44/12</f>
        <v>0.18457312708288007</v>
      </c>
      <c r="EY157" s="22">
        <f t="shared" si="181"/>
        <v>44.982366927423875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239.26156489359892</v>
      </c>
      <c r="FK157" s="59">
        <f t="shared" si="156"/>
        <v>213.97034450798111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3.0446257334127158</v>
      </c>
      <c r="FR157" s="21">
        <f>EXP(-LN(2)/25)*FR156+(1-EXP(-LN(2)/25))/(LN(2)/25)*Calculateur!FM157*Calculateur!FO157*VLOOKUP('Données projet'!$B$16,Paramètres!$A$1:$I$89,3,0)*0.475*44/12</f>
        <v>10.829591721950347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13.874217455363063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2.5579538487363607E-13</v>
      </c>
      <c r="O158" s="13">
        <f>N158*VLOOKUP('Données projet'!$B$9,Paramètres!$A$1:$I$89,3,0)*VLOOKUP('Données projet'!$B$9,Paramètres!$A$1:$I$89,5,0)</f>
        <v>2.4341488824575211E-13</v>
      </c>
      <c r="P158" s="13">
        <f t="shared" si="141"/>
        <v>3.2970717324875541E-12</v>
      </c>
      <c r="Q158" s="20">
        <f t="shared" si="162"/>
        <v>6.1663475311105072E-12</v>
      </c>
      <c r="R158" s="59">
        <f t="shared" si="109"/>
        <v>293.33333333333945</v>
      </c>
      <c r="S158" s="59">
        <f ca="1">AVERAGE(OFFSET($R$3,0,0,'Données projet'!$E$9+1,1))-AVERAGE(OFFSET($H$3,0,0,'Données projet'!$E$9+1,1))</f>
        <v>449.28947235329758</v>
      </c>
      <c r="T158" s="59">
        <f t="shared" si="142"/>
        <v>289.36994109443964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72.415327267384015</v>
      </c>
      <c r="AA158" s="21">
        <f>EXP(-LN(2)/25)*AA157+(1-EXP(-LN(2)/25))/(LN(2)/25)*Calculateur!V158*Calculateur!X158*VLOOKUP('Données projet'!$B$9,Paramètres!$A$1:$I$89,3,0)*0.475*44/12</f>
        <v>12.379335109919504</v>
      </c>
      <c r="AB158" s="21">
        <f>EXP(-LN(2)/2)*AB157+(1-EXP(-LN(2)/2))/(LN(2)/2)*V158*Y158*VLOOKUP('Données projet'!$B$9,Paramètres!$A$1:$I$89,3,0)*0.475*44/12</f>
        <v>1.2363050773913848E-3</v>
      </c>
      <c r="AC158" s="22">
        <f t="shared" si="163"/>
        <v>84.795898682380923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-1.3596945791505279E-13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349.71285006949597</v>
      </c>
      <c r="AO158" s="59">
        <f t="shared" si="144"/>
        <v>258.51550516456842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34.704493711669905</v>
      </c>
      <c r="AV158" s="21">
        <f>EXP(-LN(2)/25)*AV157+(1-EXP(-LN(2)/25))/(LN(2)/25)*Calculateur!AQ158*Calculateur!AS158*VLOOKUP('Données projet'!$B$10,Paramètres!$A$1:$I$89,3,0)*0.475*44/12</f>
        <v>6.4680465972872456</v>
      </c>
      <c r="AW158" s="21">
        <f>EXP(-LN(2)/2)*AW157+(1-EXP(-LN(2)/2))/(LN(2)/2)*AQ158*AT158*VLOOKUP('Données projet'!$B$10,Paramètres!$A$1:$I$89,3,0)*0.475*44/12</f>
        <v>3.638285682789976E-10</v>
      </c>
      <c r="AX158" s="21">
        <f t="shared" si="166"/>
        <v>41.172540309320979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1.1368683772161603E-13</v>
      </c>
      <c r="BE158" s="13">
        <f>BD158*VLOOKUP('Données projet'!$B$11,Paramètres!$A$1:$I$89,3,0)*VLOOKUP('Données projet'!$B$11,Paramètres!$A$1:$I$89,5,0)</f>
        <v>6.7984728957526396E-14</v>
      </c>
      <c r="BF158" s="13">
        <f t="shared" si="167"/>
        <v>1.0682447123141398E-12</v>
      </c>
      <c r="BG158" s="20">
        <f t="shared" si="168"/>
        <v>1.978932943548152E-12</v>
      </c>
      <c r="BH158" s="59">
        <f t="shared" si="116"/>
        <v>293.3333333333353</v>
      </c>
      <c r="BI158" s="59">
        <f ca="1">AVERAGE(OFFSET($BH$3,0,0,'Données projet'!$E$11+1,1))-AVERAGE(OFFSET($H$3,0,0,'Données projet'!$E$11+1,1))</f>
        <v>302.00825291248458</v>
      </c>
      <c r="BJ158" s="59">
        <f t="shared" si="146"/>
        <v>307.35115839449355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21.160417490004441</v>
      </c>
      <c r="BQ158" s="21">
        <f>EXP(-LN(2)/25)*BQ157+(1-EXP(-LN(2)/25))/(LN(2)/25)*Calculateur!BL158*Calculateur!BN158*VLOOKUP('Données projet'!$B$11,Paramètres!$A$1:$I$89,3,0)*0.475*44/12</f>
        <v>3.4777214419088582</v>
      </c>
      <c r="BR158" s="21">
        <f>EXP(-LN(2)/2)*BR157+(1-EXP(-LN(2)/2))/(LN(2)/2)*BL158*BO158*VLOOKUP('Données projet'!$B$11,Paramètres!$A$1:$I$89,3,0)*0.475*44/12</f>
        <v>3.0126402940398619E-13</v>
      </c>
      <c r="BS158" s="22">
        <f t="shared" si="169"/>
        <v>24.638138931913602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1.7053025658242404E-13</v>
      </c>
      <c r="BZ158" s="13">
        <f>BY158*VLOOKUP('Données projet'!$B$12,Paramètres!$A$1:$I$89,3,0)*VLOOKUP('Données projet'!$B$12,Paramètres!$A$1:$I$89,5,0)</f>
        <v>7.9808160080574461E-14</v>
      </c>
      <c r="CA158" s="13">
        <f t="shared" si="170"/>
        <v>1.2308384591775343E-12</v>
      </c>
      <c r="CB158" s="20">
        <f t="shared" si="171"/>
        <v>2.282709528541206E-12</v>
      </c>
      <c r="CC158" s="59">
        <f t="shared" si="119"/>
        <v>293.33333333333559</v>
      </c>
      <c r="CD158" s="59">
        <f ca="1">AVERAGE(OFFSET($CC$3,0,0,'Données projet'!$E$12+1,1))-AVERAGE(OFFSET($H$3,0,0,'Données projet'!$E$12+1,1))</f>
        <v>337.10499990421835</v>
      </c>
      <c r="CE158" s="59">
        <f t="shared" si="148"/>
        <v>277.4254079562175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90.427039207502219</v>
      </c>
      <c r="CL158" s="21">
        <f>EXP(-LN(2)/25)*CL157+(1-EXP(-LN(2)/25))/(LN(2)/25)*Calculateur!CG158*Calculateur!CI158*VLOOKUP('Données projet'!$B$12,Paramètres!$A$1:$I$89,3,0)*0.475*44/12</f>
        <v>23.087888542915632</v>
      </c>
      <c r="CM158" s="21">
        <f>EXP(-LN(2)/2)*CM157+(1-EXP(-LN(2)/2))/(LN(2)/2)*CG158*CJ158*VLOOKUP('Données projet'!$B$12,Paramètres!$A$1:$I$89,3,0)*0.475*44/12</f>
        <v>7.9122689635202186E-3</v>
      </c>
      <c r="CN158" s="22">
        <f t="shared" si="172"/>
        <v>113.52284001938138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7.5191666666666634</v>
      </c>
      <c r="CT158" s="12">
        <f>IF('Données projet'!$A$140&gt;35,CT157+CS158-DB157,IF(A158&lt;'Données projet'!$A$140,$CQ$205^A158,IF(A158='Données projet'!$A$140,'Données projet'!$B$140,CT157+CS158-DB157)))</f>
        <v>401.68083333333294</v>
      </c>
      <c r="CU158" s="17">
        <f>CT158*VLOOKUP('Données projet'!$B$13,Paramètres!$A$1:$I$89,3,0)*VLOOKUP('Données projet'!$B$13,Paramètres!$A$1:$I$89,5,0)</f>
        <v>401.03814399999959</v>
      </c>
      <c r="CV158" s="13">
        <f t="shared" si="173"/>
        <v>91.987101224858179</v>
      </c>
      <c r="CW158" s="20">
        <f t="shared" si="174"/>
        <v>858.68563543329401</v>
      </c>
      <c r="CX158" s="59">
        <f t="shared" si="122"/>
        <v>1152.0189687666273</v>
      </c>
      <c r="CY158" s="59">
        <f ca="1">AVERAGE(OFFSET($CX$3,0,0,'Données projet'!$E$13+1,1))-AVERAGE(OFFSET($H$3,0,0,'Données projet'!$E$13+1,1))</f>
        <v>525.74725170626471</v>
      </c>
      <c r="CZ158" s="59">
        <f t="shared" si="150"/>
        <v>259.19103598192197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26.352938308056093</v>
      </c>
      <c r="DG158" s="21">
        <f>EXP(-LN(2)/25)*DG157+(1-EXP(-LN(2)/25))/(LN(2)/25)*Calculateur!DB158*Calculateur!DD158*VLOOKUP('Données projet'!$B$13,Paramètres!$A$1:$I$89,3,0)*0.475*44/12</f>
        <v>16.757441674998606</v>
      </c>
      <c r="DH158" s="21">
        <f>EXP(-LN(2)/2)*DH157+(1-EXP(-LN(2)/2))/(LN(2)/2)*DB158*DE158*VLOOKUP('Données projet'!$B$13,Paramètres!$A$1:$I$89,3,0)*0.475*44/12</f>
        <v>0.12850501886534005</v>
      </c>
      <c r="DI158" s="22">
        <f t="shared" si="175"/>
        <v>43.238885001920039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2.7775000000000034</v>
      </c>
      <c r="DO158" s="12">
        <f>IF('Données projet'!$A$166&gt;35,DO157+DN158-DW157,IF(A158&lt;'Données projet'!$A$166,$DL$205^A158,IF(A158='Données projet'!$A$166,'Données projet'!$B$166,DO157+DN158-DW157)))</f>
        <v>188.96500000000054</v>
      </c>
      <c r="DP158" s="17">
        <f>DO158*VLOOKUP('Données projet'!$B$14,Paramètres!$A$1:$I$89,3,0)*VLOOKUP('Données projet'!$B$14,Paramètres!$A$1:$I$89,5,0)</f>
        <v>170.9755320000005</v>
      </c>
      <c r="DQ158" s="13">
        <f t="shared" si="176"/>
        <v>43.308437487586524</v>
      </c>
      <c r="DR158" s="20">
        <f t="shared" si="177"/>
        <v>373.21124685754739</v>
      </c>
      <c r="DS158" s="59">
        <f t="shared" si="125"/>
        <v>666.54458019088065</v>
      </c>
      <c r="DT158" s="59">
        <f ca="1">AVERAGE(OFFSET($DS$3,0,0,'Données projet'!$E$14+1,1))-AVERAGE(OFFSET($H$3,0,0,'Données projet'!$E$14+1,1))</f>
        <v>490.06222615476065</v>
      </c>
      <c r="DU158" s="59">
        <f t="shared" si="152"/>
        <v>310.43914804089906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83.793663501028661</v>
      </c>
      <c r="EB158" s="21">
        <f>EXP(-LN(2)/25)*EB157+(1-EXP(-LN(2)/25))/(LN(2)/25)*Calculateur!DW158*Calculateur!DY158*VLOOKUP('Données projet'!$B$14,Paramètres!$A$1:$I$89,3,0)*0.475*44/12</f>
        <v>18.604154818884396</v>
      </c>
      <c r="EC158" s="21">
        <f>EXP(-LN(2)/2)*EC157+(1-EXP(-LN(2)/2))/(LN(2)/2)*DW158*DZ158*VLOOKUP('Données projet'!$B$14,Paramètres!$A$1:$I$89,3,0)*0.475*44/12</f>
        <v>3.1385863571526449</v>
      </c>
      <c r="ED158" s="22">
        <f t="shared" si="178"/>
        <v>105.5364046770657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7.5191666666666634</v>
      </c>
      <c r="EJ158" s="12">
        <f>IF('Données projet'!$A$192&gt;35,EJ157+EI158-ER157,IF(A158&lt;'Données projet'!$A$192,$EG$205^A158,IF(A158='Données projet'!$A$192,'Données projet'!$B$192,EJ157+EI158-ER157)))</f>
        <v>401.68083333333294</v>
      </c>
      <c r="EK158" s="17">
        <f>EJ158*VLOOKUP('Données projet'!$B$15,Paramètres!$A$1:$I$89,3,0)*VLOOKUP('Données projet'!$B$15,Paramètres!$A$1:$I$89,5,0)</f>
        <v>407.30436499999962</v>
      </c>
      <c r="EL158" s="13">
        <f t="shared" si="179"/>
        <v>93.255949897998832</v>
      </c>
      <c r="EM158" s="20">
        <f t="shared" si="180"/>
        <v>871.80921511401391</v>
      </c>
      <c r="EN158" s="59">
        <f t="shared" si="128"/>
        <v>1165.1425484473473</v>
      </c>
      <c r="EO158" s="59">
        <f ca="1">AVERAGE(OFFSET($EN$3,0,0,'Données projet'!$E$15+1,1))-AVERAGE(OFFSET($H$3,0,0,'Données projet'!$E$15+1,1))</f>
        <v>533.26035274112917</v>
      </c>
      <c r="EP158" s="59">
        <f t="shared" si="154"/>
        <v>262.58149402282521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26.764702969119465</v>
      </c>
      <c r="EW158" s="21">
        <f>EXP(-LN(2)/25)*EW157+(1-EXP(-LN(2)/25))/(LN(2)/25)*Calculateur!ER158*Calculateur!ET158*VLOOKUP('Données projet'!$B$15,Paramètres!$A$1:$I$89,3,0)*0.475*44/12</f>
        <v>17.019276701170458</v>
      </c>
      <c r="EX158" s="21">
        <f>EXP(-LN(2)/2)*EX157+(1-EXP(-LN(2)/2))/(LN(2)/2)*ER158*EU158*VLOOKUP('Données projet'!$B$15,Paramètres!$A$1:$I$89,3,0)*0.475*44/12</f>
        <v>0.1305129097851109</v>
      </c>
      <c r="EY158" s="22">
        <f t="shared" si="181"/>
        <v>43.914492580075034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239.26156489359892</v>
      </c>
      <c r="FK158" s="59">
        <f t="shared" si="156"/>
        <v>213.97034450798111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2.9849224798188225</v>
      </c>
      <c r="FR158" s="21">
        <f>EXP(-LN(2)/25)*FR157+(1-EXP(-LN(2)/25))/(LN(2)/25)*Calculateur!FM158*Calculateur!FO158*VLOOKUP('Données projet'!$B$16,Paramètres!$A$1:$I$89,3,0)*0.475*44/12</f>
        <v>10.533455966810138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13.51837844662896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2.5579538487363607E-13</v>
      </c>
      <c r="O159" s="13">
        <f>N159*VLOOKUP('Données projet'!$B$9,Paramètres!$A$1:$I$89,3,0)*VLOOKUP('Données projet'!$B$9,Paramètres!$A$1:$I$89,5,0)</f>
        <v>2.4341488824575211E-13</v>
      </c>
      <c r="P159" s="13">
        <f t="shared" si="141"/>
        <v>3.2970717324875541E-12</v>
      </c>
      <c r="Q159" s="20">
        <f t="shared" si="162"/>
        <v>6.1663475311105072E-12</v>
      </c>
      <c r="R159" s="59">
        <f t="shared" si="109"/>
        <v>293.33333333333945</v>
      </c>
      <c r="S159" s="59">
        <f ca="1">AVERAGE(OFFSET($R$3,0,0,'Données projet'!$E$9+1,1))-AVERAGE(OFFSET($H$3,0,0,'Données projet'!$E$9+1,1))</f>
        <v>449.28947235329758</v>
      </c>
      <c r="T159" s="59">
        <f t="shared" si="142"/>
        <v>289.36994109443964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70.995306868658929</v>
      </c>
      <c r="AA159" s="21">
        <f>EXP(-LN(2)/25)*AA158+(1-EXP(-LN(2)/25))/(LN(2)/25)*Calculateur!V159*Calculateur!X159*VLOOKUP('Données projet'!$B$9,Paramètres!$A$1:$I$89,3,0)*0.475*44/12</f>
        <v>12.040821540337815</v>
      </c>
      <c r="AB159" s="21">
        <f>EXP(-LN(2)/2)*AB158+(1-EXP(-LN(2)/2))/(LN(2)/2)*V159*Y159*VLOOKUP('Données projet'!$B$9,Paramètres!$A$1:$I$89,3,0)*0.475*44/12</f>
        <v>8.7419970383880764E-4</v>
      </c>
      <c r="AC159" s="22">
        <f t="shared" si="163"/>
        <v>83.03700260870059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-1.3596945791505279E-13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349.71285006949597</v>
      </c>
      <c r="AO159" s="59">
        <f t="shared" si="144"/>
        <v>258.51550516456842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34.02395975763509</v>
      </c>
      <c r="AV159" s="21">
        <f>EXP(-LN(2)/25)*AV158+(1-EXP(-LN(2)/25))/(LN(2)/25)*Calculateur!AQ159*Calculateur!AS159*VLOOKUP('Données projet'!$B$10,Paramètres!$A$1:$I$89,3,0)*0.475*44/12</f>
        <v>6.2911775229446381</v>
      </c>
      <c r="AW159" s="21">
        <f>EXP(-LN(2)/2)*AW158+(1-EXP(-LN(2)/2))/(LN(2)/2)*AQ159*AT159*VLOOKUP('Données projet'!$B$10,Paramètres!$A$1:$I$89,3,0)*0.475*44/12</f>
        <v>2.5726564781947202E-10</v>
      </c>
      <c r="AX159" s="21">
        <f t="shared" si="166"/>
        <v>40.315137280836993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1.1368683772161603E-13</v>
      </c>
      <c r="BE159" s="13">
        <f>BD159*VLOOKUP('Données projet'!$B$11,Paramètres!$A$1:$I$89,3,0)*VLOOKUP('Données projet'!$B$11,Paramètres!$A$1:$I$89,5,0)</f>
        <v>6.7984728957526396E-14</v>
      </c>
      <c r="BF159" s="13">
        <f t="shared" si="167"/>
        <v>1.0682447123141398E-12</v>
      </c>
      <c r="BG159" s="20">
        <f t="shared" si="168"/>
        <v>1.978932943548152E-12</v>
      </c>
      <c r="BH159" s="59">
        <f t="shared" si="116"/>
        <v>293.3333333333353</v>
      </c>
      <c r="BI159" s="59">
        <f ca="1">AVERAGE(OFFSET($BH$3,0,0,'Données projet'!$E$11+1,1))-AVERAGE(OFFSET($H$3,0,0,'Données projet'!$E$11+1,1))</f>
        <v>302.00825291248458</v>
      </c>
      <c r="BJ159" s="59">
        <f t="shared" si="146"/>
        <v>307.35115839449355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20.745474609605704</v>
      </c>
      <c r="BQ159" s="21">
        <f>EXP(-LN(2)/25)*BQ158+(1-EXP(-LN(2)/25))/(LN(2)/25)*Calculateur!BL159*Calculateur!BN159*VLOOKUP('Données projet'!$B$11,Paramètres!$A$1:$I$89,3,0)*0.475*44/12</f>
        <v>3.3826229661944383</v>
      </c>
      <c r="BR159" s="21">
        <f>EXP(-LN(2)/2)*BR158+(1-EXP(-LN(2)/2))/(LN(2)/2)*BL159*BO159*VLOOKUP('Données projet'!$B$11,Paramètres!$A$1:$I$89,3,0)*0.475*44/12</f>
        <v>2.1302583811914209E-13</v>
      </c>
      <c r="BS159" s="22">
        <f t="shared" si="169"/>
        <v>24.128097575800357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1.7053025658242404E-13</v>
      </c>
      <c r="BZ159" s="13">
        <f>BY159*VLOOKUP('Données projet'!$B$12,Paramètres!$A$1:$I$89,3,0)*VLOOKUP('Données projet'!$B$12,Paramètres!$A$1:$I$89,5,0)</f>
        <v>7.9808160080574461E-14</v>
      </c>
      <c r="CA159" s="13">
        <f t="shared" si="170"/>
        <v>1.2308384591775343E-12</v>
      </c>
      <c r="CB159" s="20">
        <f t="shared" si="171"/>
        <v>2.282709528541206E-12</v>
      </c>
      <c r="CC159" s="59">
        <f t="shared" si="119"/>
        <v>293.33333333333559</v>
      </c>
      <c r="CD159" s="59">
        <f ca="1">AVERAGE(OFFSET($CC$3,0,0,'Données projet'!$E$12+1,1))-AVERAGE(OFFSET($H$3,0,0,'Données projet'!$E$12+1,1))</f>
        <v>337.10499990421835</v>
      </c>
      <c r="CE159" s="59">
        <f t="shared" si="148"/>
        <v>277.4254079562175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88.653820123690906</v>
      </c>
      <c r="CL159" s="21">
        <f>EXP(-LN(2)/25)*CL158+(1-EXP(-LN(2)/25))/(LN(2)/25)*Calculateur!CG159*Calculateur!CI159*VLOOKUP('Données projet'!$B$12,Paramètres!$A$1:$I$89,3,0)*0.475*44/12</f>
        <v>22.456549016570314</v>
      </c>
      <c r="CM159" s="21">
        <f>EXP(-LN(2)/2)*CM158+(1-EXP(-LN(2)/2))/(LN(2)/2)*CG159*CJ159*VLOOKUP('Données projet'!$B$12,Paramètres!$A$1:$I$89,3,0)*0.475*44/12</f>
        <v>5.5948190386770026E-3</v>
      </c>
      <c r="CN159" s="22">
        <f t="shared" si="172"/>
        <v>111.11596395929989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>
        <f>VLOOKUP(A159,'Données projet'!$A$139:$I$159,2,0)</f>
        <v>409.2</v>
      </c>
      <c r="CR159" s="12">
        <f>VLOOKUP(A159,'Données projet'!$A$139:$I$159,9,0)</f>
        <v>7.5191666666666634</v>
      </c>
      <c r="CS159" s="12">
        <f t="array" ref="CS159">INDEX(CR:CR,MIN(IF(ISNUMBER(CR159:CR355),ROW(CR159:CR355),"")))</f>
        <v>7.5191666666666634</v>
      </c>
      <c r="CT159" s="12">
        <f>IF('Données projet'!$A$140&gt;35,CT158+CS159-DB158,IF(A159&lt;'Données projet'!$A$140,$CQ$205^A159,IF(A159='Données projet'!$A$140,'Données projet'!$B$140,CT158+CS159-DB158)))</f>
        <v>409.19999999999959</v>
      </c>
      <c r="CU159" s="17">
        <f>CT159*VLOOKUP('Données projet'!$B$13,Paramètres!$A$1:$I$89,3,0)*VLOOKUP('Données projet'!$B$13,Paramètres!$A$1:$I$89,5,0)</f>
        <v>408.54527999999965</v>
      </c>
      <c r="CV159" s="13">
        <f t="shared" si="173"/>
        <v>93.506952544511549</v>
      </c>
      <c r="CW159" s="20">
        <f t="shared" si="174"/>
        <v>874.40763834835695</v>
      </c>
      <c r="CX159" s="59">
        <f t="shared" si="122"/>
        <v>1167.7409716816903</v>
      </c>
      <c r="CY159" s="59">
        <f ca="1">AVERAGE(OFFSET($CX$3,0,0,'Données projet'!$E$13+1,1))-AVERAGE(OFFSET($H$3,0,0,'Données projet'!$E$13+1,1))</f>
        <v>525.74725170626471</v>
      </c>
      <c r="CZ159" s="59">
        <f t="shared" si="150"/>
        <v>259.19103598192197</v>
      </c>
      <c r="DA159" s="15">
        <f>IF(ISNA(VLOOKUP(A159,'Données projet'!$A$139:$I$159,3,0)),0,VLOOKUP(A159,'Données projet'!$A$139:$I$159,3,0))</f>
        <v>11</v>
      </c>
      <c r="DB159" s="15">
        <f>IF(ISNA(VLOOKUP(A159,'Données projet'!$A$139:$I$159,4,0)),0,VLOOKUP(A159,'Données projet'!$A$139:$I$159,4,0))</f>
        <v>65.69</v>
      </c>
      <c r="DC159" s="16">
        <f>IF(ISNA(VLOOKUP(A159,'Données projet'!$A$139:$I$159,5,0)),0%,VLOOKUP(A159,'Données projet'!$A$139:$I$159,5,0)*VLOOKUP('Données projet'!$B$13,Paramètres!$A$1:$I$89,7,0))</f>
        <v>0.215</v>
      </c>
      <c r="DD159" s="16">
        <f>IF(ISNA(VLOOKUP(A159,'Données projet'!$A$139:$I$159,6,0)),0%,VLOOKUP(A159,'Données projet'!$A$139:$I$159,6,0)*VLOOKUP('Données projet'!$B$13,Paramètres!$A$1:$I$89,7,0))</f>
        <v>8.6000000000000007E-2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41.424137634181378</v>
      </c>
      <c r="DG159" s="21">
        <f>EXP(-LN(2)/25)*DG158+(1-EXP(-LN(2)/25))/(LN(2)/25)*Calculateur!DB159*Calculateur!DD159*VLOOKUP('Données projet'!$B$13,Paramètres!$A$1:$I$89,3,0)*0.475*44/12</f>
        <v>22.50984399813057</v>
      </c>
      <c r="DH159" s="21">
        <f>EXP(-LN(2)/2)*DH158+(1-EXP(-LN(2)/2))/(LN(2)/2)*DB159*DE159*VLOOKUP('Données projet'!$B$13,Paramètres!$A$1:$I$89,3,0)*0.475*44/12</f>
        <v>9.0866770256187168E-2</v>
      </c>
      <c r="DI159" s="22">
        <f t="shared" si="175"/>
        <v>64.024848402568139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2.7775000000000034</v>
      </c>
      <c r="DO159" s="12">
        <f>IF('Données projet'!$A$166&gt;35,DO158+DN159-DW158,IF(A159&lt;'Données projet'!$A$166,$DL$205^A159,IF(A159='Données projet'!$A$166,'Données projet'!$B$166,DO158+DN159-DW158)))</f>
        <v>191.74250000000055</v>
      </c>
      <c r="DP159" s="17">
        <f>DO159*VLOOKUP('Données projet'!$B$14,Paramètres!$A$1:$I$89,3,0)*VLOOKUP('Données projet'!$B$14,Paramètres!$A$1:$I$89,5,0)</f>
        <v>173.4886140000005</v>
      </c>
      <c r="DQ159" s="13">
        <f t="shared" si="176"/>
        <v>43.870430944544125</v>
      </c>
      <c r="DR159" s="20">
        <f t="shared" si="177"/>
        <v>378.56700327841526</v>
      </c>
      <c r="DS159" s="59">
        <f t="shared" si="125"/>
        <v>671.90033661174857</v>
      </c>
      <c r="DT159" s="59">
        <f ca="1">AVERAGE(OFFSET($DS$3,0,0,'Données projet'!$E$14+1,1))-AVERAGE(OFFSET($H$3,0,0,'Données projet'!$E$14+1,1))</f>
        <v>490.06222615476065</v>
      </c>
      <c r="DU159" s="59">
        <f t="shared" si="152"/>
        <v>310.43914804089906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82.150520868861619</v>
      </c>
      <c r="EB159" s="21">
        <f>EXP(-LN(2)/25)*EB158+(1-EXP(-LN(2)/25))/(LN(2)/25)*Calculateur!DW159*Calculateur!DY159*VLOOKUP('Données projet'!$B$14,Paramètres!$A$1:$I$89,3,0)*0.475*44/12</f>
        <v>18.09542322701202</v>
      </c>
      <c r="EC159" s="21">
        <f>EXP(-LN(2)/2)*EC158+(1-EXP(-LN(2)/2))/(LN(2)/2)*DW159*DZ159*VLOOKUP('Données projet'!$B$14,Paramètres!$A$1:$I$89,3,0)*0.475*44/12</f>
        <v>2.2193156964822189</v>
      </c>
      <c r="ED159" s="22">
        <f t="shared" si="178"/>
        <v>102.46525979235585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>
        <f>VLOOKUP(A159,'Données projet'!$A$191:$I$211,2,0)</f>
        <v>409.2</v>
      </c>
      <c r="EH159" s="12">
        <f>VLOOKUP(A159,'Données projet'!$A$191:$I$211,9,0)</f>
        <v>7.5191666666666634</v>
      </c>
      <c r="EI159" s="12">
        <f t="array" ref="EI159">INDEX(EH:EH,MIN(IF(ISNUMBER(EH159:EH355),ROW(EH159:EH355),"")))</f>
        <v>7.5191666666666634</v>
      </c>
      <c r="EJ159" s="12">
        <f>IF('Données projet'!$A$192&gt;35,EJ158+EI159-ER158,IF(A159&lt;'Données projet'!$A$192,$EG$205^A159,IF(A159='Données projet'!$A$192,'Données projet'!$B$192,EJ158+EI159-ER158)))</f>
        <v>409.19999999999959</v>
      </c>
      <c r="EK159" s="17">
        <f>EJ159*VLOOKUP('Données projet'!$B$15,Paramètres!$A$1:$I$89,3,0)*VLOOKUP('Données projet'!$B$15,Paramètres!$A$1:$I$89,5,0)</f>
        <v>414.92879999999963</v>
      </c>
      <c r="EL159" s="13">
        <f t="shared" si="179"/>
        <v>94.796765693156289</v>
      </c>
      <c r="EM159" s="20">
        <f t="shared" si="180"/>
        <v>887.77202691557977</v>
      </c>
      <c r="EN159" s="59">
        <f t="shared" si="128"/>
        <v>1181.105360248913</v>
      </c>
      <c r="EO159" s="59">
        <f ca="1">AVERAGE(OFFSET($EN$3,0,0,'Données projet'!$E$15+1,1))-AVERAGE(OFFSET($H$3,0,0,'Données projet'!$E$15+1,1))</f>
        <v>533.26035274112917</v>
      </c>
      <c r="EP159" s="59">
        <f t="shared" si="154"/>
        <v>262.58149402282521</v>
      </c>
      <c r="EQ159" s="15">
        <f>IF(ISNA(VLOOKUP(A159,'Données projet'!$A$191:$I$211,3,0)),0,VLOOKUP(A159,'Données projet'!$A$191:$I$211,3,0))</f>
        <v>11</v>
      </c>
      <c r="ER159" s="15">
        <f>IF(ISNA(VLOOKUP(A159,'Données projet'!$A$191:$I$211,4,0)),0,VLOOKUP(A159,'Données projet'!$A$191:$I$211,4,0))</f>
        <v>65.69</v>
      </c>
      <c r="ES159" s="16">
        <f>IF(ISNA(VLOOKUP(A159,'Données projet'!$A$191:$I$211,5,0)),0%,VLOOKUP(A159,'Données projet'!$A$191:$I$211,5,0)*VLOOKUP('Données projet'!$B$15,Paramètres!$A$1:$I$89,7,0))</f>
        <v>0.215</v>
      </c>
      <c r="ET159" s="16">
        <f>IF(ISNA(VLOOKUP(A159,'Données projet'!$A$191:$I$211,6,0)),0%,VLOOKUP(A159,'Données projet'!$A$191:$I$211,6,0)*VLOOKUP('Données projet'!$B$15,Paramètres!$A$1:$I$89,7,0))</f>
        <v>8.6000000000000007E-2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42.071389784715464</v>
      </c>
      <c r="EW159" s="21">
        <f>EXP(-LN(2)/25)*EW158+(1-EXP(-LN(2)/25))/(LN(2)/25)*Calculateur!ER159*Calculateur!ET159*VLOOKUP('Données projet'!$B$15,Paramètres!$A$1:$I$89,3,0)*0.475*44/12</f>
        <v>22.861560310601355</v>
      </c>
      <c r="EX159" s="21">
        <f>EXP(-LN(2)/2)*EX158+(1-EXP(-LN(2)/2))/(LN(2)/2)*ER159*EU159*VLOOKUP('Données projet'!$B$15,Paramètres!$A$1:$I$89,3,0)*0.475*44/12</f>
        <v>9.2286563541440034E-2</v>
      </c>
      <c r="EY159" s="22">
        <f t="shared" si="181"/>
        <v>65.025236658858248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239.26156489359892</v>
      </c>
      <c r="FK159" s="59">
        <f t="shared" si="156"/>
        <v>213.97034450798111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2.9263899706125165</v>
      </c>
      <c r="FR159" s="21">
        <f>EXP(-LN(2)/25)*FR158+(1-EXP(-LN(2)/25))/(LN(2)/25)*Calculateur!FM159*Calculateur!FO159*VLOOKUP('Données projet'!$B$16,Paramètres!$A$1:$I$89,3,0)*0.475*44/12</f>
        <v>10.24541805946734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13.171808030079857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2.5579538487363607E-13</v>
      </c>
      <c r="O160" s="13">
        <f>N160*VLOOKUP('Données projet'!$B$9,Paramètres!$A$1:$I$89,3,0)*VLOOKUP('Données projet'!$B$9,Paramètres!$A$1:$I$89,5,0)</f>
        <v>2.4341488824575211E-13</v>
      </c>
      <c r="P160" s="13">
        <f t="shared" si="141"/>
        <v>3.2970717324875541E-12</v>
      </c>
      <c r="Q160" s="20">
        <f t="shared" si="162"/>
        <v>6.1663475311105072E-12</v>
      </c>
      <c r="R160" s="59">
        <f t="shared" si="109"/>
        <v>293.33333333333945</v>
      </c>
      <c r="S160" s="59">
        <f ca="1">AVERAGE(OFFSET($R$3,0,0,'Données projet'!$E$9+1,1))-AVERAGE(OFFSET($H$3,0,0,'Données projet'!$E$9+1,1))</f>
        <v>449.28947235329758</v>
      </c>
      <c r="T160" s="59">
        <f t="shared" si="142"/>
        <v>289.36994109443964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69.603132203825922</v>
      </c>
      <c r="AA160" s="21">
        <f>EXP(-LN(2)/25)*AA159+(1-EXP(-LN(2)/25))/(LN(2)/25)*Calculateur!V160*Calculateur!X160*VLOOKUP('Données projet'!$B$9,Paramètres!$A$1:$I$89,3,0)*0.475*44/12</f>
        <v>11.711564642117992</v>
      </c>
      <c r="AB160" s="21">
        <f>EXP(-LN(2)/2)*AB159+(1-EXP(-LN(2)/2))/(LN(2)/2)*V160*Y160*VLOOKUP('Données projet'!$B$9,Paramètres!$A$1:$I$89,3,0)*0.475*44/12</f>
        <v>6.181525386956924E-4</v>
      </c>
      <c r="AC160" s="22">
        <f t="shared" si="163"/>
        <v>81.315314998482606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-1.3596945791505279E-13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349.71285006949597</v>
      </c>
      <c r="AO160" s="59">
        <f t="shared" si="144"/>
        <v>258.51550516456842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33.356770659354176</v>
      </c>
      <c r="AV160" s="21">
        <f>EXP(-LN(2)/25)*AV159+(1-EXP(-LN(2)/25))/(LN(2)/25)*Calculateur!AQ160*Calculateur!AS160*VLOOKUP('Données projet'!$B$10,Paramètres!$A$1:$I$89,3,0)*0.475*44/12</f>
        <v>6.1191449427410696</v>
      </c>
      <c r="AW160" s="21">
        <f>EXP(-LN(2)/2)*AW159+(1-EXP(-LN(2)/2))/(LN(2)/2)*AQ160*AT160*VLOOKUP('Données projet'!$B$10,Paramètres!$A$1:$I$89,3,0)*0.475*44/12</f>
        <v>1.819142841394988E-10</v>
      </c>
      <c r="AX160" s="21">
        <f t="shared" si="166"/>
        <v>39.475915602277155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1.1368683772161603E-13</v>
      </c>
      <c r="BE160" s="13">
        <f>BD160*VLOOKUP('Données projet'!$B$11,Paramètres!$A$1:$I$89,3,0)*VLOOKUP('Données projet'!$B$11,Paramètres!$A$1:$I$89,5,0)</f>
        <v>6.7984728957526396E-14</v>
      </c>
      <c r="BF160" s="13">
        <f t="shared" si="167"/>
        <v>1.0682447123141398E-12</v>
      </c>
      <c r="BG160" s="20">
        <f t="shared" si="168"/>
        <v>1.978932943548152E-12</v>
      </c>
      <c r="BH160" s="59">
        <f t="shared" si="116"/>
        <v>293.3333333333353</v>
      </c>
      <c r="BI160" s="59">
        <f ca="1">AVERAGE(OFFSET($BH$3,0,0,'Données projet'!$E$11+1,1))-AVERAGE(OFFSET($H$3,0,0,'Données projet'!$E$11+1,1))</f>
        <v>302.00825291248458</v>
      </c>
      <c r="BJ160" s="59">
        <f t="shared" si="146"/>
        <v>307.35115839449355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20.338668506001419</v>
      </c>
      <c r="BQ160" s="21">
        <f>EXP(-LN(2)/25)*BQ159+(1-EXP(-LN(2)/25))/(LN(2)/25)*Calculateur!BL160*Calculateur!BN160*VLOOKUP('Données projet'!$B$11,Paramètres!$A$1:$I$89,3,0)*0.475*44/12</f>
        <v>3.2901249632994407</v>
      </c>
      <c r="BR160" s="21">
        <f>EXP(-LN(2)/2)*BR159+(1-EXP(-LN(2)/2))/(LN(2)/2)*BL160*BO160*VLOOKUP('Données projet'!$B$11,Paramètres!$A$1:$I$89,3,0)*0.475*44/12</f>
        <v>1.506320147019931E-13</v>
      </c>
      <c r="BS160" s="22">
        <f t="shared" si="169"/>
        <v>23.628793469301009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1.7053025658242404E-13</v>
      </c>
      <c r="BZ160" s="13">
        <f>BY160*VLOOKUP('Données projet'!$B$12,Paramètres!$A$1:$I$89,3,0)*VLOOKUP('Données projet'!$B$12,Paramètres!$A$1:$I$89,5,0)</f>
        <v>7.9808160080574461E-14</v>
      </c>
      <c r="CA160" s="13">
        <f t="shared" si="170"/>
        <v>1.2308384591775343E-12</v>
      </c>
      <c r="CB160" s="20">
        <f t="shared" si="171"/>
        <v>2.282709528541206E-12</v>
      </c>
      <c r="CC160" s="59">
        <f t="shared" si="119"/>
        <v>293.33333333333559</v>
      </c>
      <c r="CD160" s="59">
        <f ca="1">AVERAGE(OFFSET($CC$3,0,0,'Données projet'!$E$12+1,1))-AVERAGE(OFFSET($H$3,0,0,'Données projet'!$E$12+1,1))</f>
        <v>337.10499990421835</v>
      </c>
      <c r="CE160" s="59">
        <f t="shared" si="148"/>
        <v>277.4254079562175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86.915372784556283</v>
      </c>
      <c r="CL160" s="21">
        <f>EXP(-LN(2)/25)*CL159+(1-EXP(-LN(2)/25))/(LN(2)/25)*Calculateur!CG160*Calculateur!CI160*VLOOKUP('Données projet'!$B$12,Paramètres!$A$1:$I$89,3,0)*0.475*44/12</f>
        <v>21.842473502773611</v>
      </c>
      <c r="CM160" s="21">
        <f>EXP(-LN(2)/2)*CM159+(1-EXP(-LN(2)/2))/(LN(2)/2)*CG160*CJ160*VLOOKUP('Données projet'!$B$12,Paramètres!$A$1:$I$89,3,0)*0.475*44/12</f>
        <v>3.9561344817601093E-3</v>
      </c>
      <c r="CN160" s="22">
        <f t="shared" si="172"/>
        <v>108.76180242181165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7.6783333333333319</v>
      </c>
      <c r="CT160" s="12">
        <f>IF('Données projet'!$A$140&gt;35,CT159+CS160-DB159,IF(A160&lt;'Données projet'!$A$140,$CQ$205^A160,IF(A160='Données projet'!$A$140,'Données projet'!$B$140,CT159+CS160-DB159)))</f>
        <v>351.18833333333293</v>
      </c>
      <c r="CU160" s="17">
        <f>CT160*VLOOKUP('Données projet'!$B$13,Paramètres!$A$1:$I$89,3,0)*VLOOKUP('Données projet'!$B$13,Paramètres!$A$1:$I$89,5,0)</f>
        <v>350.62643199999962</v>
      </c>
      <c r="CV160" s="13">
        <f t="shared" si="173"/>
        <v>81.691486665271654</v>
      </c>
      <c r="CW160" s="20">
        <f t="shared" si="174"/>
        <v>752.95370834201412</v>
      </c>
      <c r="CX160" s="59">
        <f t="shared" si="122"/>
        <v>1046.2870416753474</v>
      </c>
      <c r="CY160" s="59">
        <f ca="1">AVERAGE(OFFSET($CX$3,0,0,'Données projet'!$E$13+1,1))-AVERAGE(OFFSET($H$3,0,0,'Données projet'!$E$13+1,1))</f>
        <v>525.74725170626471</v>
      </c>
      <c r="CZ160" s="59">
        <f t="shared" si="150"/>
        <v>259.19103598192197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40.611835561404206</v>
      </c>
      <c r="DG160" s="21">
        <f>EXP(-LN(2)/25)*DG159+(1-EXP(-LN(2)/25))/(LN(2)/25)*Calculateur!DB160*Calculateur!DD160*VLOOKUP('Données projet'!$B$13,Paramètres!$A$1:$I$89,3,0)*0.475*44/12</f>
        <v>21.894311130260441</v>
      </c>
      <c r="DH160" s="21">
        <f>EXP(-LN(2)/2)*DH159+(1-EXP(-LN(2)/2))/(LN(2)/2)*DB160*DE160*VLOOKUP('Données projet'!$B$13,Paramètres!$A$1:$I$89,3,0)*0.475*44/12</f>
        <v>6.4252509432670024E-2</v>
      </c>
      <c r="DI160" s="22">
        <f t="shared" si="175"/>
        <v>62.570399201097317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>
        <f>VLOOKUP(A160,'Données projet'!$A$165:$I$185,2,0)</f>
        <v>194.52</v>
      </c>
      <c r="DM160" s="12">
        <f>VLOOKUP(A160,'Données projet'!$A$165:$I$185,9,0)</f>
        <v>2.7775000000000034</v>
      </c>
      <c r="DN160" s="12">
        <f t="array" ref="DN160">INDEX(DM:DM,MIN(IF(ISNUMBER(DM160:DM356),ROW(DM160:DM356),"")))</f>
        <v>2.7775000000000034</v>
      </c>
      <c r="DO160" s="12">
        <f>IF('Données projet'!$A$166&gt;35,DO159+DN160-DW159,IF(A160&lt;'Données projet'!$A$166,$DL$205^A160,IF(A160='Données projet'!$A$166,'Données projet'!$B$166,DO159+DN160-DW159)))</f>
        <v>194.52000000000055</v>
      </c>
      <c r="DP160" s="17">
        <f>DO160*VLOOKUP('Données projet'!$B$14,Paramètres!$A$1:$I$89,3,0)*VLOOKUP('Données projet'!$B$14,Paramètres!$A$1:$I$89,5,0)</f>
        <v>176.00169600000049</v>
      </c>
      <c r="DQ160" s="13">
        <f t="shared" si="176"/>
        <v>44.431477576109785</v>
      </c>
      <c r="DR160" s="20">
        <f t="shared" si="177"/>
        <v>383.92111064505872</v>
      </c>
      <c r="DS160" s="59">
        <f t="shared" si="125"/>
        <v>677.25444397839203</v>
      </c>
      <c r="DT160" s="59">
        <f ca="1">AVERAGE(OFFSET($DS$3,0,0,'Données projet'!$E$14+1,1))-AVERAGE(OFFSET($H$3,0,0,'Données projet'!$E$14+1,1))</f>
        <v>490.06222615476065</v>
      </c>
      <c r="DU160" s="59">
        <f t="shared" si="152"/>
        <v>310.43914804089906</v>
      </c>
      <c r="DV160" s="15">
        <f>IF(ISNA(VLOOKUP(A160,'Données projet'!$A$165:$I$185,3,0)),0,VLOOKUP(A160,'Données projet'!$A$165:$I$185,3,0))</f>
        <v>14</v>
      </c>
      <c r="DW160" s="15">
        <f>IF(ISNA(VLOOKUP(A160,'Données projet'!$A$165:$I$185,4,0)),0,VLOOKUP(A160,'Données projet'!$A$165:$I$185,4,0))</f>
        <v>67.13000000000001</v>
      </c>
      <c r="DX160" s="16">
        <f>IF(ISNA(VLOOKUP(A160,'Données projet'!$A$165:$I$185,5,0)),0%,VLOOKUP(A160,'Données projet'!$A$165:$I$185,5,0)*VLOOKUP('Données projet'!$B$14,Paramètres!$A$1:$I$89,7,0))</f>
        <v>0.19350000000000001</v>
      </c>
      <c r="DY160" s="16">
        <f>IF(ISNA(VLOOKUP(A160,'Données projet'!$A$165:$I$185,6,0)),0%,VLOOKUP(A160,'Données projet'!$A$165:$I$185,6,0)*VLOOKUP('Données projet'!$B$14,Paramètres!$A$1:$I$89,7,0))</f>
        <v>2.1500000000000002E-2</v>
      </c>
      <c r="DZ160" s="16">
        <f>IF(ISNA(VLOOKUP(A160,'Données projet'!$A$165:$I$185,7,0)),0%,VLOOKUP(A160,'Données projet'!$A$165:$I$185,7,0))</f>
        <v>0.05</v>
      </c>
      <c r="EA160" s="21">
        <f>EXP(-LN(2)/35)*EA159+(1-EXP(-LN(2)/35))/(LN(2)/35)*DW160*DX160*VLOOKUP('Données projet'!$B$14,Paramètres!$A$1:$I$89,3,0)*0.475*44/12</f>
        <v>93.53223667850591</v>
      </c>
      <c r="EB160" s="21">
        <f>EXP(-LN(2)/25)*EB159+(1-EXP(-LN(2)/25))/(LN(2)/25)*Calculateur!DW160*Calculateur!DY160*VLOOKUP('Données projet'!$B$14,Paramètres!$A$1:$I$89,3,0)*0.475*44/12</f>
        <v>19.038545199818962</v>
      </c>
      <c r="EC160" s="21">
        <f>EXP(-LN(2)/2)*EC159+(1-EXP(-LN(2)/2))/(LN(2)/2)*DW160*DZ160*VLOOKUP('Données projet'!$B$14,Paramètres!$A$1:$I$89,3,0)*0.475*44/12</f>
        <v>4.4347478093886004</v>
      </c>
      <c r="ED160" s="22">
        <f t="shared" si="178"/>
        <v>117.00552968771348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7.6783333333333319</v>
      </c>
      <c r="EJ160" s="12">
        <f>IF('Données projet'!$A$192&gt;35,EJ159+EI160-ER159,IF(A160&lt;'Données projet'!$A$192,$EG$205^A160,IF(A160='Données projet'!$A$192,'Données projet'!$B$192,EJ159+EI160-ER159)))</f>
        <v>351.18833333333293</v>
      </c>
      <c r="EK160" s="17">
        <f>EJ160*VLOOKUP('Données projet'!$B$15,Paramètres!$A$1:$I$89,3,0)*VLOOKUP('Données projet'!$B$15,Paramètres!$A$1:$I$89,5,0)</f>
        <v>356.10496999999958</v>
      </c>
      <c r="EL160" s="13">
        <f t="shared" si="179"/>
        <v>82.818320026492003</v>
      </c>
      <c r="EM160" s="20">
        <f t="shared" si="180"/>
        <v>764.45806346280631</v>
      </c>
      <c r="EN160" s="59">
        <f t="shared" si="128"/>
        <v>1057.7913967961397</v>
      </c>
      <c r="EO160" s="59">
        <f ca="1">AVERAGE(OFFSET($EN$3,0,0,'Données projet'!$E$15+1,1))-AVERAGE(OFFSET($H$3,0,0,'Données projet'!$E$15+1,1))</f>
        <v>533.26035274112917</v>
      </c>
      <c r="EP160" s="59">
        <f t="shared" si="154"/>
        <v>262.58149402282521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41.24639549205115</v>
      </c>
      <c r="EW160" s="21">
        <f>EXP(-LN(2)/25)*EW159+(1-EXP(-LN(2)/25))/(LN(2)/25)*Calculateur!ER160*Calculateur!ET160*VLOOKUP('Données projet'!$B$15,Paramètres!$A$1:$I$89,3,0)*0.475*44/12</f>
        <v>22.236409741670755</v>
      </c>
      <c r="EX160" s="21">
        <f>EXP(-LN(2)/2)*EX159+(1-EXP(-LN(2)/2))/(LN(2)/2)*ER160*EU160*VLOOKUP('Données projet'!$B$15,Paramètres!$A$1:$I$89,3,0)*0.475*44/12</f>
        <v>6.5256454892555452E-2</v>
      </c>
      <c r="EY160" s="22">
        <f t="shared" si="181"/>
        <v>63.54806168861446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239.26156489359892</v>
      </c>
      <c r="FK160" s="59">
        <f t="shared" si="156"/>
        <v>213.97034450798111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2.8690052482104407</v>
      </c>
      <c r="FR160" s="21">
        <f>EXP(-LN(2)/25)*FR159+(1-EXP(-LN(2)/25))/(LN(2)/25)*Calculateur!FM160*Calculateur!FO160*VLOOKUP('Données projet'!$B$16,Paramètres!$A$1:$I$89,3,0)*0.475*44/12</f>
        <v>9.9652565638480866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12.834261812058527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2.5579538487363607E-13</v>
      </c>
      <c r="O161" s="13">
        <f>N161*VLOOKUP('Données projet'!$B$9,Paramètres!$A$1:$I$89,3,0)*VLOOKUP('Données projet'!$B$9,Paramètres!$A$1:$I$89,5,0)</f>
        <v>2.4341488824575211E-13</v>
      </c>
      <c r="P161" s="13">
        <f t="shared" si="141"/>
        <v>3.2970717324875541E-12</v>
      </c>
      <c r="Q161" s="20">
        <f t="shared" si="162"/>
        <v>6.1663475311105072E-12</v>
      </c>
      <c r="R161" s="59">
        <f t="shared" si="109"/>
        <v>293.33333333333945</v>
      </c>
      <c r="S161" s="59">
        <f ca="1">AVERAGE(OFFSET($R$3,0,0,'Données projet'!$E$9+1,1))-AVERAGE(OFFSET($H$3,0,0,'Données projet'!$E$9+1,1))</f>
        <v>449.28947235329758</v>
      </c>
      <c r="T161" s="59">
        <f t="shared" si="142"/>
        <v>289.36994109443964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68.238257235027589</v>
      </c>
      <c r="AA161" s="21">
        <f>EXP(-LN(2)/25)*AA160+(1-EXP(-LN(2)/25))/(LN(2)/25)*Calculateur!V161*Calculateur!X161*VLOOKUP('Données projet'!$B$9,Paramètres!$A$1:$I$89,3,0)*0.475*44/12</f>
        <v>11.391311291094858</v>
      </c>
      <c r="AB161" s="21">
        <f>EXP(-LN(2)/2)*AB160+(1-EXP(-LN(2)/2))/(LN(2)/2)*V161*Y161*VLOOKUP('Données projet'!$B$9,Paramètres!$A$1:$I$89,3,0)*0.475*44/12</f>
        <v>4.3709985191940382E-4</v>
      </c>
      <c r="AC161" s="22">
        <f t="shared" si="163"/>
        <v>79.630005625974377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-1.3596945791505279E-13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349.71285006949597</v>
      </c>
      <c r="AO161" s="59">
        <f t="shared" si="144"/>
        <v>258.51550516456842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32.702664732345376</v>
      </c>
      <c r="AV161" s="21">
        <f>EXP(-LN(2)/25)*AV160+(1-EXP(-LN(2)/25))/(LN(2)/25)*Calculateur!AQ161*Calculateur!AS161*VLOOKUP('Données projet'!$B$10,Paramètres!$A$1:$I$89,3,0)*0.475*44/12</f>
        <v>5.9518166024899681</v>
      </c>
      <c r="AW161" s="21">
        <f>EXP(-LN(2)/2)*AW160+(1-EXP(-LN(2)/2))/(LN(2)/2)*AQ161*AT161*VLOOKUP('Données projet'!$B$10,Paramètres!$A$1:$I$89,3,0)*0.475*44/12</f>
        <v>1.2863282390973601E-10</v>
      </c>
      <c r="AX161" s="21">
        <f t="shared" si="166"/>
        <v>38.654481334963975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1.1368683772161603E-13</v>
      </c>
      <c r="BE161" s="13">
        <f>BD161*VLOOKUP('Données projet'!$B$11,Paramètres!$A$1:$I$89,3,0)*VLOOKUP('Données projet'!$B$11,Paramètres!$A$1:$I$89,5,0)</f>
        <v>6.7984728957526396E-14</v>
      </c>
      <c r="BF161" s="13">
        <f t="shared" si="167"/>
        <v>1.0682447123141398E-12</v>
      </c>
      <c r="BG161" s="20">
        <f t="shared" si="168"/>
        <v>1.978932943548152E-12</v>
      </c>
      <c r="BH161" s="59">
        <f t="shared" si="116"/>
        <v>293.3333333333353</v>
      </c>
      <c r="BI161" s="59">
        <f ca="1">AVERAGE(OFFSET($BH$3,0,0,'Données projet'!$E$11+1,1))-AVERAGE(OFFSET($H$3,0,0,'Données projet'!$E$11+1,1))</f>
        <v>302.00825291248458</v>
      </c>
      <c r="BJ161" s="59">
        <f t="shared" si="146"/>
        <v>307.35115839449355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19.939839621961593</v>
      </c>
      <c r="BQ161" s="21">
        <f>EXP(-LN(2)/25)*BQ160+(1-EXP(-LN(2)/25))/(LN(2)/25)*Calculateur!BL161*Calculateur!BN161*VLOOKUP('Données projet'!$B$11,Paramètres!$A$1:$I$89,3,0)*0.475*44/12</f>
        <v>3.2001563231578656</v>
      </c>
      <c r="BR161" s="21">
        <f>EXP(-LN(2)/2)*BR160+(1-EXP(-LN(2)/2))/(LN(2)/2)*BL161*BO161*VLOOKUP('Données projet'!$B$11,Paramètres!$A$1:$I$89,3,0)*0.475*44/12</f>
        <v>1.0651291905957104E-13</v>
      </c>
      <c r="BS161" s="22">
        <f t="shared" si="169"/>
        <v>23.139995945119566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1.7053025658242404E-13</v>
      </c>
      <c r="BZ161" s="13">
        <f>BY161*VLOOKUP('Données projet'!$B$12,Paramètres!$A$1:$I$89,3,0)*VLOOKUP('Données projet'!$B$12,Paramètres!$A$1:$I$89,5,0)</f>
        <v>7.9808160080574461E-14</v>
      </c>
      <c r="CA161" s="13">
        <f t="shared" si="170"/>
        <v>1.2308384591775343E-12</v>
      </c>
      <c r="CB161" s="20">
        <f t="shared" si="171"/>
        <v>2.282709528541206E-12</v>
      </c>
      <c r="CC161" s="59">
        <f t="shared" si="119"/>
        <v>293.33333333333559</v>
      </c>
      <c r="CD161" s="59">
        <f ca="1">AVERAGE(OFFSET($CC$3,0,0,'Données projet'!$E$12+1,1))-AVERAGE(OFFSET($H$3,0,0,'Données projet'!$E$12+1,1))</f>
        <v>337.10499990421835</v>
      </c>
      <c r="CE161" s="59">
        <f t="shared" si="148"/>
        <v>277.4254079562175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85.211015337393917</v>
      </c>
      <c r="CL161" s="21">
        <f>EXP(-LN(2)/25)*CL160+(1-EXP(-LN(2)/25))/(LN(2)/25)*Calculateur!CG161*Calculateur!CI161*VLOOKUP('Données projet'!$B$12,Paramètres!$A$1:$I$89,3,0)*0.475*44/12</f>
        <v>21.245189916194509</v>
      </c>
      <c r="CM161" s="21">
        <f>EXP(-LN(2)/2)*CM160+(1-EXP(-LN(2)/2))/(LN(2)/2)*CG161*CJ161*VLOOKUP('Données projet'!$B$12,Paramètres!$A$1:$I$89,3,0)*0.475*44/12</f>
        <v>2.7974095193385013E-3</v>
      </c>
      <c r="CN161" s="22">
        <f t="shared" si="172"/>
        <v>106.45900266310775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7.6783333333333319</v>
      </c>
      <c r="CT161" s="12">
        <f>IF('Données projet'!$A$140&gt;35,CT160+CS161-DB160,IF(A161&lt;'Données projet'!$A$140,$CQ$205^A161,IF(A161='Données projet'!$A$140,'Données projet'!$B$140,CT160+CS161-DB160)))</f>
        <v>358.86666666666628</v>
      </c>
      <c r="CU161" s="17">
        <f>CT161*VLOOKUP('Données projet'!$B$13,Paramètres!$A$1:$I$89,3,0)*VLOOKUP('Données projet'!$B$13,Paramètres!$A$1:$I$89,5,0)</f>
        <v>358.29247999999961</v>
      </c>
      <c r="CV161" s="13">
        <f t="shared" si="173"/>
        <v>83.26768497654173</v>
      </c>
      <c r="CW161" s="20">
        <f t="shared" si="174"/>
        <v>769.05062066747621</v>
      </c>
      <c r="CX161" s="59">
        <f t="shared" si="122"/>
        <v>1062.3839540008096</v>
      </c>
      <c r="CY161" s="59">
        <f ca="1">AVERAGE(OFFSET($CX$3,0,0,'Données projet'!$E$13+1,1))-AVERAGE(OFFSET($H$3,0,0,'Données projet'!$E$13+1,1))</f>
        <v>525.74725170626471</v>
      </c>
      <c r="CZ161" s="59">
        <f t="shared" si="150"/>
        <v>259.19103598192197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39.815462236818853</v>
      </c>
      <c r="DG161" s="21">
        <f>EXP(-LN(2)/25)*DG160+(1-EXP(-LN(2)/25))/(LN(2)/25)*Calculateur!DB161*Calculateur!DD161*VLOOKUP('Données projet'!$B$13,Paramètres!$A$1:$I$89,3,0)*0.475*44/12</f>
        <v>21.295610041031686</v>
      </c>
      <c r="DH161" s="21">
        <f>EXP(-LN(2)/2)*DH160+(1-EXP(-LN(2)/2))/(LN(2)/2)*DB161*DE161*VLOOKUP('Données projet'!$B$13,Paramètres!$A$1:$I$89,3,0)*0.475*44/12</f>
        <v>4.5433385128093584E-2</v>
      </c>
      <c r="DI161" s="22">
        <f t="shared" si="175"/>
        <v>61.156505662978631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1.7174999999999976</v>
      </c>
      <c r="DO161" s="12">
        <f>IF('Données projet'!$A$166&gt;35,DO160+DN161-DW160,IF(A161&lt;'Données projet'!$A$166,$DL$205^A161,IF(A161='Données projet'!$A$166,'Données projet'!$B$166,DO160+DN161-DW160)))</f>
        <v>129.10750000000053</v>
      </c>
      <c r="DP161" s="17">
        <f>DO161*VLOOKUP('Données projet'!$B$14,Paramètres!$A$1:$I$89,3,0)*VLOOKUP('Données projet'!$B$14,Paramètres!$A$1:$I$89,5,0)</f>
        <v>116.81646600000047</v>
      </c>
      <c r="DQ161" s="13">
        <f t="shared" si="176"/>
        <v>30.931334347171287</v>
      </c>
      <c r="DR161" s="20">
        <f t="shared" si="177"/>
        <v>257.32741893799079</v>
      </c>
      <c r="DS161" s="59">
        <f t="shared" si="125"/>
        <v>550.6607522713241</v>
      </c>
      <c r="DT161" s="59">
        <f ca="1">AVERAGE(OFFSET($DS$3,0,0,'Données projet'!$E$14+1,1))-AVERAGE(OFFSET($H$3,0,0,'Données projet'!$E$14+1,1))</f>
        <v>490.06222615476065</v>
      </c>
      <c r="DU161" s="59">
        <f t="shared" si="152"/>
        <v>310.43914804089906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91.698126566271654</v>
      </c>
      <c r="EB161" s="21">
        <f>EXP(-LN(2)/25)*EB160+(1-EXP(-LN(2)/25))/(LN(2)/25)*Calculateur!DW161*Calculateur!DY161*VLOOKUP('Données projet'!$B$14,Paramètres!$A$1:$I$89,3,0)*0.475*44/12</f>
        <v>18.517935180136334</v>
      </c>
      <c r="EC161" s="21">
        <f>EXP(-LN(2)/2)*EC160+(1-EXP(-LN(2)/2))/(LN(2)/2)*DW161*DZ161*VLOOKUP('Données projet'!$B$14,Paramètres!$A$1:$I$89,3,0)*0.475*44/12</f>
        <v>3.1358402488708661</v>
      </c>
      <c r="ED161" s="22">
        <f t="shared" si="178"/>
        <v>113.35190199527885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7.6783333333333319</v>
      </c>
      <c r="EJ161" s="12">
        <f>IF('Données projet'!$A$192&gt;35,EJ160+EI161-ER160,IF(A161&lt;'Données projet'!$A$192,$EG$205^A161,IF(A161='Données projet'!$A$192,'Données projet'!$B$192,EJ160+EI161-ER160)))</f>
        <v>358.86666666666628</v>
      </c>
      <c r="EK161" s="17">
        <f>EJ161*VLOOKUP('Données projet'!$B$15,Paramètres!$A$1:$I$89,3,0)*VLOOKUP('Données projet'!$B$15,Paramètres!$A$1:$I$89,5,0)</f>
        <v>363.89079999999962</v>
      </c>
      <c r="EL161" s="13">
        <f t="shared" si="179"/>
        <v>84.416260050559117</v>
      </c>
      <c r="EM161" s="20">
        <f t="shared" si="180"/>
        <v>780.80146292138977</v>
      </c>
      <c r="EN161" s="59">
        <f t="shared" si="128"/>
        <v>1074.1347962547231</v>
      </c>
      <c r="EO161" s="59">
        <f ca="1">AVERAGE(OFFSET($EN$3,0,0,'Données projet'!$E$15+1,1))-AVERAGE(OFFSET($H$3,0,0,'Données projet'!$E$15+1,1))</f>
        <v>533.26035274112917</v>
      </c>
      <c r="EP161" s="59">
        <f t="shared" si="154"/>
        <v>262.58149402282521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40.437578834269146</v>
      </c>
      <c r="EW161" s="21">
        <f>EXP(-LN(2)/25)*EW160+(1-EXP(-LN(2)/25))/(LN(2)/25)*Calculateur!ER161*Calculateur!ET161*VLOOKUP('Données projet'!$B$15,Paramètres!$A$1:$I$89,3,0)*0.475*44/12</f>
        <v>21.6283539479228</v>
      </c>
      <c r="EX161" s="21">
        <f>EXP(-LN(2)/2)*EX160+(1-EXP(-LN(2)/2))/(LN(2)/2)*ER161*EU161*VLOOKUP('Données projet'!$B$15,Paramètres!$A$1:$I$89,3,0)*0.475*44/12</f>
        <v>4.6143281770720017E-2</v>
      </c>
      <c r="EY161" s="22">
        <f t="shared" si="181"/>
        <v>62.112076063962668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239.26156489359892</v>
      </c>
      <c r="FK161" s="59">
        <f t="shared" si="156"/>
        <v>213.97034450798111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2.8127458052134449</v>
      </c>
      <c r="FR161" s="21">
        <f>EXP(-LN(2)/25)*FR160+(1-EXP(-LN(2)/25))/(LN(2)/25)*Calculateur!FM161*Calculateur!FO161*VLOOKUP('Données projet'!$B$16,Paramètres!$A$1:$I$89,3,0)*0.475*44/12</f>
        <v>9.6927560990595936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12.505501904273039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2.5579538487363607E-13</v>
      </c>
      <c r="O162" s="13">
        <f>N162*VLOOKUP('Données projet'!$B$9,Paramètres!$A$1:$I$89,3,0)*VLOOKUP('Données projet'!$B$9,Paramètres!$A$1:$I$89,5,0)</f>
        <v>2.4341488824575211E-13</v>
      </c>
      <c r="P162" s="13">
        <f t="shared" si="141"/>
        <v>3.2970717324875541E-12</v>
      </c>
      <c r="Q162" s="20">
        <f t="shared" si="162"/>
        <v>6.1663475311105072E-12</v>
      </c>
      <c r="R162" s="59">
        <f t="shared" si="109"/>
        <v>293.33333333333945</v>
      </c>
      <c r="S162" s="59">
        <f ca="1">AVERAGE(OFFSET($R$3,0,0,'Données projet'!$E$9+1,1))-AVERAGE(OFFSET($H$3,0,0,'Données projet'!$E$9+1,1))</f>
        <v>449.28947235329758</v>
      </c>
      <c r="T162" s="59">
        <f t="shared" si="142"/>
        <v>289.36994109443964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66.900146631875856</v>
      </c>
      <c r="AA162" s="21">
        <f>EXP(-LN(2)/25)*AA161+(1-EXP(-LN(2)/25))/(LN(2)/25)*Calculateur!V162*Calculateur!X162*VLOOKUP('Données projet'!$B$9,Paramètres!$A$1:$I$89,3,0)*0.475*44/12</f>
        <v>11.079815284796844</v>
      </c>
      <c r="AB162" s="21">
        <f>EXP(-LN(2)/2)*AB161+(1-EXP(-LN(2)/2))/(LN(2)/2)*V162*Y162*VLOOKUP('Données projet'!$B$9,Paramètres!$A$1:$I$89,3,0)*0.475*44/12</f>
        <v>3.090762693478462E-4</v>
      </c>
      <c r="AC162" s="22">
        <f t="shared" si="163"/>
        <v>77.980270992942039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-1.3596945791505279E-13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349.71285006949597</v>
      </c>
      <c r="AO162" s="59">
        <f t="shared" si="144"/>
        <v>258.51550516456842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32.061385423600001</v>
      </c>
      <c r="AV162" s="21">
        <f>EXP(-LN(2)/25)*AV161+(1-EXP(-LN(2)/25))/(LN(2)/25)*Calculateur!AQ162*Calculateur!AS162*VLOOKUP('Données projet'!$B$10,Paramètres!$A$1:$I$89,3,0)*0.475*44/12</f>
        <v>5.7890638645024479</v>
      </c>
      <c r="AW162" s="21">
        <f>EXP(-LN(2)/2)*AW161+(1-EXP(-LN(2)/2))/(LN(2)/2)*AQ162*AT162*VLOOKUP('Données projet'!$B$10,Paramètres!$A$1:$I$89,3,0)*0.475*44/12</f>
        <v>9.0957142069749401E-11</v>
      </c>
      <c r="AX162" s="21">
        <f t="shared" si="166"/>
        <v>37.850449288193403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1.1368683772161603E-13</v>
      </c>
      <c r="BE162" s="13">
        <f>BD162*VLOOKUP('Données projet'!$B$11,Paramètres!$A$1:$I$89,3,0)*VLOOKUP('Données projet'!$B$11,Paramètres!$A$1:$I$89,5,0)</f>
        <v>6.7984728957526396E-14</v>
      </c>
      <c r="BF162" s="13">
        <f t="shared" si="167"/>
        <v>1.0682447123141398E-12</v>
      </c>
      <c r="BG162" s="20">
        <f t="shared" si="168"/>
        <v>1.978932943548152E-12</v>
      </c>
      <c r="BH162" s="59">
        <f t="shared" si="116"/>
        <v>293.3333333333353</v>
      </c>
      <c r="BI162" s="59">
        <f ca="1">AVERAGE(OFFSET($BH$3,0,0,'Données projet'!$E$11+1,1))-AVERAGE(OFFSET($H$3,0,0,'Données projet'!$E$11+1,1))</f>
        <v>302.00825291248458</v>
      </c>
      <c r="BJ162" s="59">
        <f t="shared" si="146"/>
        <v>307.35115839449355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19.548831529076189</v>
      </c>
      <c r="BQ162" s="21">
        <f>EXP(-LN(2)/25)*BQ161+(1-EXP(-LN(2)/25))/(LN(2)/25)*Calculateur!BL162*Calculateur!BN162*VLOOKUP('Données projet'!$B$11,Paramètres!$A$1:$I$89,3,0)*0.475*44/12</f>
        <v>3.1126478802122066</v>
      </c>
      <c r="BR162" s="21">
        <f>EXP(-LN(2)/2)*BR161+(1-EXP(-LN(2)/2))/(LN(2)/2)*BL162*BO162*VLOOKUP('Données projet'!$B$11,Paramètres!$A$1:$I$89,3,0)*0.475*44/12</f>
        <v>7.5316007350996548E-14</v>
      </c>
      <c r="BS162" s="22">
        <f t="shared" si="169"/>
        <v>22.661479409288471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1.7053025658242404E-13</v>
      </c>
      <c r="BZ162" s="13">
        <f>BY162*VLOOKUP('Données projet'!$B$12,Paramètres!$A$1:$I$89,3,0)*VLOOKUP('Données projet'!$B$12,Paramètres!$A$1:$I$89,5,0)</f>
        <v>7.9808160080574461E-14</v>
      </c>
      <c r="CA162" s="13">
        <f t="shared" si="170"/>
        <v>1.2308384591775343E-12</v>
      </c>
      <c r="CB162" s="20">
        <f t="shared" si="171"/>
        <v>2.282709528541206E-12</v>
      </c>
      <c r="CC162" s="59">
        <f t="shared" si="119"/>
        <v>293.33333333333559</v>
      </c>
      <c r="CD162" s="59">
        <f ca="1">AVERAGE(OFFSET($CC$3,0,0,'Données projet'!$E$12+1,1))-AVERAGE(OFFSET($H$3,0,0,'Données projet'!$E$12+1,1))</f>
        <v>337.10499990421835</v>
      </c>
      <c r="CE162" s="59">
        <f t="shared" si="148"/>
        <v>277.4254079562175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83.540079300215012</v>
      </c>
      <c r="CL162" s="21">
        <f>EXP(-LN(2)/25)*CL161+(1-EXP(-LN(2)/25))/(LN(2)/25)*Calculateur!CG162*Calculateur!CI162*VLOOKUP('Données projet'!$B$12,Paramètres!$A$1:$I$89,3,0)*0.475*44/12</f>
        <v>20.664239080700188</v>
      </c>
      <c r="CM162" s="21">
        <f>EXP(-LN(2)/2)*CM161+(1-EXP(-LN(2)/2))/(LN(2)/2)*CG162*CJ162*VLOOKUP('Données projet'!$B$12,Paramètres!$A$1:$I$89,3,0)*0.475*44/12</f>
        <v>1.9780672408800546E-3</v>
      </c>
      <c r="CN162" s="22">
        <f t="shared" si="172"/>
        <v>104.20629644815608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7.6783333333333319</v>
      </c>
      <c r="CT162" s="12">
        <f>IF('Données projet'!$A$140&gt;35,CT161+CS162-DB161,IF(A162&lt;'Données projet'!$A$140,$CQ$205^A162,IF(A162='Données projet'!$A$140,'Données projet'!$B$140,CT161+CS162-DB161)))</f>
        <v>366.54499999999962</v>
      </c>
      <c r="CU162" s="17">
        <f>CT162*VLOOKUP('Données projet'!$B$13,Paramètres!$A$1:$I$89,3,0)*VLOOKUP('Données projet'!$B$13,Paramètres!$A$1:$I$89,5,0)</f>
        <v>365.95852799999966</v>
      </c>
      <c r="CV162" s="13">
        <f t="shared" si="173"/>
        <v>84.839962331419784</v>
      </c>
      <c r="CW162" s="20">
        <f t="shared" si="174"/>
        <v>785.14070399388891</v>
      </c>
      <c r="CX162" s="59">
        <f t="shared" si="122"/>
        <v>1078.4740373272223</v>
      </c>
      <c r="CY162" s="59">
        <f ca="1">AVERAGE(OFFSET($CX$3,0,0,'Données projet'!$E$13+1,1))-AVERAGE(OFFSET($H$3,0,0,'Données projet'!$E$13+1,1))</f>
        <v>525.74725170626471</v>
      </c>
      <c r="CZ162" s="59">
        <f t="shared" si="150"/>
        <v>259.19103598192197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39.034705307388855</v>
      </c>
      <c r="DG162" s="21">
        <f>EXP(-LN(2)/25)*DG161+(1-EXP(-LN(2)/25))/(LN(2)/25)*Calculateur!DB162*Calculateur!DD162*VLOOKUP('Données projet'!$B$13,Paramètres!$A$1:$I$89,3,0)*0.475*44/12</f>
        <v>20.713280464572215</v>
      </c>
      <c r="DH162" s="21">
        <f>EXP(-LN(2)/2)*DH161+(1-EXP(-LN(2)/2))/(LN(2)/2)*DB162*DE162*VLOOKUP('Données projet'!$B$13,Paramètres!$A$1:$I$89,3,0)*0.475*44/12</f>
        <v>3.2126254716335012E-2</v>
      </c>
      <c r="DI162" s="22">
        <f t="shared" si="175"/>
        <v>59.780112026677401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1.7174999999999976</v>
      </c>
      <c r="DO162" s="12">
        <f>IF('Données projet'!$A$166&gt;35,DO161+DN162-DW161,IF(A162&lt;'Données projet'!$A$166,$DL$205^A162,IF(A162='Données projet'!$A$166,'Données projet'!$B$166,DO161+DN162-DW161)))</f>
        <v>130.82500000000053</v>
      </c>
      <c r="DP162" s="17">
        <f>DO162*VLOOKUP('Données projet'!$B$14,Paramètres!$A$1:$I$89,3,0)*VLOOKUP('Données projet'!$B$14,Paramètres!$A$1:$I$89,5,0)</f>
        <v>118.37046000000048</v>
      </c>
      <c r="DQ162" s="13">
        <f t="shared" si="176"/>
        <v>31.29463394593726</v>
      </c>
      <c r="DR162" s="20">
        <f t="shared" si="177"/>
        <v>260.6667052891749</v>
      </c>
      <c r="DS162" s="59">
        <f t="shared" si="125"/>
        <v>554.00003862250821</v>
      </c>
      <c r="DT162" s="59">
        <f ca="1">AVERAGE(OFFSET($DS$3,0,0,'Données projet'!$E$14+1,1))-AVERAGE(OFFSET($H$3,0,0,'Données projet'!$E$14+1,1))</f>
        <v>490.06222615476065</v>
      </c>
      <c r="DU162" s="59">
        <f t="shared" si="152"/>
        <v>310.43914804089906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89.899982234641612</v>
      </c>
      <c r="EB162" s="21">
        <f>EXP(-LN(2)/25)*EB161+(1-EXP(-LN(2)/25))/(LN(2)/25)*Calculateur!DW162*Calculateur!DY162*VLOOKUP('Données projet'!$B$14,Paramètres!$A$1:$I$89,3,0)*0.475*44/12</f>
        <v>18.011561268819619</v>
      </c>
      <c r="EC162" s="21">
        <f>EXP(-LN(2)/2)*EC161+(1-EXP(-LN(2)/2))/(LN(2)/2)*DW162*DZ162*VLOOKUP('Données projet'!$B$14,Paramètres!$A$1:$I$89,3,0)*0.475*44/12</f>
        <v>2.2173739046943002</v>
      </c>
      <c r="ED162" s="22">
        <f t="shared" si="178"/>
        <v>110.12891740815553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7.6783333333333319</v>
      </c>
      <c r="EJ162" s="12">
        <f>IF('Données projet'!$A$192&gt;35,EJ161+EI162-ER161,IF(A162&lt;'Données projet'!$A$192,$EG$205^A162,IF(A162='Données projet'!$A$192,'Données projet'!$B$192,EJ161+EI162-ER161)))</f>
        <v>366.54499999999962</v>
      </c>
      <c r="EK162" s="17">
        <f>EJ162*VLOOKUP('Données projet'!$B$15,Paramètres!$A$1:$I$89,3,0)*VLOOKUP('Données projet'!$B$15,Paramètres!$A$1:$I$89,5,0)</f>
        <v>371.67662999999965</v>
      </c>
      <c r="EL162" s="13">
        <f t="shared" si="179"/>
        <v>86.010225033473873</v>
      </c>
      <c r="EM162" s="20">
        <f t="shared" si="180"/>
        <v>797.13793918329975</v>
      </c>
      <c r="EN162" s="59">
        <f t="shared" si="128"/>
        <v>1090.471272516633</v>
      </c>
      <c r="EO162" s="59">
        <f ca="1">AVERAGE(OFFSET($EN$3,0,0,'Données projet'!$E$15+1,1))-AVERAGE(OFFSET($H$3,0,0,'Données projet'!$E$15+1,1))</f>
        <v>533.26035274112917</v>
      </c>
      <c r="EP162" s="59">
        <f t="shared" si="154"/>
        <v>262.58149402282521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39.644622577816804</v>
      </c>
      <c r="EW162" s="21">
        <f>EXP(-LN(2)/25)*EW161+(1-EXP(-LN(2)/25))/(LN(2)/25)*Calculateur!ER162*Calculateur!ET162*VLOOKUP('Données projet'!$B$15,Paramètres!$A$1:$I$89,3,0)*0.475*44/12</f>
        <v>21.03692547183115</v>
      </c>
      <c r="EX162" s="21">
        <f>EXP(-LN(2)/2)*EX161+(1-EXP(-LN(2)/2))/(LN(2)/2)*ER162*EU162*VLOOKUP('Données projet'!$B$15,Paramètres!$A$1:$I$89,3,0)*0.475*44/12</f>
        <v>3.2628227446277726E-2</v>
      </c>
      <c r="EY162" s="22">
        <f t="shared" si="181"/>
        <v>60.714176277094239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239.26156489359892</v>
      </c>
      <c r="FK162" s="59">
        <f t="shared" si="156"/>
        <v>213.97034450798111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2.7575895755787485</v>
      </c>
      <c r="FR162" s="21">
        <f>EXP(-LN(2)/25)*FR161+(1-EXP(-LN(2)/25))/(LN(2)/25)*Calculateur!FM162*Calculateur!FO162*VLOOKUP('Données projet'!$B$16,Paramètres!$A$1:$I$89,3,0)*0.475*44/12</f>
        <v>9.4277071738109193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12.185296749389668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2.5579538487363607E-13</v>
      </c>
      <c r="O163" s="13">
        <f>N163*VLOOKUP('Données projet'!$B$9,Paramètres!$A$1:$I$89,3,0)*VLOOKUP('Données projet'!$B$9,Paramètres!$A$1:$I$89,5,0)</f>
        <v>2.4341488824575211E-13</v>
      </c>
      <c r="P163" s="13">
        <f t="shared" si="141"/>
        <v>3.2970717324875541E-12</v>
      </c>
      <c r="Q163" s="20">
        <f t="shared" si="162"/>
        <v>6.1663475311105072E-12</v>
      </c>
      <c r="R163" s="59">
        <f t="shared" si="109"/>
        <v>293.33333333333945</v>
      </c>
      <c r="S163" s="59">
        <f ca="1">AVERAGE(OFFSET($R$3,0,0,'Données projet'!$E$9+1,1))-AVERAGE(OFFSET($H$3,0,0,'Données projet'!$E$9+1,1))</f>
        <v>449.28947235329758</v>
      </c>
      <c r="T163" s="59">
        <f t="shared" si="142"/>
        <v>289.36994109443964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65.588275561485048</v>
      </c>
      <c r="AA163" s="21">
        <f>EXP(-LN(2)/25)*AA162+(1-EXP(-LN(2)/25))/(LN(2)/25)*Calculateur!V163*Calculateur!X163*VLOOKUP('Données projet'!$B$9,Paramètres!$A$1:$I$89,3,0)*0.475*44/12</f>
        <v>10.776837153171911</v>
      </c>
      <c r="AB163" s="21">
        <f>EXP(-LN(2)/2)*AB162+(1-EXP(-LN(2)/2))/(LN(2)/2)*V163*Y163*VLOOKUP('Données projet'!$B$9,Paramètres!$A$1:$I$89,3,0)*0.475*44/12</f>
        <v>2.1854992595970191E-4</v>
      </c>
      <c r="AC163" s="22">
        <f t="shared" si="163"/>
        <v>76.36533126458292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-1.3596945791505279E-13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349.71285006949597</v>
      </c>
      <c r="AO163" s="59">
        <f t="shared" si="144"/>
        <v>258.51550516456842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31.432681210957366</v>
      </c>
      <c r="AV163" s="21">
        <f>EXP(-LN(2)/25)*AV162+(1-EXP(-LN(2)/25))/(LN(2)/25)*Calculateur!AQ163*Calculateur!AS163*VLOOKUP('Données projet'!$B$10,Paramètres!$A$1:$I$89,3,0)*0.475*44/12</f>
        <v>5.6307616086939909</v>
      </c>
      <c r="AW163" s="21">
        <f>EXP(-LN(2)/2)*AW162+(1-EXP(-LN(2)/2))/(LN(2)/2)*AQ163*AT163*VLOOKUP('Données projet'!$B$10,Paramètres!$A$1:$I$89,3,0)*0.475*44/12</f>
        <v>6.4316411954868005E-11</v>
      </c>
      <c r="AX163" s="21">
        <f t="shared" si="166"/>
        <v>37.063442819715675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1.1368683772161603E-13</v>
      </c>
      <c r="BE163" s="13">
        <f>BD163*VLOOKUP('Données projet'!$B$11,Paramètres!$A$1:$I$89,3,0)*VLOOKUP('Données projet'!$B$11,Paramètres!$A$1:$I$89,5,0)</f>
        <v>6.7984728957526396E-14</v>
      </c>
      <c r="BF163" s="13">
        <f t="shared" si="167"/>
        <v>1.0682447123141398E-12</v>
      </c>
      <c r="BG163" s="20">
        <f t="shared" si="168"/>
        <v>1.978932943548152E-12</v>
      </c>
      <c r="BH163" s="59">
        <f t="shared" si="116"/>
        <v>293.3333333333353</v>
      </c>
      <c r="BI163" s="59">
        <f ca="1">AVERAGE(OFFSET($BH$3,0,0,'Données projet'!$E$11+1,1))-AVERAGE(OFFSET($H$3,0,0,'Données projet'!$E$11+1,1))</f>
        <v>302.00825291248458</v>
      </c>
      <c r="BJ163" s="59">
        <f t="shared" si="146"/>
        <v>307.35115839449355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19.16549086640088</v>
      </c>
      <c r="BQ163" s="21">
        <f>EXP(-LN(2)/25)*BQ162+(1-EXP(-LN(2)/25))/(LN(2)/25)*Calculateur!BL163*Calculateur!BN163*VLOOKUP('Données projet'!$B$11,Paramètres!$A$1:$I$89,3,0)*0.475*44/12</f>
        <v>3.027532360240766</v>
      </c>
      <c r="BR163" s="21">
        <f>EXP(-LN(2)/2)*BR162+(1-EXP(-LN(2)/2))/(LN(2)/2)*BL163*BO163*VLOOKUP('Données projet'!$B$11,Paramètres!$A$1:$I$89,3,0)*0.475*44/12</f>
        <v>5.3256459529785521E-14</v>
      </c>
      <c r="BS163" s="22">
        <f t="shared" si="169"/>
        <v>22.193023226641699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1.7053025658242404E-13</v>
      </c>
      <c r="BZ163" s="13">
        <f>BY163*VLOOKUP('Données projet'!$B$12,Paramètres!$A$1:$I$89,3,0)*VLOOKUP('Données projet'!$B$12,Paramètres!$A$1:$I$89,5,0)</f>
        <v>7.9808160080574461E-14</v>
      </c>
      <c r="CA163" s="13">
        <f t="shared" si="170"/>
        <v>1.2308384591775343E-12</v>
      </c>
      <c r="CB163" s="20">
        <f t="shared" si="171"/>
        <v>2.282709528541206E-12</v>
      </c>
      <c r="CC163" s="59">
        <f t="shared" si="119"/>
        <v>293.33333333333559</v>
      </c>
      <c r="CD163" s="59">
        <f ca="1">AVERAGE(OFFSET($CC$3,0,0,'Données projet'!$E$12+1,1))-AVERAGE(OFFSET($H$3,0,0,'Données projet'!$E$12+1,1))</f>
        <v>337.10499990421835</v>
      </c>
      <c r="CE163" s="59">
        <f t="shared" si="148"/>
        <v>277.4254079562175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81.901909299554845</v>
      </c>
      <c r="CL163" s="21">
        <f>EXP(-LN(2)/25)*CL162+(1-EXP(-LN(2)/25))/(LN(2)/25)*Calculateur!CG163*Calculateur!CI163*VLOOKUP('Données projet'!$B$12,Paramètres!$A$1:$I$89,3,0)*0.475*44/12</f>
        <v>20.099174376353336</v>
      </c>
      <c r="CM163" s="21">
        <f>EXP(-LN(2)/2)*CM162+(1-EXP(-LN(2)/2))/(LN(2)/2)*CG163*CJ163*VLOOKUP('Données projet'!$B$12,Paramètres!$A$1:$I$89,3,0)*0.475*44/12</f>
        <v>1.3987047596692506E-3</v>
      </c>
      <c r="CN163" s="22">
        <f t="shared" si="172"/>
        <v>102.00248238066784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7.6783333333333319</v>
      </c>
      <c r="CT163" s="12">
        <f>IF('Données projet'!$A$140&gt;35,CT162+CS163-DB162,IF(A163&lt;'Données projet'!$A$140,$CQ$205^A163,IF(A163='Données projet'!$A$140,'Données projet'!$B$140,CT162+CS163-DB162)))</f>
        <v>374.22333333333296</v>
      </c>
      <c r="CU163" s="17">
        <f>CT163*VLOOKUP('Données projet'!$B$13,Paramètres!$A$1:$I$89,3,0)*VLOOKUP('Données projet'!$B$13,Paramètres!$A$1:$I$89,5,0)</f>
        <v>373.62457599999965</v>
      </c>
      <c r="CV163" s="13">
        <f t="shared" si="173"/>
        <v>86.408410327964575</v>
      </c>
      <c r="CW163" s="20">
        <f t="shared" si="174"/>
        <v>801.22411785453767</v>
      </c>
      <c r="CX163" s="59">
        <f t="shared" si="122"/>
        <v>1094.557451187871</v>
      </c>
      <c r="CY163" s="59">
        <f ca="1">AVERAGE(OFFSET($CX$3,0,0,'Données projet'!$E$13+1,1))-AVERAGE(OFFSET($H$3,0,0,'Données projet'!$E$13+1,1))</f>
        <v>525.74725170626471</v>
      </c>
      <c r="CZ163" s="59">
        <f t="shared" si="150"/>
        <v>259.19103598192197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38.26925854513027</v>
      </c>
      <c r="DG163" s="21">
        <f>EXP(-LN(2)/25)*DG162+(1-EXP(-LN(2)/25))/(LN(2)/25)*Calculateur!DB163*Calculateur!DD163*VLOOKUP('Données projet'!$B$13,Paramètres!$A$1:$I$89,3,0)*0.475*44/12</f>
        <v>20.146874721004409</v>
      </c>
      <c r="DH163" s="21">
        <f>EXP(-LN(2)/2)*DH162+(1-EXP(-LN(2)/2))/(LN(2)/2)*DB163*DE163*VLOOKUP('Données projet'!$B$13,Paramètres!$A$1:$I$89,3,0)*0.475*44/12</f>
        <v>2.2716692564046792E-2</v>
      </c>
      <c r="DI163" s="22">
        <f t="shared" si="175"/>
        <v>58.438849958698725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1.7174999999999976</v>
      </c>
      <c r="DO163" s="12">
        <f>IF('Données projet'!$A$166&gt;35,DO162+DN163-DW162,IF(A163&lt;'Données projet'!$A$166,$DL$205^A163,IF(A163='Données projet'!$A$166,'Données projet'!$B$166,DO162+DN163-DW162)))</f>
        <v>132.54250000000053</v>
      </c>
      <c r="DP163" s="17">
        <f>DO163*VLOOKUP('Données projet'!$B$14,Paramètres!$A$1:$I$89,3,0)*VLOOKUP('Données projet'!$B$14,Paramètres!$A$1:$I$89,5,0)</f>
        <v>119.92445400000048</v>
      </c>
      <c r="DQ163" s="13">
        <f t="shared" si="176"/>
        <v>31.657378784489545</v>
      </c>
      <c r="DR163" s="20">
        <f t="shared" si="177"/>
        <v>264.00502543298677</v>
      </c>
      <c r="DS163" s="59">
        <f t="shared" si="125"/>
        <v>557.33835876632008</v>
      </c>
      <c r="DT163" s="59">
        <f ca="1">AVERAGE(OFFSET($DS$3,0,0,'Données projet'!$E$14+1,1))-AVERAGE(OFFSET($H$3,0,0,'Données projet'!$E$14+1,1))</f>
        <v>490.06222615476065</v>
      </c>
      <c r="DU163" s="59">
        <f t="shared" si="152"/>
        <v>310.43914804089906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88.137098416595094</v>
      </c>
      <c r="EB163" s="21">
        <f>EXP(-LN(2)/25)*EB162+(1-EXP(-LN(2)/25))/(LN(2)/25)*Calculateur!DW163*Calculateur!DY163*VLOOKUP('Données projet'!$B$14,Paramètres!$A$1:$I$89,3,0)*0.475*44/12</f>
        <v>17.519034178736906</v>
      </c>
      <c r="EC163" s="21">
        <f>EXP(-LN(2)/2)*EC162+(1-EXP(-LN(2)/2))/(LN(2)/2)*DW163*DZ163*VLOOKUP('Données projet'!$B$14,Paramètres!$A$1:$I$89,3,0)*0.475*44/12</f>
        <v>1.567920124435433</v>
      </c>
      <c r="ED163" s="22">
        <f t="shared" si="178"/>
        <v>107.22405271976743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7.6783333333333319</v>
      </c>
      <c r="EJ163" s="12">
        <f>IF('Données projet'!$A$192&gt;35,EJ162+EI163-ER162,IF(A163&lt;'Données projet'!$A$192,$EG$205^A163,IF(A163='Données projet'!$A$192,'Données projet'!$B$192,EJ162+EI163-ER162)))</f>
        <v>374.22333333333296</v>
      </c>
      <c r="EK163" s="17">
        <f>EJ163*VLOOKUP('Données projet'!$B$15,Paramètres!$A$1:$I$89,3,0)*VLOOKUP('Données projet'!$B$15,Paramètres!$A$1:$I$89,5,0)</f>
        <v>379.46245999999962</v>
      </c>
      <c r="EL163" s="13">
        <f t="shared" si="179"/>
        <v>87.600307836777574</v>
      </c>
      <c r="EM163" s="20">
        <f t="shared" si="180"/>
        <v>813.46765398238688</v>
      </c>
      <c r="EN163" s="59">
        <f t="shared" si="128"/>
        <v>1106.8009873157202</v>
      </c>
      <c r="EO163" s="59">
        <f ca="1">AVERAGE(OFFSET($EN$3,0,0,'Données projet'!$E$15+1,1))-AVERAGE(OFFSET($H$3,0,0,'Données projet'!$E$15+1,1))</f>
        <v>533.26035274112917</v>
      </c>
      <c r="EP163" s="59">
        <f t="shared" si="154"/>
        <v>262.58149402282521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38.867215709897927</v>
      </c>
      <c r="EW163" s="21">
        <f>EXP(-LN(2)/25)*EW162+(1-EXP(-LN(2)/25))/(LN(2)/25)*Calculateur!ER163*Calculateur!ET163*VLOOKUP('Données projet'!$B$15,Paramètres!$A$1:$I$89,3,0)*0.475*44/12</f>
        <v>20.461669638520096</v>
      </c>
      <c r="EX163" s="21">
        <f>EXP(-LN(2)/2)*EX162+(1-EXP(-LN(2)/2))/(LN(2)/2)*ER163*EU163*VLOOKUP('Données projet'!$B$15,Paramètres!$A$1:$I$89,3,0)*0.475*44/12</f>
        <v>2.3071640885360008E-2</v>
      </c>
      <c r="EY163" s="22">
        <f t="shared" si="181"/>
        <v>59.351956989303389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239.26156489359892</v>
      </c>
      <c r="FK163" s="59">
        <f t="shared" si="156"/>
        <v>213.97034450798111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2.70351492596521</v>
      </c>
      <c r="FR163" s="21">
        <f>EXP(-LN(2)/25)*FR162+(1-EXP(-LN(2)/25))/(LN(2)/25)*Calculateur!FM163*Calculateur!FO163*VLOOKUP('Données projet'!$B$16,Paramètres!$A$1:$I$89,3,0)*0.475*44/12</f>
        <v>9.1699060253614864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11.873420951326697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2.5579538487363607E-13</v>
      </c>
      <c r="O164" s="13">
        <f>N164*VLOOKUP('Données projet'!$B$9,Paramètres!$A$1:$I$89,3,0)*VLOOKUP('Données projet'!$B$9,Paramètres!$A$1:$I$89,5,0)</f>
        <v>2.4341488824575211E-13</v>
      </c>
      <c r="P164" s="13">
        <f t="shared" si="141"/>
        <v>3.2970717324875541E-12</v>
      </c>
      <c r="Q164" s="20">
        <f t="shared" si="162"/>
        <v>6.1663475311105072E-12</v>
      </c>
      <c r="R164" s="59">
        <f t="shared" si="109"/>
        <v>293.33333333333945</v>
      </c>
      <c r="S164" s="59">
        <f ca="1">AVERAGE(OFFSET($R$3,0,0,'Données projet'!$E$9+1,1))-AVERAGE(OFFSET($H$3,0,0,'Données projet'!$E$9+1,1))</f>
        <v>449.28947235329758</v>
      </c>
      <c r="T164" s="59">
        <f t="shared" si="142"/>
        <v>289.36994109443964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64.302129482622263</v>
      </c>
      <c r="AA164" s="21">
        <f>EXP(-LN(2)/25)*AA163+(1-EXP(-LN(2)/25))/(LN(2)/25)*Calculateur!V164*Calculateur!X164*VLOOKUP('Données projet'!$B$9,Paramètres!$A$1:$I$89,3,0)*0.475*44/12</f>
        <v>10.48214397448919</v>
      </c>
      <c r="AB164" s="21">
        <f>EXP(-LN(2)/2)*AB163+(1-EXP(-LN(2)/2))/(LN(2)/2)*V164*Y164*VLOOKUP('Données projet'!$B$9,Paramètres!$A$1:$I$89,3,0)*0.475*44/12</f>
        <v>1.545381346739231E-4</v>
      </c>
      <c r="AC164" s="22">
        <f t="shared" si="163"/>
        <v>74.784427995246133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-1.3596945791505279E-13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349.71285006949597</v>
      </c>
      <c r="AO164" s="59">
        <f t="shared" si="144"/>
        <v>258.51550516456842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30.816305504452949</v>
      </c>
      <c r="AV164" s="21">
        <f>EXP(-LN(2)/25)*AV163+(1-EXP(-LN(2)/25))/(LN(2)/25)*Calculateur!AQ164*Calculateur!AS164*VLOOKUP('Données projet'!$B$10,Paramètres!$A$1:$I$89,3,0)*0.475*44/12</f>
        <v>5.4767881363953697</v>
      </c>
      <c r="AW164" s="21">
        <f>EXP(-LN(2)/2)*AW163+(1-EXP(-LN(2)/2))/(LN(2)/2)*AQ164*AT164*VLOOKUP('Données projet'!$B$10,Paramètres!$A$1:$I$89,3,0)*0.475*44/12</f>
        <v>4.54785710348747E-11</v>
      </c>
      <c r="AX164" s="21">
        <f t="shared" si="166"/>
        <v>36.293093640893801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1.1368683772161603E-13</v>
      </c>
      <c r="BE164" s="13">
        <f>BD164*VLOOKUP('Données projet'!$B$11,Paramètres!$A$1:$I$89,3,0)*VLOOKUP('Données projet'!$B$11,Paramètres!$A$1:$I$89,5,0)</f>
        <v>6.7984728957526396E-14</v>
      </c>
      <c r="BF164" s="13">
        <f t="shared" si="167"/>
        <v>1.0682447123141398E-12</v>
      </c>
      <c r="BG164" s="20">
        <f t="shared" si="168"/>
        <v>1.978932943548152E-12</v>
      </c>
      <c r="BH164" s="59">
        <f t="shared" si="116"/>
        <v>293.3333333333353</v>
      </c>
      <c r="BI164" s="59">
        <f ca="1">AVERAGE(OFFSET($BH$3,0,0,'Données projet'!$E$11+1,1))-AVERAGE(OFFSET($H$3,0,0,'Données projet'!$E$11+1,1))</f>
        <v>302.00825291248458</v>
      </c>
      <c r="BJ164" s="59">
        <f t="shared" si="146"/>
        <v>307.35115839449355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18.789667280305917</v>
      </c>
      <c r="BQ164" s="21">
        <f>EXP(-LN(2)/25)*BQ163+(1-EXP(-LN(2)/25))/(LN(2)/25)*Calculateur!BL164*Calculateur!BN164*VLOOKUP('Données projet'!$B$11,Paramètres!$A$1:$I$89,3,0)*0.475*44/12</f>
        <v>2.9447443286389747</v>
      </c>
      <c r="BR164" s="21">
        <f>EXP(-LN(2)/2)*BR163+(1-EXP(-LN(2)/2))/(LN(2)/2)*BL164*BO164*VLOOKUP('Données projet'!$B$11,Paramètres!$A$1:$I$89,3,0)*0.475*44/12</f>
        <v>3.7658003675498274E-14</v>
      </c>
      <c r="BS164" s="22">
        <f t="shared" si="169"/>
        <v>21.734411608944932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1.7053025658242404E-13</v>
      </c>
      <c r="BZ164" s="13">
        <f>BY164*VLOOKUP('Données projet'!$B$12,Paramètres!$A$1:$I$89,3,0)*VLOOKUP('Données projet'!$B$12,Paramètres!$A$1:$I$89,5,0)</f>
        <v>7.9808160080574461E-14</v>
      </c>
      <c r="CA164" s="13">
        <f t="shared" si="170"/>
        <v>1.2308384591775343E-12</v>
      </c>
      <c r="CB164" s="20">
        <f t="shared" si="171"/>
        <v>2.282709528541206E-12</v>
      </c>
      <c r="CC164" s="59">
        <f t="shared" si="119"/>
        <v>293.33333333333559</v>
      </c>
      <c r="CD164" s="59">
        <f ca="1">AVERAGE(OFFSET($CC$3,0,0,'Données projet'!$E$12+1,1))-AVERAGE(OFFSET($H$3,0,0,'Données projet'!$E$12+1,1))</f>
        <v>337.10499990421835</v>
      </c>
      <c r="CE164" s="59">
        <f t="shared" si="148"/>
        <v>277.4254079562175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80.295862813422573</v>
      </c>
      <c r="CL164" s="21">
        <f>EXP(-LN(2)/25)*CL163+(1-EXP(-LN(2)/25))/(LN(2)/25)*Calculateur!CG164*Calculateur!CI164*VLOOKUP('Données projet'!$B$12,Paramètres!$A$1:$I$89,3,0)*0.475*44/12</f>
        <v>19.549561396062309</v>
      </c>
      <c r="CM164" s="21">
        <f>EXP(-LN(2)/2)*CM163+(1-EXP(-LN(2)/2))/(LN(2)/2)*CG164*CJ164*VLOOKUP('Données projet'!$B$12,Paramètres!$A$1:$I$89,3,0)*0.475*44/12</f>
        <v>9.8903362044002732E-4</v>
      </c>
      <c r="CN164" s="22">
        <f t="shared" si="172"/>
        <v>99.846413243105332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7.6783333333333319</v>
      </c>
      <c r="CT164" s="12">
        <f>IF('Données projet'!$A$140&gt;35,CT163+CS164-DB163,IF(A164&lt;'Données projet'!$A$140,$CQ$205^A164,IF(A164='Données projet'!$A$140,'Données projet'!$B$140,CT163+CS164-DB163)))</f>
        <v>381.9016666666663</v>
      </c>
      <c r="CU164" s="17">
        <f>CT164*VLOOKUP('Données projet'!$B$13,Paramètres!$A$1:$I$89,3,0)*VLOOKUP('Données projet'!$B$13,Paramètres!$A$1:$I$89,5,0)</f>
        <v>381.29062399999964</v>
      </c>
      <c r="CV164" s="13">
        <f t="shared" si="173"/>
        <v>87.973116590553516</v>
      </c>
      <c r="CW164" s="20">
        <f t="shared" si="174"/>
        <v>817.30101486188005</v>
      </c>
      <c r="CX164" s="59">
        <f t="shared" si="122"/>
        <v>1110.6343481952133</v>
      </c>
      <c r="CY164" s="59">
        <f ca="1">AVERAGE(OFFSET($CX$3,0,0,'Données projet'!$E$13+1,1))-AVERAGE(OFFSET($H$3,0,0,'Données projet'!$E$13+1,1))</f>
        <v>525.74725170626471</v>
      </c>
      <c r="CZ164" s="59">
        <f t="shared" si="150"/>
        <v>259.19103598192197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37.51882172700315</v>
      </c>
      <c r="DG164" s="21">
        <f>EXP(-LN(2)/25)*DG163+(1-EXP(-LN(2)/25))/(LN(2)/25)*Calculateur!DB164*Calculateur!DD164*VLOOKUP('Données projet'!$B$13,Paramètres!$A$1:$I$89,3,0)*0.475*44/12</f>
        <v>19.595957372280449</v>
      </c>
      <c r="DH164" s="21">
        <f>EXP(-LN(2)/2)*DH163+(1-EXP(-LN(2)/2))/(LN(2)/2)*DB164*DE164*VLOOKUP('Données projet'!$B$13,Paramètres!$A$1:$I$89,3,0)*0.475*44/12</f>
        <v>1.6063127358167506E-2</v>
      </c>
      <c r="DI164" s="22">
        <f t="shared" si="175"/>
        <v>57.130842226641761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>
        <f>VLOOKUP(A164,'Données projet'!$A$165:$I$185,2,0)</f>
        <v>134.26</v>
      </c>
      <c r="DM164" s="12">
        <f>VLOOKUP(A164,'Données projet'!$A$165:$I$185,9,0)</f>
        <v>1.7174999999999976</v>
      </c>
      <c r="DN164" s="12">
        <f t="array" ref="DN164">INDEX(DM:DM,MIN(IF(ISNUMBER(DM164:DM360),ROW(DM164:DM360),"")))</f>
        <v>1.7174999999999976</v>
      </c>
      <c r="DO164" s="12">
        <f>IF('Données projet'!$A$166&gt;35,DO163+DN164-DW163,IF(A164&lt;'Données projet'!$A$166,$DL$205^A164,IF(A164='Données projet'!$A$166,'Données projet'!$B$166,DO163+DN164-DW163)))</f>
        <v>134.26000000000053</v>
      </c>
      <c r="DP164" s="17">
        <f>DO164*VLOOKUP('Données projet'!$B$14,Paramètres!$A$1:$I$89,3,0)*VLOOKUP('Données projet'!$B$14,Paramètres!$A$1:$I$89,5,0)</f>
        <v>121.47844800000047</v>
      </c>
      <c r="DQ164" s="13">
        <f t="shared" si="176"/>
        <v>32.019576882630901</v>
      </c>
      <c r="DR164" s="20">
        <f t="shared" si="177"/>
        <v>267.34239333724963</v>
      </c>
      <c r="DS164" s="59">
        <f t="shared" si="125"/>
        <v>560.67572667058289</v>
      </c>
      <c r="DT164" s="59">
        <f ca="1">AVERAGE(OFFSET($DS$3,0,0,'Données projet'!$E$14+1,1))-AVERAGE(OFFSET($H$3,0,0,'Données projet'!$E$14+1,1))</f>
        <v>490.06222615476065</v>
      </c>
      <c r="DU164" s="59">
        <f t="shared" si="152"/>
        <v>310.43914804089906</v>
      </c>
      <c r="DV164" s="15">
        <f>IF(ISNA(VLOOKUP(A164,'Données projet'!$A$165:$I$185,3,0)),0,VLOOKUP(A164,'Données projet'!$A$165:$I$185,3,0))</f>
        <v>15</v>
      </c>
      <c r="DW164" s="15">
        <f>IF(ISNA(VLOOKUP(A164,'Données projet'!$A$165:$I$185,4,0)),0,VLOOKUP(A164,'Données projet'!$A$165:$I$185,4,0))</f>
        <v>134.26</v>
      </c>
      <c r="DX164" s="16">
        <f>IF(ISNA(VLOOKUP(A164,'Données projet'!$A$165:$I$185,5,0)),0%,VLOOKUP(A164,'Données projet'!$A$165:$I$185,5,0)*VLOOKUP('Données projet'!$B$14,Paramètres!$A$1:$I$89,7,0))</f>
        <v>0.19350000000000001</v>
      </c>
      <c r="DY164" s="16">
        <f>IF(ISNA(VLOOKUP(A164,'Données projet'!$A$165:$I$185,6,0)),0%,VLOOKUP(A164,'Données projet'!$A$165:$I$185,6,0)*VLOOKUP('Données projet'!$B$14,Paramètres!$A$1:$I$89,7,0))</f>
        <v>2.1500000000000002E-2</v>
      </c>
      <c r="DZ164" s="16">
        <f>IF(ISNA(VLOOKUP(A164,'Données projet'!$A$165:$I$185,7,0)),0%,VLOOKUP(A164,'Données projet'!$A$165:$I$185,7,0))</f>
        <v>0.05</v>
      </c>
      <c r="EA164" s="21">
        <f>EXP(-LN(2)/35)*EA163+(1-EXP(-LN(2)/35))/(LN(2)/35)*DW164*DX164*VLOOKUP('Données projet'!$B$14,Paramètres!$A$1:$I$89,3,0)*0.475*44/12</f>
        <v>112.39405850899264</v>
      </c>
      <c r="EB164" s="21">
        <f>EXP(-LN(2)/25)*EB163+(1-EXP(-LN(2)/25))/(LN(2)/25)*Calculateur!DW164*Calculateur!DY164*VLOOKUP('Données projet'!$B$14,Paramètres!$A$1:$I$89,3,0)*0.475*44/12</f>
        <v>19.915859812926445</v>
      </c>
      <c r="EC164" s="21">
        <f>EXP(-LN(2)/2)*EC163+(1-EXP(-LN(2)/2))/(LN(2)/2)*DW164*DZ164*VLOOKUP('Données projet'!$B$14,Paramètres!$A$1:$I$89,3,0)*0.475*44/12</f>
        <v>6.8395962139717037</v>
      </c>
      <c r="ED164" s="22">
        <f t="shared" si="178"/>
        <v>139.1495145358908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7.6783333333333319</v>
      </c>
      <c r="EJ164" s="12">
        <f>IF('Données projet'!$A$192&gt;35,EJ163+EI164-ER163,IF(A164&lt;'Données projet'!$A$192,$EG$205^A164,IF(A164='Données projet'!$A$192,'Données projet'!$B$192,EJ163+EI164-ER163)))</f>
        <v>381.9016666666663</v>
      </c>
      <c r="EK164" s="17">
        <f>EJ164*VLOOKUP('Données projet'!$B$15,Paramètres!$A$1:$I$89,3,0)*VLOOKUP('Données projet'!$B$15,Paramètres!$A$1:$I$89,5,0)</f>
        <v>387.24828999999966</v>
      </c>
      <c r="EL164" s="13">
        <f t="shared" si="179"/>
        <v>89.186597293517707</v>
      </c>
      <c r="EM164" s="20">
        <f t="shared" si="180"/>
        <v>829.79076203620934</v>
      </c>
      <c r="EN164" s="59">
        <f t="shared" si="128"/>
        <v>1123.1240953695426</v>
      </c>
      <c r="EO164" s="59">
        <f ca="1">AVERAGE(OFFSET($EN$3,0,0,'Données projet'!$E$15+1,1))-AVERAGE(OFFSET($H$3,0,0,'Données projet'!$E$15+1,1))</f>
        <v>533.26035274112917</v>
      </c>
      <c r="EP164" s="59">
        <f t="shared" si="154"/>
        <v>262.58149402282521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38.10505331648757</v>
      </c>
      <c r="EW164" s="21">
        <f>EXP(-LN(2)/25)*EW163+(1-EXP(-LN(2)/25))/(LN(2)/25)*Calculateur!ER164*Calculateur!ET164*VLOOKUP('Données projet'!$B$15,Paramètres!$A$1:$I$89,3,0)*0.475*44/12</f>
        <v>19.902144206222324</v>
      </c>
      <c r="EX164" s="21">
        <f>EXP(-LN(2)/2)*EX163+(1-EXP(-LN(2)/2))/(LN(2)/2)*ER164*EU164*VLOOKUP('Données projet'!$B$15,Paramètres!$A$1:$I$89,3,0)*0.475*44/12</f>
        <v>1.6314113723138863E-2</v>
      </c>
      <c r="EY164" s="22">
        <f t="shared" si="181"/>
        <v>58.023511636433035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239.26156489359892</v>
      </c>
      <c r="FK164" s="59">
        <f t="shared" si="156"/>
        <v>213.97034450798111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2.6505006472483137</v>
      </c>
      <c r="FR164" s="21">
        <f>EXP(-LN(2)/25)*FR163+(1-EXP(-LN(2)/25))/(LN(2)/25)*Calculateur!FM164*Calculateur!FO164*VLOOKUP('Données projet'!$B$16,Paramètres!$A$1:$I$89,3,0)*0.475*44/12</f>
        <v>8.9191544628735766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11.569655110121889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2.5579538487363607E-13</v>
      </c>
      <c r="O165" s="13">
        <f>N165*VLOOKUP('Données projet'!$B$9,Paramètres!$A$1:$I$89,3,0)*VLOOKUP('Données projet'!$B$9,Paramètres!$A$1:$I$89,5,0)</f>
        <v>2.4341488824575211E-13</v>
      </c>
      <c r="P165" s="13">
        <f t="shared" si="141"/>
        <v>3.2970717324875541E-12</v>
      </c>
      <c r="Q165" s="20">
        <f t="shared" si="162"/>
        <v>6.1663475311105072E-12</v>
      </c>
      <c r="R165" s="59">
        <f t="shared" si="109"/>
        <v>293.33333333333945</v>
      </c>
      <c r="S165" s="59">
        <f ca="1">AVERAGE(OFFSET($R$3,0,0,'Données projet'!$E$9+1,1))-AVERAGE(OFFSET($H$3,0,0,'Données projet'!$E$9+1,1))</f>
        <v>449.28947235329758</v>
      </c>
      <c r="T165" s="59">
        <f t="shared" si="142"/>
        <v>289.36994109443964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63.041203943894331</v>
      </c>
      <c r="AA165" s="21">
        <f>EXP(-LN(2)/25)*AA164+(1-EXP(-LN(2)/25))/(LN(2)/25)*Calculateur!V165*Calculateur!X165*VLOOKUP('Données projet'!$B$9,Paramètres!$A$1:$I$89,3,0)*0.475*44/12</f>
        <v>10.19550919627479</v>
      </c>
      <c r="AB165" s="21">
        <f>EXP(-LN(2)/2)*AB164+(1-EXP(-LN(2)/2))/(LN(2)/2)*V165*Y165*VLOOKUP('Données projet'!$B$9,Paramètres!$A$1:$I$89,3,0)*0.475*44/12</f>
        <v>1.0927496297985096E-4</v>
      </c>
      <c r="AC165" s="22">
        <f t="shared" si="163"/>
        <v>73.236822415132096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-1.3596945791505279E-13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349.71285006949597</v>
      </c>
      <c r="AO165" s="59">
        <f t="shared" si="144"/>
        <v>258.51550516456842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30.212016549601024</v>
      </c>
      <c r="AV165" s="21">
        <f>EXP(-LN(2)/25)*AV164+(1-EXP(-LN(2)/25))/(LN(2)/25)*Calculateur!AQ165*Calculateur!AS165*VLOOKUP('Données projet'!$B$10,Paramètres!$A$1:$I$89,3,0)*0.475*44/12</f>
        <v>5.3270250767938672</v>
      </c>
      <c r="AW165" s="21">
        <f>EXP(-LN(2)/2)*AW164+(1-EXP(-LN(2)/2))/(LN(2)/2)*AQ165*AT165*VLOOKUP('Données projet'!$B$10,Paramètres!$A$1:$I$89,3,0)*0.475*44/12</f>
        <v>3.2158205977434003E-11</v>
      </c>
      <c r="AX165" s="21">
        <f t="shared" si="166"/>
        <v>35.53904162642705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1.1368683772161603E-13</v>
      </c>
      <c r="BE165" s="13">
        <f>BD165*VLOOKUP('Données projet'!$B$11,Paramètres!$A$1:$I$89,3,0)*VLOOKUP('Données projet'!$B$11,Paramètres!$A$1:$I$89,5,0)</f>
        <v>6.7984728957526396E-14</v>
      </c>
      <c r="BF165" s="13">
        <f t="shared" si="167"/>
        <v>1.0682447123141398E-12</v>
      </c>
      <c r="BG165" s="20">
        <f t="shared" si="168"/>
        <v>1.978932943548152E-12</v>
      </c>
      <c r="BH165" s="59">
        <f t="shared" si="116"/>
        <v>293.3333333333353</v>
      </c>
      <c r="BI165" s="59">
        <f ca="1">AVERAGE(OFFSET($BH$3,0,0,'Données projet'!$E$11+1,1))-AVERAGE(OFFSET($H$3,0,0,'Données projet'!$E$11+1,1))</f>
        <v>302.00825291248458</v>
      </c>
      <c r="BJ165" s="59">
        <f t="shared" si="146"/>
        <v>307.35115839449355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18.421213365504521</v>
      </c>
      <c r="BQ165" s="21">
        <f>EXP(-LN(2)/25)*BQ164+(1-EXP(-LN(2)/25))/(LN(2)/25)*Calculateur!BL165*Calculateur!BN165*VLOOKUP('Données projet'!$B$11,Paramètres!$A$1:$I$89,3,0)*0.475*44/12</f>
        <v>2.8642201401149681</v>
      </c>
      <c r="BR165" s="21">
        <f>EXP(-LN(2)/2)*BR164+(1-EXP(-LN(2)/2))/(LN(2)/2)*BL165*BO165*VLOOKUP('Données projet'!$B$11,Paramètres!$A$1:$I$89,3,0)*0.475*44/12</f>
        <v>2.6628229764892761E-14</v>
      </c>
      <c r="BS165" s="22">
        <f t="shared" si="169"/>
        <v>21.285433505619512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1.7053025658242404E-13</v>
      </c>
      <c r="BZ165" s="13">
        <f>BY165*VLOOKUP('Données projet'!$B$12,Paramètres!$A$1:$I$89,3,0)*VLOOKUP('Données projet'!$B$12,Paramètres!$A$1:$I$89,5,0)</f>
        <v>7.9808160080574461E-14</v>
      </c>
      <c r="CA165" s="13">
        <f t="shared" si="170"/>
        <v>1.2308384591775343E-12</v>
      </c>
      <c r="CB165" s="20">
        <f t="shared" si="171"/>
        <v>2.282709528541206E-12</v>
      </c>
      <c r="CC165" s="59">
        <f t="shared" si="119"/>
        <v>293.33333333333559</v>
      </c>
      <c r="CD165" s="59">
        <f ca="1">AVERAGE(OFFSET($CC$3,0,0,'Données projet'!$E$12+1,1))-AVERAGE(OFFSET($H$3,0,0,'Données projet'!$E$12+1,1))</f>
        <v>337.10499990421835</v>
      </c>
      <c r="CE165" s="59">
        <f t="shared" si="148"/>
        <v>277.4254079562175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78.721309919291727</v>
      </c>
      <c r="CL165" s="21">
        <f>EXP(-LN(2)/25)*CL164+(1-EXP(-LN(2)/25))/(LN(2)/25)*Calculateur!CG165*Calculateur!CI165*VLOOKUP('Données projet'!$B$12,Paramètres!$A$1:$I$89,3,0)*0.475*44/12</f>
        <v>19.014977611620232</v>
      </c>
      <c r="CM165" s="21">
        <f>EXP(-LN(2)/2)*CM164+(1-EXP(-LN(2)/2))/(LN(2)/2)*CG165*CJ165*VLOOKUP('Données projet'!$B$12,Paramètres!$A$1:$I$89,3,0)*0.475*44/12</f>
        <v>6.9935237983462532E-4</v>
      </c>
      <c r="CN165" s="22">
        <f t="shared" si="172"/>
        <v>97.736986883291806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7.6783333333333319</v>
      </c>
      <c r="CT165" s="12">
        <f>IF('Données projet'!$A$140&gt;35,CT164+CS165-DB164,IF(A165&lt;'Données projet'!$A$140,$CQ$205^A165,IF(A165='Données projet'!$A$140,'Données projet'!$B$140,CT164+CS165-DB164)))</f>
        <v>389.57999999999964</v>
      </c>
      <c r="CU165" s="17">
        <f>CT165*VLOOKUP('Données projet'!$B$13,Paramètres!$A$1:$I$89,3,0)*VLOOKUP('Données projet'!$B$13,Paramètres!$A$1:$I$89,5,0)</f>
        <v>388.95667199999963</v>
      </c>
      <c r="CV165" s="13">
        <f t="shared" si="173"/>
        <v>89.534165018636628</v>
      </c>
      <c r="CW165" s="20">
        <f t="shared" si="174"/>
        <v>833.37154114079146</v>
      </c>
      <c r="CX165" s="59">
        <f t="shared" si="122"/>
        <v>1126.7048744741248</v>
      </c>
      <c r="CY165" s="59">
        <f ca="1">AVERAGE(OFFSET($CX$3,0,0,'Données projet'!$E$13+1,1))-AVERAGE(OFFSET($H$3,0,0,'Données projet'!$E$13+1,1))</f>
        <v>525.74725170626471</v>
      </c>
      <c r="CZ165" s="59">
        <f t="shared" si="150"/>
        <v>259.19103598192197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36.783100517158246</v>
      </c>
      <c r="DG165" s="21">
        <f>EXP(-LN(2)/25)*DG164+(1-EXP(-LN(2)/25))/(LN(2)/25)*Calculateur!DB165*Calculateur!DD165*VLOOKUP('Données projet'!$B$13,Paramètres!$A$1:$I$89,3,0)*0.475*44/12</f>
        <v>19.060104887428828</v>
      </c>
      <c r="DH165" s="21">
        <f>EXP(-LN(2)/2)*DH164+(1-EXP(-LN(2)/2))/(LN(2)/2)*DB165*DE165*VLOOKUP('Données projet'!$B$13,Paramètres!$A$1:$I$89,3,0)*0.475*44/12</f>
        <v>1.1358346282023396E-2</v>
      </c>
      <c r="DI165" s="22">
        <f t="shared" si="175"/>
        <v>55.854563750869097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5.4001247917767614E-13</v>
      </c>
      <c r="DP165" s="17">
        <f>DO165*VLOOKUP('Données projet'!$B$14,Paramètres!$A$1:$I$89,3,0)*VLOOKUP('Données projet'!$B$14,Paramètres!$A$1:$I$89,5,0)</f>
        <v>4.8860329115996133E-13</v>
      </c>
      <c r="DQ165" s="13">
        <f t="shared" si="176"/>
        <v>6.1025862939685007E-12</v>
      </c>
      <c r="DR165" s="20">
        <f t="shared" si="177"/>
        <v>1.1479655194098737E-11</v>
      </c>
      <c r="DS165" s="59">
        <f t="shared" si="125"/>
        <v>293.3333333333448</v>
      </c>
      <c r="DT165" s="59">
        <f ca="1">AVERAGE(OFFSET($DS$3,0,0,'Données projet'!$E$14+1,1))-AVERAGE(OFFSET($H$3,0,0,'Données projet'!$E$14+1,1))</f>
        <v>490.06222615476065</v>
      </c>
      <c r="DU165" s="59">
        <f t="shared" si="152"/>
        <v>310.43914804089906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110.19007957523789</v>
      </c>
      <c r="EB165" s="21">
        <f>EXP(-LN(2)/25)*EB164+(1-EXP(-LN(2)/25))/(LN(2)/25)*Calculateur!DW165*Calculateur!DY165*VLOOKUP('Données projet'!$B$14,Paramètres!$A$1:$I$89,3,0)*0.475*44/12</f>
        <v>19.371259579012424</v>
      </c>
      <c r="EC165" s="21">
        <f>EXP(-LN(2)/2)*EC164+(1-EXP(-LN(2)/2))/(LN(2)/2)*DW165*DZ165*VLOOKUP('Données projet'!$B$14,Paramètres!$A$1:$I$89,3,0)*0.475*44/12</f>
        <v>4.8363248634772287</v>
      </c>
      <c r="ED165" s="22">
        <f t="shared" si="178"/>
        <v>134.39766401772752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7.6783333333333319</v>
      </c>
      <c r="EJ165" s="12">
        <f>IF('Données projet'!$A$192&gt;35,EJ164+EI165-ER164,IF(A165&lt;'Données projet'!$A$192,$EG$205^A165,IF(A165='Données projet'!$A$192,'Données projet'!$B$192,EJ164+EI165-ER164)))</f>
        <v>389.57999999999964</v>
      </c>
      <c r="EK165" s="17">
        <f>EJ165*VLOOKUP('Données projet'!$B$15,Paramètres!$A$1:$I$89,3,0)*VLOOKUP('Données projet'!$B$15,Paramètres!$A$1:$I$89,5,0)</f>
        <v>395.03411999999969</v>
      </c>
      <c r="EL165" s="13">
        <f t="shared" si="179"/>
        <v>90.76917846043375</v>
      </c>
      <c r="EM165" s="20">
        <f t="shared" si="180"/>
        <v>846.10741148525494</v>
      </c>
      <c r="EN165" s="59">
        <f t="shared" si="128"/>
        <v>1139.4407448185882</v>
      </c>
      <c r="EO165" s="59">
        <f ca="1">AVERAGE(OFFSET($EN$3,0,0,'Données projet'!$E$15+1,1))-AVERAGE(OFFSET($H$3,0,0,'Données projet'!$E$15+1,1))</f>
        <v>533.26035274112917</v>
      </c>
      <c r="EP165" s="59">
        <f t="shared" si="154"/>
        <v>262.58149402282521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37.357836462738838</v>
      </c>
      <c r="EW165" s="21">
        <f>EXP(-LN(2)/25)*EW164+(1-EXP(-LN(2)/25))/(LN(2)/25)*Calculateur!ER165*Calculateur!ET165*VLOOKUP('Données projet'!$B$15,Paramètres!$A$1:$I$89,3,0)*0.475*44/12</f>
        <v>19.357919026294898</v>
      </c>
      <c r="EX165" s="21">
        <f>EXP(-LN(2)/2)*EX164+(1-EXP(-LN(2)/2))/(LN(2)/2)*ER165*EU165*VLOOKUP('Données projet'!$B$15,Paramètres!$A$1:$I$89,3,0)*0.475*44/12</f>
        <v>1.1535820442680004E-2</v>
      </c>
      <c r="EY165" s="22">
        <f t="shared" si="181"/>
        <v>56.727291309476421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239.26156489359892</v>
      </c>
      <c r="FK165" s="59">
        <f t="shared" si="156"/>
        <v>213.97034450798111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2.5985259462015384</v>
      </c>
      <c r="FR165" s="21">
        <f>EXP(-LN(2)/25)*FR164+(1-EXP(-LN(2)/25))/(LN(2)/25)*Calculateur!FM165*Calculateur!FO165*VLOOKUP('Données projet'!$B$16,Paramètres!$A$1:$I$89,3,0)*0.475*44/12</f>
        <v>8.6752597150483499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11.273785661249889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2.5579538487363607E-13</v>
      </c>
      <c r="O166" s="13">
        <f>N166*VLOOKUP('Données projet'!$B$9,Paramètres!$A$1:$I$89,3,0)*VLOOKUP('Données projet'!$B$9,Paramètres!$A$1:$I$89,5,0)</f>
        <v>2.4341488824575211E-13</v>
      </c>
      <c r="P166" s="13">
        <f t="shared" si="141"/>
        <v>3.2970717324875541E-12</v>
      </c>
      <c r="Q166" s="20">
        <f t="shared" si="162"/>
        <v>6.1663475311105072E-12</v>
      </c>
      <c r="R166" s="59">
        <f t="shared" si="109"/>
        <v>293.33333333333945</v>
      </c>
      <c r="S166" s="59">
        <f ca="1">AVERAGE(OFFSET($R$3,0,0,'Données projet'!$E$9+1,1))-AVERAGE(OFFSET($H$3,0,0,'Données projet'!$E$9+1,1))</f>
        <v>449.28947235329758</v>
      </c>
      <c r="T166" s="59">
        <f t="shared" si="142"/>
        <v>289.36994109443964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61.805004385892218</v>
      </c>
      <c r="AA166" s="21">
        <f>EXP(-LN(2)/25)*AA165+(1-EXP(-LN(2)/25))/(LN(2)/25)*Calculateur!V166*Calculateur!X166*VLOOKUP('Données projet'!$B$9,Paramètres!$A$1:$I$89,3,0)*0.475*44/12</f>
        <v>9.9167124611441295</v>
      </c>
      <c r="AB166" s="21">
        <f>EXP(-LN(2)/2)*AB165+(1-EXP(-LN(2)/2))/(LN(2)/2)*V166*Y166*VLOOKUP('Données projet'!$B$9,Paramètres!$A$1:$I$89,3,0)*0.475*44/12</f>
        <v>7.726906733696155E-5</v>
      </c>
      <c r="AC166" s="22">
        <f t="shared" si="163"/>
        <v>71.72179411610368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-1.3596945791505279E-13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349.71285006949597</v>
      </c>
      <c r="AO166" s="59">
        <f t="shared" si="144"/>
        <v>258.51550516456842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29.619577332573879</v>
      </c>
      <c r="AV166" s="21">
        <f>EXP(-LN(2)/25)*AV165+(1-EXP(-LN(2)/25))/(LN(2)/25)*Calculateur!AQ166*Calculateur!AS166*VLOOKUP('Données projet'!$B$10,Paramètres!$A$1:$I$89,3,0)*0.475*44/12</f>
        <v>5.1813572959328651</v>
      </c>
      <c r="AW166" s="21">
        <f>EXP(-LN(2)/2)*AW165+(1-EXP(-LN(2)/2))/(LN(2)/2)*AQ166*AT166*VLOOKUP('Données projet'!$B$10,Paramètres!$A$1:$I$89,3,0)*0.475*44/12</f>
        <v>2.273928551743735E-11</v>
      </c>
      <c r="AX166" s="21">
        <f t="shared" si="166"/>
        <v>34.800934628529482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1.1368683772161603E-13</v>
      </c>
      <c r="BE166" s="13">
        <f>BD166*VLOOKUP('Données projet'!$B$11,Paramètres!$A$1:$I$89,3,0)*VLOOKUP('Données projet'!$B$11,Paramètres!$A$1:$I$89,5,0)</f>
        <v>6.7984728957526396E-14</v>
      </c>
      <c r="BF166" s="13">
        <f t="shared" si="167"/>
        <v>1.0682447123141398E-12</v>
      </c>
      <c r="BG166" s="20">
        <f t="shared" si="168"/>
        <v>1.978932943548152E-12</v>
      </c>
      <c r="BH166" s="59">
        <f t="shared" si="116"/>
        <v>293.3333333333353</v>
      </c>
      <c r="BI166" s="59">
        <f ca="1">AVERAGE(OFFSET($BH$3,0,0,'Données projet'!$E$11+1,1))-AVERAGE(OFFSET($H$3,0,0,'Données projet'!$E$11+1,1))</f>
        <v>302.00825291248458</v>
      </c>
      <c r="BJ166" s="59">
        <f t="shared" si="146"/>
        <v>307.35115839449355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18.059984607237684</v>
      </c>
      <c r="BQ166" s="21">
        <f>EXP(-LN(2)/25)*BQ165+(1-EXP(-LN(2)/25))/(LN(2)/25)*Calculateur!BL166*Calculateur!BN166*VLOOKUP('Données projet'!$B$11,Paramètres!$A$1:$I$89,3,0)*0.475*44/12</f>
        <v>2.7858978897607334</v>
      </c>
      <c r="BR166" s="21">
        <f>EXP(-LN(2)/2)*BR165+(1-EXP(-LN(2)/2))/(LN(2)/2)*BL166*BO166*VLOOKUP('Données projet'!$B$11,Paramètres!$A$1:$I$89,3,0)*0.475*44/12</f>
        <v>1.8829001837749137E-14</v>
      </c>
      <c r="BS166" s="22">
        <f t="shared" si="169"/>
        <v>20.845882496998435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1.7053025658242404E-13</v>
      </c>
      <c r="BZ166" s="13">
        <f>BY166*VLOOKUP('Données projet'!$B$12,Paramètres!$A$1:$I$89,3,0)*VLOOKUP('Données projet'!$B$12,Paramètres!$A$1:$I$89,5,0)</f>
        <v>7.9808160080574461E-14</v>
      </c>
      <c r="CA166" s="13">
        <f t="shared" si="170"/>
        <v>1.2308384591775343E-12</v>
      </c>
      <c r="CB166" s="20">
        <f t="shared" si="171"/>
        <v>2.282709528541206E-12</v>
      </c>
      <c r="CC166" s="59">
        <f t="shared" si="119"/>
        <v>293.33333333333559</v>
      </c>
      <c r="CD166" s="59">
        <f ca="1">AVERAGE(OFFSET($CC$3,0,0,'Données projet'!$E$12+1,1))-AVERAGE(OFFSET($H$3,0,0,'Données projet'!$E$12+1,1))</f>
        <v>337.10499990421835</v>
      </c>
      <c r="CE166" s="59">
        <f t="shared" si="148"/>
        <v>277.4254079562175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77.177633047032359</v>
      </c>
      <c r="CL166" s="21">
        <f>EXP(-LN(2)/25)*CL165+(1-EXP(-LN(2)/25))/(LN(2)/25)*Calculateur!CG166*Calculateur!CI166*VLOOKUP('Données projet'!$B$12,Paramètres!$A$1:$I$89,3,0)*0.475*44/12</f>
        <v>18.495012048876262</v>
      </c>
      <c r="CM166" s="21">
        <f>EXP(-LN(2)/2)*CM165+(1-EXP(-LN(2)/2))/(LN(2)/2)*CG166*CJ166*VLOOKUP('Données projet'!$B$12,Paramètres!$A$1:$I$89,3,0)*0.475*44/12</f>
        <v>4.9451681022001366E-4</v>
      </c>
      <c r="CN166" s="22">
        <f t="shared" si="172"/>
        <v>95.673139612718842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7.6783333333333319</v>
      </c>
      <c r="CT166" s="12">
        <f>IF('Données projet'!$A$140&gt;35,CT165+CS166-DB165,IF(A166&lt;'Données projet'!$A$140,$CQ$205^A166,IF(A166='Données projet'!$A$140,'Données projet'!$B$140,CT165+CS166-DB165)))</f>
        <v>397.25833333333298</v>
      </c>
      <c r="CU166" s="17">
        <f>CT166*VLOOKUP('Données projet'!$B$13,Paramètres!$A$1:$I$89,3,0)*VLOOKUP('Données projet'!$B$13,Paramètres!$A$1:$I$89,5,0)</f>
        <v>396.62271999999967</v>
      </c>
      <c r="CV166" s="13">
        <f t="shared" si="173"/>
        <v>91.091636015325633</v>
      </c>
      <c r="CW166" s="20">
        <f t="shared" si="174"/>
        <v>849.43583672669149</v>
      </c>
      <c r="CX166" s="59">
        <f t="shared" si="122"/>
        <v>1142.7691700600249</v>
      </c>
      <c r="CY166" s="59">
        <f ca="1">AVERAGE(OFFSET($CX$3,0,0,'Données projet'!$E$13+1,1))-AVERAGE(OFFSET($H$3,0,0,'Données projet'!$E$13+1,1))</f>
        <v>525.74725170626471</v>
      </c>
      <c r="CZ166" s="59">
        <f t="shared" si="150"/>
        <v>259.19103598192197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36.06180635149277</v>
      </c>
      <c r="DG166" s="21">
        <f>EXP(-LN(2)/25)*DG165+(1-EXP(-LN(2)/25))/(LN(2)/25)*Calculateur!DB166*Calculateur!DD166*VLOOKUP('Données projet'!$B$13,Paramètres!$A$1:$I$89,3,0)*0.475*44/12</f>
        <v>18.538905316954732</v>
      </c>
      <c r="DH166" s="21">
        <f>EXP(-LN(2)/2)*DH165+(1-EXP(-LN(2)/2))/(LN(2)/2)*DB166*DE166*VLOOKUP('Données projet'!$B$13,Paramètres!$A$1:$I$89,3,0)*0.475*44/12</f>
        <v>8.031563679083753E-3</v>
      </c>
      <c r="DI166" s="22">
        <f t="shared" si="175"/>
        <v>54.608743232126585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5.4001247917767614E-13</v>
      </c>
      <c r="DP166" s="17">
        <f>DO166*VLOOKUP('Données projet'!$B$14,Paramètres!$A$1:$I$89,3,0)*VLOOKUP('Données projet'!$B$14,Paramètres!$A$1:$I$89,5,0)</f>
        <v>4.8860329115996133E-13</v>
      </c>
      <c r="DQ166" s="13">
        <f t="shared" si="176"/>
        <v>6.1025862939685007E-12</v>
      </c>
      <c r="DR166" s="20">
        <f t="shared" si="177"/>
        <v>1.1479655194098737E-11</v>
      </c>
      <c r="DS166" s="59">
        <f t="shared" si="125"/>
        <v>293.3333333333448</v>
      </c>
      <c r="DT166" s="59">
        <f ca="1">AVERAGE(OFFSET($DS$3,0,0,'Données projet'!$E$14+1,1))-AVERAGE(OFFSET($H$3,0,0,'Données projet'!$E$14+1,1))</f>
        <v>490.06222615476065</v>
      </c>
      <c r="DU166" s="59">
        <f t="shared" si="152"/>
        <v>310.43914804089906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108.02931932407965</v>
      </c>
      <c r="EB166" s="21">
        <f>EXP(-LN(2)/25)*EB165+(1-EXP(-LN(2)/25))/(LN(2)/25)*Calculateur!DW166*Calculateur!DY166*VLOOKUP('Données projet'!$B$14,Paramètres!$A$1:$I$89,3,0)*0.475*44/12</f>
        <v>18.84155146713406</v>
      </c>
      <c r="EC166" s="21">
        <f>EXP(-LN(2)/2)*EC165+(1-EXP(-LN(2)/2))/(LN(2)/2)*DW166*DZ166*VLOOKUP('Données projet'!$B$14,Paramètres!$A$1:$I$89,3,0)*0.475*44/12</f>
        <v>3.4197981069858523</v>
      </c>
      <c r="ED166" s="22">
        <f t="shared" si="178"/>
        <v>130.29066889819958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7.6783333333333319</v>
      </c>
      <c r="EJ166" s="12">
        <f>IF('Données projet'!$A$192&gt;35,EJ165+EI166-ER165,IF(A166&lt;'Données projet'!$A$192,$EG$205^A166,IF(A166='Données projet'!$A$192,'Données projet'!$B$192,EJ165+EI166-ER165)))</f>
        <v>397.25833333333298</v>
      </c>
      <c r="EK166" s="17">
        <f>EJ166*VLOOKUP('Données projet'!$B$15,Paramètres!$A$1:$I$89,3,0)*VLOOKUP('Données projet'!$B$15,Paramètres!$A$1:$I$89,5,0)</f>
        <v>402.81994999999966</v>
      </c>
      <c r="EL166" s="13">
        <f t="shared" si="179"/>
        <v>92.348132849699439</v>
      </c>
      <c r="EM166" s="20">
        <f t="shared" si="180"/>
        <v>862.41774429655925</v>
      </c>
      <c r="EN166" s="59">
        <f t="shared" si="128"/>
        <v>1155.7510776298925</v>
      </c>
      <c r="EO166" s="59">
        <f ca="1">AVERAGE(OFFSET($EN$3,0,0,'Données projet'!$E$15+1,1))-AVERAGE(OFFSET($H$3,0,0,'Données projet'!$E$15+1,1))</f>
        <v>533.26035274112917</v>
      </c>
      <c r="EP166" s="59">
        <f t="shared" si="154"/>
        <v>262.58149402282521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36.625272075734841</v>
      </c>
      <c r="EW166" s="21">
        <f>EXP(-LN(2)/25)*EW165+(1-EXP(-LN(2)/25))/(LN(2)/25)*Calculateur!ER166*Calculateur!ET166*VLOOKUP('Données projet'!$B$15,Paramètres!$A$1:$I$89,3,0)*0.475*44/12</f>
        <v>18.828575712532146</v>
      </c>
      <c r="EX166" s="21">
        <f>EXP(-LN(2)/2)*EX165+(1-EXP(-LN(2)/2))/(LN(2)/2)*ER166*EU166*VLOOKUP('Données projet'!$B$15,Paramètres!$A$1:$I$89,3,0)*0.475*44/12</f>
        <v>8.1570568615694315E-3</v>
      </c>
      <c r="EY166" s="22">
        <f t="shared" si="181"/>
        <v>55.462004845128554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239.26156489359892</v>
      </c>
      <c r="FK166" s="59">
        <f t="shared" si="156"/>
        <v>213.97034450798111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2.5475704373408532</v>
      </c>
      <c r="FR166" s="21">
        <f>EXP(-LN(2)/25)*FR165+(1-EXP(-LN(2)/25))/(LN(2)/25)*Calculateur!FM166*Calculateur!FO166*VLOOKUP('Données projet'!$B$16,Paramètres!$A$1:$I$89,3,0)*0.475*44/12</f>
        <v>8.4380342819282728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10.985604719269126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2.5579538487363607E-13</v>
      </c>
      <c r="O167" s="13">
        <f>N167*VLOOKUP('Données projet'!$B$9,Paramètres!$A$1:$I$89,3,0)*VLOOKUP('Données projet'!$B$9,Paramètres!$A$1:$I$89,5,0)</f>
        <v>2.4341488824575211E-13</v>
      </c>
      <c r="P167" s="13">
        <f t="shared" si="141"/>
        <v>3.2970717324875541E-12</v>
      </c>
      <c r="Q167" s="20">
        <f t="shared" si="162"/>
        <v>6.1663475311105072E-12</v>
      </c>
      <c r="R167" s="59">
        <f t="shared" si="109"/>
        <v>293.33333333333945</v>
      </c>
      <c r="S167" s="59">
        <f ca="1">AVERAGE(OFFSET($R$3,0,0,'Données projet'!$E$9+1,1))-AVERAGE(OFFSET($H$3,0,0,'Données projet'!$E$9+1,1))</f>
        <v>449.28947235329758</v>
      </c>
      <c r="T167" s="59">
        <f t="shared" si="142"/>
        <v>289.36994109443964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60.593045947215245</v>
      </c>
      <c r="AA167" s="21">
        <f>EXP(-LN(2)/25)*AA166+(1-EXP(-LN(2)/25))/(LN(2)/25)*Calculateur!V167*Calculateur!X167*VLOOKUP('Données projet'!$B$9,Paramètres!$A$1:$I$89,3,0)*0.475*44/12</f>
        <v>9.6455394373969003</v>
      </c>
      <c r="AB167" s="21">
        <f>EXP(-LN(2)/2)*AB166+(1-EXP(-LN(2)/2))/(LN(2)/2)*V167*Y167*VLOOKUP('Données projet'!$B$9,Paramètres!$A$1:$I$89,3,0)*0.475*44/12</f>
        <v>5.4637481489925478E-5</v>
      </c>
      <c r="AC167" s="22">
        <f t="shared" si="163"/>
        <v>70.238640022093634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-1.3596945791505279E-13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349.71285006949597</v>
      </c>
      <c r="AO167" s="59">
        <f t="shared" si="144"/>
        <v>258.51550516456842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29.038755487240394</v>
      </c>
      <c r="AV167" s="21">
        <f>EXP(-LN(2)/25)*AV166+(1-EXP(-LN(2)/25))/(LN(2)/25)*Calculateur!AQ167*Calculateur!AS167*VLOOKUP('Données projet'!$B$10,Paramètres!$A$1:$I$89,3,0)*0.475*44/12</f>
        <v>5.0396728081998425</v>
      </c>
      <c r="AW167" s="21">
        <f>EXP(-LN(2)/2)*AW166+(1-EXP(-LN(2)/2))/(LN(2)/2)*AQ167*AT167*VLOOKUP('Données projet'!$B$10,Paramètres!$A$1:$I$89,3,0)*0.475*44/12</f>
        <v>1.6079102988717001E-11</v>
      </c>
      <c r="AX167" s="21">
        <f t="shared" si="166"/>
        <v>34.078428295456312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1.1368683772161603E-13</v>
      </c>
      <c r="BE167" s="13">
        <f>BD167*VLOOKUP('Données projet'!$B$11,Paramètres!$A$1:$I$89,3,0)*VLOOKUP('Données projet'!$B$11,Paramètres!$A$1:$I$89,5,0)</f>
        <v>6.7984728957526396E-14</v>
      </c>
      <c r="BF167" s="13">
        <f t="shared" si="167"/>
        <v>1.0682447123141398E-12</v>
      </c>
      <c r="BG167" s="20">
        <f t="shared" si="168"/>
        <v>1.978932943548152E-12</v>
      </c>
      <c r="BH167" s="59">
        <f t="shared" si="116"/>
        <v>293.3333333333353</v>
      </c>
      <c r="BI167" s="59">
        <f ca="1">AVERAGE(OFFSET($BH$3,0,0,'Données projet'!$E$11+1,1))-AVERAGE(OFFSET($H$3,0,0,'Données projet'!$E$11+1,1))</f>
        <v>302.00825291248458</v>
      </c>
      <c r="BJ167" s="59">
        <f t="shared" si="146"/>
        <v>307.35115839449355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17.705839324592674</v>
      </c>
      <c r="BQ167" s="21">
        <f>EXP(-LN(2)/25)*BQ166+(1-EXP(-LN(2)/25))/(LN(2)/25)*Calculateur!BL167*Calculateur!BN167*VLOOKUP('Données projet'!$B$11,Paramètres!$A$1:$I$89,3,0)*0.475*44/12</f>
        <v>2.7097173654612234</v>
      </c>
      <c r="BR167" s="21">
        <f>EXP(-LN(2)/2)*BR166+(1-EXP(-LN(2)/2))/(LN(2)/2)*BL167*BO167*VLOOKUP('Données projet'!$B$11,Paramètres!$A$1:$I$89,3,0)*0.475*44/12</f>
        <v>1.331411488244638E-14</v>
      </c>
      <c r="BS167" s="22">
        <f t="shared" si="169"/>
        <v>20.415556690053911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1.7053025658242404E-13</v>
      </c>
      <c r="BZ167" s="13">
        <f>BY167*VLOOKUP('Données projet'!$B$12,Paramètres!$A$1:$I$89,3,0)*VLOOKUP('Données projet'!$B$12,Paramètres!$A$1:$I$89,5,0)</f>
        <v>7.9808160080574461E-14</v>
      </c>
      <c r="CA167" s="13">
        <f t="shared" si="170"/>
        <v>1.2308384591775343E-12</v>
      </c>
      <c r="CB167" s="20">
        <f t="shared" si="171"/>
        <v>2.282709528541206E-12</v>
      </c>
      <c r="CC167" s="59">
        <f t="shared" si="119"/>
        <v>293.33333333333559</v>
      </c>
      <c r="CD167" s="59">
        <f ca="1">AVERAGE(OFFSET($CC$3,0,0,'Données projet'!$E$12+1,1))-AVERAGE(OFFSET($H$3,0,0,'Données projet'!$E$12+1,1))</f>
        <v>337.10499990421835</v>
      </c>
      <c r="CE167" s="59">
        <f t="shared" si="148"/>
        <v>277.4254079562175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75.664226736688065</v>
      </c>
      <c r="CL167" s="21">
        <f>EXP(-LN(2)/25)*CL166+(1-EXP(-LN(2)/25))/(LN(2)/25)*Calculateur!CG167*Calculateur!CI167*VLOOKUP('Données projet'!$B$12,Paramètres!$A$1:$I$89,3,0)*0.475*44/12</f>
        <v>17.989264971789328</v>
      </c>
      <c r="CM167" s="21">
        <f>EXP(-LN(2)/2)*CM166+(1-EXP(-LN(2)/2))/(LN(2)/2)*CG167*CJ167*VLOOKUP('Données projet'!$B$12,Paramètres!$A$1:$I$89,3,0)*0.475*44/12</f>
        <v>3.4967618991731266E-4</v>
      </c>
      <c r="CN167" s="22">
        <f t="shared" si="172"/>
        <v>93.653841384667302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7.6783333333333319</v>
      </c>
      <c r="CT167" s="12">
        <f>IF('Données projet'!$A$140&gt;35,CT166+CS167-DB166,IF(A167&lt;'Données projet'!$A$140,$CQ$205^A167,IF(A167='Données projet'!$A$140,'Données projet'!$B$140,CT166+CS167-DB166)))</f>
        <v>404.93666666666633</v>
      </c>
      <c r="CU167" s="17">
        <f>CT167*VLOOKUP('Données projet'!$B$13,Paramètres!$A$1:$I$89,3,0)*VLOOKUP('Données projet'!$B$13,Paramètres!$A$1:$I$89,5,0)</f>
        <v>404.28876799999966</v>
      </c>
      <c r="CV167" s="13">
        <f t="shared" si="173"/>
        <v>92.645606697811033</v>
      </c>
      <c r="CW167" s="20">
        <f t="shared" si="174"/>
        <v>865.49403593202032</v>
      </c>
      <c r="CX167" s="59">
        <f t="shared" si="122"/>
        <v>1158.8273692653536</v>
      </c>
      <c r="CY167" s="59">
        <f ca="1">AVERAGE(OFFSET($CX$3,0,0,'Données projet'!$E$13+1,1))-AVERAGE(OFFSET($H$3,0,0,'Données projet'!$E$13+1,1))</f>
        <v>525.74725170626471</v>
      </c>
      <c r="CZ167" s="59">
        <f t="shared" si="150"/>
        <v>259.19103598192197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35.354656324469993</v>
      </c>
      <c r="DG167" s="21">
        <f>EXP(-LN(2)/25)*DG166+(1-EXP(-LN(2)/25))/(LN(2)/25)*Calculateur!DB167*Calculateur!DD167*VLOOKUP('Données projet'!$B$13,Paramètres!$A$1:$I$89,3,0)*0.475*44/12</f>
        <v>18.031957976143946</v>
      </c>
      <c r="DH167" s="21">
        <f>EXP(-LN(2)/2)*DH166+(1-EXP(-LN(2)/2))/(LN(2)/2)*DB167*DE167*VLOOKUP('Données projet'!$B$13,Paramètres!$A$1:$I$89,3,0)*0.475*44/12</f>
        <v>5.679173141011698E-3</v>
      </c>
      <c r="DI167" s="22">
        <f t="shared" si="175"/>
        <v>53.392293473754954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5.4001247917767614E-13</v>
      </c>
      <c r="DP167" s="17">
        <f>DO167*VLOOKUP('Données projet'!$B$14,Paramètres!$A$1:$I$89,3,0)*VLOOKUP('Données projet'!$B$14,Paramètres!$A$1:$I$89,5,0)</f>
        <v>4.8860329115996133E-13</v>
      </c>
      <c r="DQ167" s="13">
        <f t="shared" si="176"/>
        <v>6.1025862939685007E-12</v>
      </c>
      <c r="DR167" s="20">
        <f t="shared" si="177"/>
        <v>1.1479655194098737E-11</v>
      </c>
      <c r="DS167" s="59">
        <f t="shared" si="125"/>
        <v>293.3333333333448</v>
      </c>
      <c r="DT167" s="59">
        <f ca="1">AVERAGE(OFFSET($DS$3,0,0,'Données projet'!$E$14+1,1))-AVERAGE(OFFSET($H$3,0,0,'Données projet'!$E$14+1,1))</f>
        <v>490.06222615476065</v>
      </c>
      <c r="DU167" s="59">
        <f t="shared" si="152"/>
        <v>310.43914804089906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105.91093026351301</v>
      </c>
      <c r="EB167" s="21">
        <f>EXP(-LN(2)/25)*EB166+(1-EXP(-LN(2)/25))/(LN(2)/25)*Calculateur!DW167*Calculateur!DY167*VLOOKUP('Données projet'!$B$14,Paramètres!$A$1:$I$89,3,0)*0.475*44/12</f>
        <v>18.32632825143115</v>
      </c>
      <c r="EC167" s="21">
        <f>EXP(-LN(2)/2)*EC166+(1-EXP(-LN(2)/2))/(LN(2)/2)*DW167*DZ167*VLOOKUP('Données projet'!$B$14,Paramètres!$A$1:$I$89,3,0)*0.475*44/12</f>
        <v>2.4181624317386148</v>
      </c>
      <c r="ED167" s="22">
        <f t="shared" si="178"/>
        <v>126.65542094668277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7.6783333333333319</v>
      </c>
      <c r="EJ167" s="12">
        <f>IF('Données projet'!$A$192&gt;35,EJ166+EI167-ER166,IF(A167&lt;'Données projet'!$A$192,$EG$205^A167,IF(A167='Données projet'!$A$192,'Données projet'!$B$192,EJ166+EI167-ER166)))</f>
        <v>404.93666666666633</v>
      </c>
      <c r="EK167" s="17">
        <f>EJ167*VLOOKUP('Données projet'!$B$15,Paramètres!$A$1:$I$89,3,0)*VLOOKUP('Données projet'!$B$15,Paramètres!$A$1:$I$89,5,0)</f>
        <v>410.6057799999997</v>
      </c>
      <c r="EL167" s="13">
        <f t="shared" si="179"/>
        <v>93.923538642241823</v>
      </c>
      <c r="EM167" s="20">
        <f t="shared" si="180"/>
        <v>878.72189663523716</v>
      </c>
      <c r="EN167" s="59">
        <f t="shared" si="128"/>
        <v>1172.0552299685705</v>
      </c>
      <c r="EO167" s="59">
        <f ca="1">AVERAGE(OFFSET($EN$3,0,0,'Données projet'!$E$15+1,1))-AVERAGE(OFFSET($H$3,0,0,'Données projet'!$E$15+1,1))</f>
        <v>533.26035274112917</v>
      </c>
      <c r="EP167" s="59">
        <f t="shared" si="154"/>
        <v>262.58149402282521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35.907072829539835</v>
      </c>
      <c r="EW167" s="21">
        <f>EXP(-LN(2)/25)*EW166+(1-EXP(-LN(2)/25))/(LN(2)/25)*Calculateur!ER167*Calculateur!ET167*VLOOKUP('Données projet'!$B$15,Paramètres!$A$1:$I$89,3,0)*0.475*44/12</f>
        <v>18.313707319521193</v>
      </c>
      <c r="EX167" s="21">
        <f>EXP(-LN(2)/2)*EX166+(1-EXP(-LN(2)/2))/(LN(2)/2)*ER167*EU167*VLOOKUP('Données projet'!$B$15,Paramètres!$A$1:$I$89,3,0)*0.475*44/12</f>
        <v>5.7679102213400021E-3</v>
      </c>
      <c r="EY167" s="22">
        <f t="shared" si="181"/>
        <v>54.226548059282365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239.26156489359892</v>
      </c>
      <c r="FK167" s="59">
        <f t="shared" si="156"/>
        <v>213.97034450798111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2.4976141349291345</v>
      </c>
      <c r="FR167" s="21">
        <f>EXP(-LN(2)/25)*FR166+(1-EXP(-LN(2)/25))/(LN(2)/25)*Calculateur!FM167*Calculateur!FO167*VLOOKUP('Données projet'!$B$16,Paramètres!$A$1:$I$89,3,0)*0.475*44/12</f>
        <v>8.2072957907520063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10.704909925681141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2.5579538487363607E-13</v>
      </c>
      <c r="O168" s="13">
        <f>N168*VLOOKUP('Données projet'!$B$9,Paramètres!$A$1:$I$89,3,0)*VLOOKUP('Données projet'!$B$9,Paramètres!$A$1:$I$89,5,0)</f>
        <v>2.4341488824575211E-13</v>
      </c>
      <c r="P168" s="13">
        <f t="shared" si="141"/>
        <v>3.2970717324875541E-12</v>
      </c>
      <c r="Q168" s="20">
        <f t="shared" si="162"/>
        <v>6.1663475311105072E-12</v>
      </c>
      <c r="R168" s="59">
        <f t="shared" si="109"/>
        <v>293.33333333333945</v>
      </c>
      <c r="S168" s="59">
        <f ca="1">AVERAGE(OFFSET($R$3,0,0,'Données projet'!$E$9+1,1))-AVERAGE(OFFSET($H$3,0,0,'Données projet'!$E$9+1,1))</f>
        <v>449.28947235329758</v>
      </c>
      <c r="T168" s="59">
        <f t="shared" si="142"/>
        <v>289.36994109443964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59.404853274299072</v>
      </c>
      <c r="AA168" s="21">
        <f>EXP(-LN(2)/25)*AA167+(1-EXP(-LN(2)/25))/(LN(2)/25)*Calculateur!V168*Calculateur!X168*VLOOKUP('Données projet'!$B$9,Paramètres!$A$1:$I$89,3,0)*0.475*44/12</f>
        <v>9.3817816542444081</v>
      </c>
      <c r="AB168" s="21">
        <f>EXP(-LN(2)/2)*AB167+(1-EXP(-LN(2)/2))/(LN(2)/2)*V168*Y168*VLOOKUP('Données projet'!$B$9,Paramètres!$A$1:$I$89,3,0)*0.475*44/12</f>
        <v>3.8634533668480775E-5</v>
      </c>
      <c r="AC168" s="22">
        <f t="shared" si="163"/>
        <v>68.786673563077144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-1.3596945791505279E-13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349.71285006949597</v>
      </c>
      <c r="AO168" s="59">
        <f t="shared" si="144"/>
        <v>258.51550516456842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28.469323204027553</v>
      </c>
      <c r="AV168" s="21">
        <f>EXP(-LN(2)/25)*AV167+(1-EXP(-LN(2)/25))/(LN(2)/25)*Calculateur!AQ168*Calculateur!AS168*VLOOKUP('Données projet'!$B$10,Paramètres!$A$1:$I$89,3,0)*0.475*44/12</f>
        <v>4.9018626902347435</v>
      </c>
      <c r="AW168" s="21">
        <f>EXP(-LN(2)/2)*AW167+(1-EXP(-LN(2)/2))/(LN(2)/2)*AQ168*AT168*VLOOKUP('Données projet'!$B$10,Paramètres!$A$1:$I$89,3,0)*0.475*44/12</f>
        <v>1.1369642758718675E-11</v>
      </c>
      <c r="AX168" s="21">
        <f t="shared" si="166"/>
        <v>33.371185894273665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1.1368683772161603E-13</v>
      </c>
      <c r="BE168" s="13">
        <f>BD168*VLOOKUP('Données projet'!$B$11,Paramètres!$A$1:$I$89,3,0)*VLOOKUP('Données projet'!$B$11,Paramètres!$A$1:$I$89,5,0)</f>
        <v>6.7984728957526396E-14</v>
      </c>
      <c r="BF168" s="13">
        <f t="shared" si="167"/>
        <v>1.0682447123141398E-12</v>
      </c>
      <c r="BG168" s="20">
        <f t="shared" si="168"/>
        <v>1.978932943548152E-12</v>
      </c>
      <c r="BH168" s="59">
        <f t="shared" si="116"/>
        <v>293.3333333333353</v>
      </c>
      <c r="BI168" s="59">
        <f ca="1">AVERAGE(OFFSET($BH$3,0,0,'Données projet'!$E$11+1,1))-AVERAGE(OFFSET($H$3,0,0,'Données projet'!$E$11+1,1))</f>
        <v>302.00825291248458</v>
      </c>
      <c r="BJ168" s="59">
        <f t="shared" si="146"/>
        <v>307.35115839449355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17.358638614933039</v>
      </c>
      <c r="BQ168" s="21">
        <f>EXP(-LN(2)/25)*BQ167+(1-EXP(-LN(2)/25))/(LN(2)/25)*Calculateur!BL168*Calculateur!BN168*VLOOKUP('Données projet'!$B$11,Paramètres!$A$1:$I$89,3,0)*0.475*44/12</f>
        <v>2.6356200016048432</v>
      </c>
      <c r="BR168" s="21">
        <f>EXP(-LN(2)/2)*BR167+(1-EXP(-LN(2)/2))/(LN(2)/2)*BL168*BO168*VLOOKUP('Données projet'!$B$11,Paramètres!$A$1:$I$89,3,0)*0.475*44/12</f>
        <v>9.4145009188745685E-15</v>
      </c>
      <c r="BS168" s="22">
        <f t="shared" si="169"/>
        <v>19.994258616537891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1.7053025658242404E-13</v>
      </c>
      <c r="BZ168" s="13">
        <f>BY168*VLOOKUP('Données projet'!$B$12,Paramètres!$A$1:$I$89,3,0)*VLOOKUP('Données projet'!$B$12,Paramètres!$A$1:$I$89,5,0)</f>
        <v>7.9808160080574461E-14</v>
      </c>
      <c r="CA168" s="13">
        <f t="shared" si="170"/>
        <v>1.2308384591775343E-12</v>
      </c>
      <c r="CB168" s="20">
        <f t="shared" si="171"/>
        <v>2.282709528541206E-12</v>
      </c>
      <c r="CC168" s="59">
        <f t="shared" si="119"/>
        <v>293.33333333333559</v>
      </c>
      <c r="CD168" s="59">
        <f ca="1">AVERAGE(OFFSET($CC$3,0,0,'Données projet'!$E$12+1,1))-AVERAGE(OFFSET($H$3,0,0,'Données projet'!$E$12+1,1))</f>
        <v>337.10499990421835</v>
      </c>
      <c r="CE168" s="59">
        <f t="shared" si="148"/>
        <v>277.4254079562175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74.180497401002924</v>
      </c>
      <c r="CL168" s="21">
        <f>EXP(-LN(2)/25)*CL167+(1-EXP(-LN(2)/25))/(LN(2)/25)*Calculateur!CG168*Calculateur!CI168*VLOOKUP('Données projet'!$B$12,Paramètres!$A$1:$I$89,3,0)*0.475*44/12</f>
        <v>17.49734757512142</v>
      </c>
      <c r="CM168" s="21">
        <f>EXP(-LN(2)/2)*CM167+(1-EXP(-LN(2)/2))/(LN(2)/2)*CG168*CJ168*VLOOKUP('Données projet'!$B$12,Paramètres!$A$1:$I$89,3,0)*0.475*44/12</f>
        <v>2.4725840511000683E-4</v>
      </c>
      <c r="CN168" s="22">
        <f t="shared" si="172"/>
        <v>91.678092234529458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7.6783333333333319</v>
      </c>
      <c r="CT168" s="12">
        <f>IF('Données projet'!$A$140&gt;35,CT167+CS168-DB167,IF(A168&lt;'Données projet'!$A$140,$CQ$205^A168,IF(A168='Données projet'!$A$140,'Données projet'!$B$140,CT167+CS168-DB167)))</f>
        <v>412.61499999999967</v>
      </c>
      <c r="CU168" s="17">
        <f>CT168*VLOOKUP('Données projet'!$B$13,Paramètres!$A$1:$I$89,3,0)*VLOOKUP('Données projet'!$B$13,Paramètres!$A$1:$I$89,5,0)</f>
        <v>411.95481599999965</v>
      </c>
      <c r="CV168" s="13">
        <f t="shared" si="173"/>
        <v>94.19615109136798</v>
      </c>
      <c r="CW168" s="20">
        <f t="shared" si="174"/>
        <v>881.54626768413198</v>
      </c>
      <c r="CX168" s="59">
        <f t="shared" si="122"/>
        <v>1174.8796010174653</v>
      </c>
      <c r="CY168" s="59">
        <f ca="1">AVERAGE(OFFSET($CX$3,0,0,'Données projet'!$E$13+1,1))-AVERAGE(OFFSET($H$3,0,0,'Données projet'!$E$13+1,1))</f>
        <v>525.74725170626471</v>
      </c>
      <c r="CZ168" s="59">
        <f t="shared" si="150"/>
        <v>259.19103598192197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34.661373078158206</v>
      </c>
      <c r="DG168" s="21">
        <f>EXP(-LN(2)/25)*DG167+(1-EXP(-LN(2)/25))/(LN(2)/25)*Calculateur!DB168*Calculateur!DD168*VLOOKUP('Données projet'!$B$13,Paramètres!$A$1:$I$89,3,0)*0.475*44/12</f>
        <v>17.538873137026833</v>
      </c>
      <c r="DH168" s="21">
        <f>EXP(-LN(2)/2)*DH167+(1-EXP(-LN(2)/2))/(LN(2)/2)*DB168*DE168*VLOOKUP('Données projet'!$B$13,Paramètres!$A$1:$I$89,3,0)*0.475*44/12</f>
        <v>4.0157818395418765E-3</v>
      </c>
      <c r="DI168" s="22">
        <f t="shared" si="175"/>
        <v>52.204261997024581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5.4001247917767614E-13</v>
      </c>
      <c r="DP168" s="17">
        <f>DO168*VLOOKUP('Données projet'!$B$14,Paramètres!$A$1:$I$89,3,0)*VLOOKUP('Données projet'!$B$14,Paramètres!$A$1:$I$89,5,0)</f>
        <v>4.8860329115996133E-13</v>
      </c>
      <c r="DQ168" s="13">
        <f t="shared" si="176"/>
        <v>6.1025862939685007E-12</v>
      </c>
      <c r="DR168" s="20">
        <f t="shared" si="177"/>
        <v>1.1479655194098737E-11</v>
      </c>
      <c r="DS168" s="59">
        <f t="shared" si="125"/>
        <v>293.3333333333448</v>
      </c>
      <c r="DT168" s="59">
        <f ca="1">AVERAGE(OFFSET($DS$3,0,0,'Données projet'!$E$14+1,1))-AVERAGE(OFFSET($H$3,0,0,'Données projet'!$E$14+1,1))</f>
        <v>490.06222615476065</v>
      </c>
      <c r="DU168" s="59">
        <f t="shared" si="152"/>
        <v>310.43914804089906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103.83408152033434</v>
      </c>
      <c r="EB168" s="21">
        <f>EXP(-LN(2)/25)*EB167+(1-EXP(-LN(2)/25))/(LN(2)/25)*Calculateur!DW168*Calculateur!DY168*VLOOKUP('Données projet'!$B$14,Paramètres!$A$1:$I$89,3,0)*0.475*44/12</f>
        <v>17.825193841656048</v>
      </c>
      <c r="EC168" s="21">
        <f>EXP(-LN(2)/2)*EC167+(1-EXP(-LN(2)/2))/(LN(2)/2)*DW168*DZ168*VLOOKUP('Données projet'!$B$14,Paramètres!$A$1:$I$89,3,0)*0.475*44/12</f>
        <v>1.7098990534929264</v>
      </c>
      <c r="ED168" s="22">
        <f t="shared" si="178"/>
        <v>123.36917441548331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7.6783333333333319</v>
      </c>
      <c r="EJ168" s="12">
        <f>IF('Données projet'!$A$192&gt;35,EJ167+EI168-ER167,IF(A168&lt;'Données projet'!$A$192,$EG$205^A168,IF(A168='Données projet'!$A$192,'Données projet'!$B$192,EJ167+EI168-ER167)))</f>
        <v>412.61499999999967</v>
      </c>
      <c r="EK168" s="17">
        <f>EJ168*VLOOKUP('Données projet'!$B$15,Paramètres!$A$1:$I$89,3,0)*VLOOKUP('Données projet'!$B$15,Paramètres!$A$1:$I$89,5,0)</f>
        <v>418.39160999999967</v>
      </c>
      <c r="EL168" s="13">
        <f t="shared" si="179"/>
        <v>95.495470884423355</v>
      </c>
      <c r="EM168" s="20">
        <f t="shared" si="180"/>
        <v>895.0199992070369</v>
      </c>
      <c r="EN168" s="59">
        <f t="shared" si="128"/>
        <v>1188.3533325403703</v>
      </c>
      <c r="EO168" s="59">
        <f ca="1">AVERAGE(OFFSET($EN$3,0,0,'Données projet'!$E$15+1,1))-AVERAGE(OFFSET($H$3,0,0,'Données projet'!$E$15+1,1))</f>
        <v>533.26035274112917</v>
      </c>
      <c r="EP168" s="59">
        <f t="shared" si="154"/>
        <v>262.58149402282521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35.202957032504429</v>
      </c>
      <c r="EW168" s="21">
        <f>EXP(-LN(2)/25)*EW167+(1-EXP(-LN(2)/25))/(LN(2)/25)*Calculateur!ER168*Calculateur!ET168*VLOOKUP('Données projet'!$B$15,Paramètres!$A$1:$I$89,3,0)*0.475*44/12</f>
        <v>17.812918029792876</v>
      </c>
      <c r="EX168" s="21">
        <f>EXP(-LN(2)/2)*EX167+(1-EXP(-LN(2)/2))/(LN(2)/2)*ER168*EU168*VLOOKUP('Données projet'!$B$15,Paramètres!$A$1:$I$89,3,0)*0.475*44/12</f>
        <v>4.0785284307847157E-3</v>
      </c>
      <c r="EY168" s="22">
        <f t="shared" si="181"/>
        <v>53.019953590728086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239.26156489359892</v>
      </c>
      <c r="FK168" s="59">
        <f t="shared" si="156"/>
        <v>213.97034450798111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2.4486374451373738</v>
      </c>
      <c r="FR168" s="21">
        <f>EXP(-LN(2)/25)*FR167+(1-EXP(-LN(2)/25))/(LN(2)/25)*Calculateur!FM168*Calculateur!FO168*VLOOKUP('Données projet'!$B$16,Paramètres!$A$1:$I$89,3,0)*0.475*44/12</f>
        <v>7.9828668557509648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10.431504300888339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2.5579538487363607E-13</v>
      </c>
      <c r="O169" s="13">
        <f>N169*VLOOKUP('Données projet'!$B$9,Paramètres!$A$1:$I$89,3,0)*VLOOKUP('Données projet'!$B$9,Paramètres!$A$1:$I$89,5,0)</f>
        <v>2.4341488824575211E-13</v>
      </c>
      <c r="P169" s="13">
        <f t="shared" si="141"/>
        <v>3.2970717324875541E-12</v>
      </c>
      <c r="Q169" s="20">
        <f t="shared" si="162"/>
        <v>6.1663475311105072E-12</v>
      </c>
      <c r="R169" s="59">
        <f t="shared" si="109"/>
        <v>293.33333333333945</v>
      </c>
      <c r="S169" s="59">
        <f ca="1">AVERAGE(OFFSET($R$3,0,0,'Données projet'!$E$9+1,1))-AVERAGE(OFFSET($H$3,0,0,'Données projet'!$E$9+1,1))</f>
        <v>449.28947235329758</v>
      </c>
      <c r="T169" s="59">
        <f t="shared" si="142"/>
        <v>289.36994109443964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58.239960334972814</v>
      </c>
      <c r="AA169" s="21">
        <f>EXP(-LN(2)/25)*AA168+(1-EXP(-LN(2)/25))/(LN(2)/25)*Calculateur!V169*Calculateur!X169*VLOOKUP('Données projet'!$B$9,Paramètres!$A$1:$I$89,3,0)*0.475*44/12</f>
        <v>9.1252363415426405</v>
      </c>
      <c r="AB169" s="21">
        <f>EXP(-LN(2)/2)*AB168+(1-EXP(-LN(2)/2))/(LN(2)/2)*V169*Y169*VLOOKUP('Données projet'!$B$9,Paramètres!$A$1:$I$89,3,0)*0.475*44/12</f>
        <v>2.7318740744962739E-5</v>
      </c>
      <c r="AC169" s="22">
        <f t="shared" si="163"/>
        <v>67.365223995256201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-1.3596945791505279E-13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349.71285006949597</v>
      </c>
      <c r="AO169" s="59">
        <f t="shared" si="144"/>
        <v>258.51550516456842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27.911057140569117</v>
      </c>
      <c r="AV169" s="21">
        <f>EXP(-LN(2)/25)*AV168+(1-EXP(-LN(2)/25))/(LN(2)/25)*Calculateur!AQ169*Calculateur!AS169*VLOOKUP('Données projet'!$B$10,Paramètres!$A$1:$I$89,3,0)*0.475*44/12</f>
        <v>4.7678209971925192</v>
      </c>
      <c r="AW169" s="21">
        <f>EXP(-LN(2)/2)*AW168+(1-EXP(-LN(2)/2))/(LN(2)/2)*AQ169*AT169*VLOOKUP('Données projet'!$B$10,Paramètres!$A$1:$I$89,3,0)*0.475*44/12</f>
        <v>8.0395514943585007E-12</v>
      </c>
      <c r="AX169" s="21">
        <f t="shared" si="166"/>
        <v>32.678878137769672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1.1368683772161603E-13</v>
      </c>
      <c r="BE169" s="13">
        <f>BD169*VLOOKUP('Données projet'!$B$11,Paramètres!$A$1:$I$89,3,0)*VLOOKUP('Données projet'!$B$11,Paramètres!$A$1:$I$89,5,0)</f>
        <v>6.7984728957526396E-14</v>
      </c>
      <c r="BF169" s="13">
        <f t="shared" si="167"/>
        <v>1.0682447123141398E-12</v>
      </c>
      <c r="BG169" s="20">
        <f t="shared" si="168"/>
        <v>1.978932943548152E-12</v>
      </c>
      <c r="BH169" s="59">
        <f t="shared" si="116"/>
        <v>293.3333333333353</v>
      </c>
      <c r="BI169" s="59">
        <f ca="1">AVERAGE(OFFSET($BH$3,0,0,'Données projet'!$E$11+1,1))-AVERAGE(OFFSET($H$3,0,0,'Données projet'!$E$11+1,1))</f>
        <v>302.00825291248458</v>
      </c>
      <c r="BJ169" s="59">
        <f t="shared" si="146"/>
        <v>307.35115839449355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17.018246299418305</v>
      </c>
      <c r="BQ169" s="21">
        <f>EXP(-LN(2)/25)*BQ168+(1-EXP(-LN(2)/25))/(LN(2)/25)*Calculateur!BL169*Calculateur!BN169*VLOOKUP('Données projet'!$B$11,Paramètres!$A$1:$I$89,3,0)*0.475*44/12</f>
        <v>2.5635488340597266</v>
      </c>
      <c r="BR169" s="21">
        <f>EXP(-LN(2)/2)*BR168+(1-EXP(-LN(2)/2))/(LN(2)/2)*BL169*BO169*VLOOKUP('Données projet'!$B$11,Paramètres!$A$1:$I$89,3,0)*0.475*44/12</f>
        <v>6.6570574412231902E-15</v>
      </c>
      <c r="BS169" s="22">
        <f t="shared" si="169"/>
        <v>19.581795133478039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1.7053025658242404E-13</v>
      </c>
      <c r="BZ169" s="13">
        <f>BY169*VLOOKUP('Données projet'!$B$12,Paramètres!$A$1:$I$89,3,0)*VLOOKUP('Données projet'!$B$12,Paramètres!$A$1:$I$89,5,0)</f>
        <v>7.9808160080574461E-14</v>
      </c>
      <c r="CA169" s="13">
        <f t="shared" si="170"/>
        <v>1.2308384591775343E-12</v>
      </c>
      <c r="CB169" s="20">
        <f t="shared" si="171"/>
        <v>2.282709528541206E-12</v>
      </c>
      <c r="CC169" s="59">
        <f t="shared" si="119"/>
        <v>293.33333333333559</v>
      </c>
      <c r="CD169" s="59">
        <f ca="1">AVERAGE(OFFSET($CC$3,0,0,'Données projet'!$E$12+1,1))-AVERAGE(OFFSET($H$3,0,0,'Données projet'!$E$12+1,1))</f>
        <v>337.10499990421835</v>
      </c>
      <c r="CE169" s="59">
        <f t="shared" si="148"/>
        <v>277.4254079562175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72.725863092605039</v>
      </c>
      <c r="CL169" s="21">
        <f>EXP(-LN(2)/25)*CL168+(1-EXP(-LN(2)/25))/(LN(2)/25)*Calculateur!CG169*Calculateur!CI169*VLOOKUP('Données projet'!$B$12,Paramètres!$A$1:$I$89,3,0)*0.475*44/12</f>
        <v>17.018881685534208</v>
      </c>
      <c r="CM169" s="21">
        <f>EXP(-LN(2)/2)*CM168+(1-EXP(-LN(2)/2))/(LN(2)/2)*CG169*CJ169*VLOOKUP('Données projet'!$B$12,Paramètres!$A$1:$I$89,3,0)*0.475*44/12</f>
        <v>1.7483809495865633E-4</v>
      </c>
      <c r="CN169" s="22">
        <f t="shared" si="172"/>
        <v>89.744919616234213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7.6783333333333319</v>
      </c>
      <c r="CT169" s="12">
        <f>IF('Données projet'!$A$140&gt;35,CT168+CS169-DB168,IF(A169&lt;'Données projet'!$A$140,$CQ$205^A169,IF(A169='Données projet'!$A$140,'Données projet'!$B$140,CT168+CS169-DB168)))</f>
        <v>420.29333333333301</v>
      </c>
      <c r="CU169" s="17">
        <f>CT169*VLOOKUP('Données projet'!$B$13,Paramètres!$A$1:$I$89,3,0)*VLOOKUP('Données projet'!$B$13,Paramètres!$A$1:$I$89,5,0)</f>
        <v>419.62086399999976</v>
      </c>
      <c r="CV169" s="13">
        <f t="shared" si="173"/>
        <v>95.743340308512657</v>
      </c>
      <c r="CW169" s="20">
        <f t="shared" si="174"/>
        <v>897.59265583732576</v>
      </c>
      <c r="CX169" s="59">
        <f t="shared" si="122"/>
        <v>1190.925989170659</v>
      </c>
      <c r="CY169" s="59">
        <f ca="1">AVERAGE(OFFSET($CX$3,0,0,'Données projet'!$E$13+1,1))-AVERAGE(OFFSET($H$3,0,0,'Données projet'!$E$13+1,1))</f>
        <v>525.74725170626471</v>
      </c>
      <c r="CZ169" s="59">
        <f t="shared" si="150"/>
        <v>259.19103598192197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33.981684693445565</v>
      </c>
      <c r="DG169" s="21">
        <f>EXP(-LN(2)/25)*DG168+(1-EXP(-LN(2)/25))/(LN(2)/25)*Calculateur!DB169*Calculateur!DD169*VLOOKUP('Données projet'!$B$13,Paramètres!$A$1:$I$89,3,0)*0.475*44/12</f>
        <v>17.05927172876558</v>
      </c>
      <c r="DH169" s="21">
        <f>EXP(-LN(2)/2)*DH168+(1-EXP(-LN(2)/2))/(LN(2)/2)*DB169*DE169*VLOOKUP('Données projet'!$B$13,Paramètres!$A$1:$I$89,3,0)*0.475*44/12</f>
        <v>2.839586570505849E-3</v>
      </c>
      <c r="DI169" s="22">
        <f t="shared" si="175"/>
        <v>51.043796008781655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5.4001247917767614E-13</v>
      </c>
      <c r="DP169" s="17">
        <f>DO169*VLOOKUP('Données projet'!$B$14,Paramètres!$A$1:$I$89,3,0)*VLOOKUP('Données projet'!$B$14,Paramètres!$A$1:$I$89,5,0)</f>
        <v>4.8860329115996133E-13</v>
      </c>
      <c r="DQ169" s="13">
        <f t="shared" si="176"/>
        <v>6.1025862939685007E-12</v>
      </c>
      <c r="DR169" s="20">
        <f t="shared" si="177"/>
        <v>1.1479655194098737E-11</v>
      </c>
      <c r="DS169" s="59">
        <f t="shared" si="125"/>
        <v>293.3333333333448</v>
      </c>
      <c r="DT169" s="59">
        <f ca="1">AVERAGE(OFFSET($DS$3,0,0,'Données projet'!$E$14+1,1))-AVERAGE(OFFSET($H$3,0,0,'Données projet'!$E$14+1,1))</f>
        <v>490.06222615476065</v>
      </c>
      <c r="DU169" s="59">
        <f t="shared" si="152"/>
        <v>310.43914804089906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101.79795851425673</v>
      </c>
      <c r="EB169" s="21">
        <f>EXP(-LN(2)/25)*EB168+(1-EXP(-LN(2)/25))/(LN(2)/25)*Calculateur!DW169*Calculateur!DY169*VLOOKUP('Données projet'!$B$14,Paramètres!$A$1:$I$89,3,0)*0.475*44/12</f>
        <v>17.337762978669758</v>
      </c>
      <c r="EC169" s="21">
        <f>EXP(-LN(2)/2)*EC168+(1-EXP(-LN(2)/2))/(LN(2)/2)*DW169*DZ169*VLOOKUP('Données projet'!$B$14,Paramètres!$A$1:$I$89,3,0)*0.475*44/12</f>
        <v>1.2090812158693074</v>
      </c>
      <c r="ED169" s="22">
        <f t="shared" si="178"/>
        <v>120.3448027087958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7.6783333333333319</v>
      </c>
      <c r="EJ169" s="12">
        <f>IF('Données projet'!$A$192&gt;35,EJ168+EI169-ER168,IF(A169&lt;'Données projet'!$A$192,$EG$205^A169,IF(A169='Données projet'!$A$192,'Données projet'!$B$192,EJ168+EI169-ER168)))</f>
        <v>420.29333333333301</v>
      </c>
      <c r="EK169" s="17">
        <f>EJ169*VLOOKUP('Données projet'!$B$15,Paramètres!$A$1:$I$89,3,0)*VLOOKUP('Données projet'!$B$15,Paramètres!$A$1:$I$89,5,0)</f>
        <v>426.17743999999971</v>
      </c>
      <c r="EL169" s="13">
        <f t="shared" si="179"/>
        <v>97.064001669669764</v>
      </c>
      <c r="EM169" s="20">
        <f t="shared" si="180"/>
        <v>911.31217757467437</v>
      </c>
      <c r="EN169" s="59">
        <f t="shared" si="128"/>
        <v>1204.6455109080077</v>
      </c>
      <c r="EO169" s="59">
        <f ca="1">AVERAGE(OFFSET($EN$3,0,0,'Données projet'!$E$15+1,1))-AVERAGE(OFFSET($H$3,0,0,'Données projet'!$E$15+1,1))</f>
        <v>533.26035274112917</v>
      </c>
      <c r="EP169" s="59">
        <f t="shared" si="154"/>
        <v>262.58149402282521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34.512648516780658</v>
      </c>
      <c r="EW169" s="21">
        <f>EXP(-LN(2)/25)*EW168+(1-EXP(-LN(2)/25))/(LN(2)/25)*Calculateur!ER169*Calculateur!ET169*VLOOKUP('Données projet'!$B$15,Paramètres!$A$1:$I$89,3,0)*0.475*44/12</f>
        <v>17.32582284952754</v>
      </c>
      <c r="EX169" s="21">
        <f>EXP(-LN(2)/2)*EX168+(1-EXP(-LN(2)/2))/(LN(2)/2)*ER169*EU169*VLOOKUP('Données projet'!$B$15,Paramètres!$A$1:$I$89,3,0)*0.475*44/12</f>
        <v>2.8839551106700011E-3</v>
      </c>
      <c r="EY169" s="22">
        <f t="shared" si="181"/>
        <v>51.841355321418867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239.26156489359892</v>
      </c>
      <c r="FK169" s="59">
        <f t="shared" si="156"/>
        <v>213.97034450798111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2.4006211583595984</v>
      </c>
      <c r="FR169" s="21">
        <f>EXP(-LN(2)/25)*FR168+(1-EXP(-LN(2)/25))/(LN(2)/25)*Calculateur!FM169*Calculateur!FO169*VLOOKUP('Données projet'!$B$16,Paramètres!$A$1:$I$89,3,0)*0.475*44/12</f>
        <v>7.7645749417797321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10.16519610013933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2.5579538487363607E-13</v>
      </c>
      <c r="O170" s="13">
        <f>N170*VLOOKUP('Données projet'!$B$9,Paramètres!$A$1:$I$89,3,0)*VLOOKUP('Données projet'!$B$9,Paramètres!$A$1:$I$89,5,0)</f>
        <v>2.4341488824575211E-13</v>
      </c>
      <c r="P170" s="13">
        <f t="shared" si="141"/>
        <v>3.2970717324875541E-12</v>
      </c>
      <c r="Q170" s="20">
        <f t="shared" si="162"/>
        <v>6.1663475311105072E-12</v>
      </c>
      <c r="R170" s="59">
        <f t="shared" si="109"/>
        <v>293.33333333333945</v>
      </c>
      <c r="S170" s="59">
        <f ca="1">AVERAGE(OFFSET($R$3,0,0,'Données projet'!$E$9+1,1))-AVERAGE(OFFSET($H$3,0,0,'Données projet'!$E$9+1,1))</f>
        <v>449.28947235329758</v>
      </c>
      <c r="T170" s="59">
        <f t="shared" si="142"/>
        <v>289.36994109443964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57.097910235672209</v>
      </c>
      <c r="AA170" s="21">
        <f>EXP(-LN(2)/25)*AA169+(1-EXP(-LN(2)/25))/(LN(2)/25)*Calculateur!V170*Calculateur!X170*VLOOKUP('Données projet'!$B$9,Paramètres!$A$1:$I$89,3,0)*0.475*44/12</f>
        <v>8.8757062739078343</v>
      </c>
      <c r="AB170" s="21">
        <f>EXP(-LN(2)/2)*AB169+(1-EXP(-LN(2)/2))/(LN(2)/2)*V170*Y170*VLOOKUP('Données projet'!$B$9,Paramètres!$A$1:$I$89,3,0)*0.475*44/12</f>
        <v>1.9317266834240387E-5</v>
      </c>
      <c r="AC170" s="22">
        <f t="shared" si="163"/>
        <v>65.973635826846873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-1.3596945791505279E-13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349.71285006949597</v>
      </c>
      <c r="AO170" s="59">
        <f t="shared" si="144"/>
        <v>258.51550516456842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27.363738334106426</v>
      </c>
      <c r="AV170" s="21">
        <f>EXP(-LN(2)/25)*AV169+(1-EXP(-LN(2)/25))/(LN(2)/25)*Calculateur!AQ170*Calculateur!AS170*VLOOKUP('Données projet'!$B$10,Paramètres!$A$1:$I$89,3,0)*0.475*44/12</f>
        <v>4.6374446812954808</v>
      </c>
      <c r="AW170" s="21">
        <f>EXP(-LN(2)/2)*AW169+(1-EXP(-LN(2)/2))/(LN(2)/2)*AQ170*AT170*VLOOKUP('Données projet'!$B$10,Paramètres!$A$1:$I$89,3,0)*0.475*44/12</f>
        <v>5.6848213793593375E-12</v>
      </c>
      <c r="AX170" s="21">
        <f t="shared" si="166"/>
        <v>32.001183015407591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1.1368683772161603E-13</v>
      </c>
      <c r="BE170" s="13">
        <f>BD170*VLOOKUP('Données projet'!$B$11,Paramètres!$A$1:$I$89,3,0)*VLOOKUP('Données projet'!$B$11,Paramètres!$A$1:$I$89,5,0)</f>
        <v>6.7984728957526396E-14</v>
      </c>
      <c r="BF170" s="13">
        <f t="shared" si="167"/>
        <v>1.0682447123141398E-12</v>
      </c>
      <c r="BG170" s="20">
        <f t="shared" si="168"/>
        <v>1.978932943548152E-12</v>
      </c>
      <c r="BH170" s="59">
        <f t="shared" si="116"/>
        <v>293.3333333333353</v>
      </c>
      <c r="BI170" s="59">
        <f ca="1">AVERAGE(OFFSET($BH$3,0,0,'Données projet'!$E$11+1,1))-AVERAGE(OFFSET($H$3,0,0,'Données projet'!$E$11+1,1))</f>
        <v>302.00825291248458</v>
      </c>
      <c r="BJ170" s="59">
        <f t="shared" si="146"/>
        <v>307.35115839449355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16.684528869592004</v>
      </c>
      <c r="BQ170" s="21">
        <f>EXP(-LN(2)/25)*BQ169+(1-EXP(-LN(2)/25))/(LN(2)/25)*Calculateur!BL170*Calculateur!BN170*VLOOKUP('Données projet'!$B$11,Paramètres!$A$1:$I$89,3,0)*0.475*44/12</f>
        <v>2.4934484563811892</v>
      </c>
      <c r="BR170" s="21">
        <f>EXP(-LN(2)/2)*BR169+(1-EXP(-LN(2)/2))/(LN(2)/2)*BL170*BO170*VLOOKUP('Données projet'!$B$11,Paramètres!$A$1:$I$89,3,0)*0.475*44/12</f>
        <v>4.7072504594372843E-15</v>
      </c>
      <c r="BS170" s="22">
        <f t="shared" si="169"/>
        <v>19.177977325973195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1.7053025658242404E-13</v>
      </c>
      <c r="BZ170" s="13">
        <f>BY170*VLOOKUP('Données projet'!$B$12,Paramètres!$A$1:$I$89,3,0)*VLOOKUP('Données projet'!$B$12,Paramètres!$A$1:$I$89,5,0)</f>
        <v>7.9808160080574461E-14</v>
      </c>
      <c r="CA170" s="13">
        <f t="shared" si="170"/>
        <v>1.2308384591775343E-12</v>
      </c>
      <c r="CB170" s="20">
        <f t="shared" si="171"/>
        <v>2.282709528541206E-12</v>
      </c>
      <c r="CC170" s="59">
        <f t="shared" si="119"/>
        <v>293.33333333333559</v>
      </c>
      <c r="CD170" s="59">
        <f ca="1">AVERAGE(OFFSET($CC$3,0,0,'Données projet'!$E$12+1,1))-AVERAGE(OFFSET($H$3,0,0,'Données projet'!$E$12+1,1))</f>
        <v>337.10499990421835</v>
      </c>
      <c r="CE170" s="59">
        <f t="shared" si="148"/>
        <v>277.4254079562175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71.299753275755506</v>
      </c>
      <c r="CL170" s="21">
        <f>EXP(-LN(2)/25)*CL169+(1-EXP(-LN(2)/25))/(LN(2)/25)*Calculateur!CG170*Calculateur!CI170*VLOOKUP('Données projet'!$B$12,Paramètres!$A$1:$I$89,3,0)*0.475*44/12</f>
        <v>16.553499470859183</v>
      </c>
      <c r="CM170" s="21">
        <f>EXP(-LN(2)/2)*CM169+(1-EXP(-LN(2)/2))/(LN(2)/2)*CG170*CJ170*VLOOKUP('Données projet'!$B$12,Paramètres!$A$1:$I$89,3,0)*0.475*44/12</f>
        <v>1.2362920255500341E-4</v>
      </c>
      <c r="CN170" s="22">
        <f t="shared" si="172"/>
        <v>87.853376375817234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7.6783333333333319</v>
      </c>
      <c r="CT170" s="12">
        <f>IF('Données projet'!$A$140&gt;35,CT169+CS170-DB169,IF(A170&lt;'Données projet'!$A$140,$CQ$205^A170,IF(A170='Données projet'!$A$140,'Données projet'!$B$140,CT169+CS170-DB169)))</f>
        <v>427.97166666666635</v>
      </c>
      <c r="CU170" s="17">
        <f>CT170*VLOOKUP('Données projet'!$B$13,Paramètres!$A$1:$I$89,3,0)*VLOOKUP('Données projet'!$B$13,Paramètres!$A$1:$I$89,5,0)</f>
        <v>427.28691199999975</v>
      </c>
      <c r="CV170" s="13">
        <f t="shared" si="173"/>
        <v>97.287242714696134</v>
      </c>
      <c r="CW170" s="20">
        <f t="shared" si="174"/>
        <v>913.63331946142853</v>
      </c>
      <c r="CX170" s="59">
        <f t="shared" si="122"/>
        <v>1206.9666527947618</v>
      </c>
      <c r="CY170" s="59">
        <f ca="1">AVERAGE(OFFSET($CX$3,0,0,'Données projet'!$E$13+1,1))-AVERAGE(OFFSET($H$3,0,0,'Données projet'!$E$13+1,1))</f>
        <v>525.74725170626471</v>
      </c>
      <c r="CZ170" s="59">
        <f t="shared" si="150"/>
        <v>259.19103598192197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33.315324583388161</v>
      </c>
      <c r="DG170" s="21">
        <f>EXP(-LN(2)/25)*DG169+(1-EXP(-LN(2)/25))/(LN(2)/25)*Calculateur!DB170*Calculateur!DD170*VLOOKUP('Données projet'!$B$13,Paramètres!$A$1:$I$89,3,0)*0.475*44/12</f>
        <v>16.592785046234376</v>
      </c>
      <c r="DH170" s="21">
        <f>EXP(-LN(2)/2)*DH169+(1-EXP(-LN(2)/2))/(LN(2)/2)*DB170*DE170*VLOOKUP('Données projet'!$B$13,Paramètres!$A$1:$I$89,3,0)*0.475*44/12</f>
        <v>2.0078909197709383E-3</v>
      </c>
      <c r="DI170" s="22">
        <f t="shared" si="175"/>
        <v>49.910117520542308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5.4001247917767614E-13</v>
      </c>
      <c r="DP170" s="17">
        <f>DO170*VLOOKUP('Données projet'!$B$14,Paramètres!$A$1:$I$89,3,0)*VLOOKUP('Données projet'!$B$14,Paramètres!$A$1:$I$89,5,0)</f>
        <v>4.8860329115996133E-13</v>
      </c>
      <c r="DQ170" s="13">
        <f t="shared" si="176"/>
        <v>6.1025862939685007E-12</v>
      </c>
      <c r="DR170" s="20">
        <f t="shared" si="177"/>
        <v>1.1479655194098737E-11</v>
      </c>
      <c r="DS170" s="59">
        <f t="shared" si="125"/>
        <v>293.3333333333448</v>
      </c>
      <c r="DT170" s="59">
        <f ca="1">AVERAGE(OFFSET($DS$3,0,0,'Données projet'!$E$14+1,1))-AVERAGE(OFFSET($H$3,0,0,'Données projet'!$E$14+1,1))</f>
        <v>490.06222615476065</v>
      </c>
      <c r="DU170" s="59">
        <f t="shared" si="152"/>
        <v>310.43914804089906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99.801762638415909</v>
      </c>
      <c r="EB170" s="21">
        <f>EXP(-LN(2)/25)*EB169+(1-EXP(-LN(2)/25))/(LN(2)/25)*Calculateur!DW170*Calculateur!DY170*VLOOKUP('Données projet'!$B$14,Paramètres!$A$1:$I$89,3,0)*0.475*44/12</f>
        <v>16.863660938264704</v>
      </c>
      <c r="EC170" s="21">
        <f>EXP(-LN(2)/2)*EC169+(1-EXP(-LN(2)/2))/(LN(2)/2)*DW170*DZ170*VLOOKUP('Données projet'!$B$14,Paramètres!$A$1:$I$89,3,0)*0.475*44/12</f>
        <v>0.85494952674646318</v>
      </c>
      <c r="ED170" s="22">
        <f t="shared" si="178"/>
        <v>117.52037310342708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7.6783333333333319</v>
      </c>
      <c r="EJ170" s="12">
        <f>IF('Données projet'!$A$192&gt;35,EJ169+EI170-ER169,IF(A170&lt;'Données projet'!$A$192,$EG$205^A170,IF(A170='Données projet'!$A$192,'Données projet'!$B$192,EJ169+EI170-ER169)))</f>
        <v>427.97166666666635</v>
      </c>
      <c r="EK170" s="17">
        <f>EJ170*VLOOKUP('Données projet'!$B$15,Paramètres!$A$1:$I$89,3,0)*VLOOKUP('Données projet'!$B$15,Paramètres!$A$1:$I$89,5,0)</f>
        <v>433.96326999999974</v>
      </c>
      <c r="EL170" s="13">
        <f t="shared" si="179"/>
        <v>98.629200306449263</v>
      </c>
      <c r="EM170" s="20">
        <f t="shared" si="180"/>
        <v>927.59855245039887</v>
      </c>
      <c r="EN170" s="59">
        <f t="shared" si="128"/>
        <v>1220.9318857837322</v>
      </c>
      <c r="EO170" s="59">
        <f ca="1">AVERAGE(OFFSET($EN$3,0,0,'Données projet'!$E$15+1,1))-AVERAGE(OFFSET($H$3,0,0,'Données projet'!$E$15+1,1))</f>
        <v>533.26035274112917</v>
      </c>
      <c r="EP170" s="59">
        <f t="shared" si="154"/>
        <v>262.58149402282521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33.83587653000361</v>
      </c>
      <c r="EW170" s="21">
        <f>EXP(-LN(2)/25)*EW169+(1-EXP(-LN(2)/25))/(LN(2)/25)*Calculateur!ER170*Calculateur!ET170*VLOOKUP('Données projet'!$B$15,Paramètres!$A$1:$I$89,3,0)*0.475*44/12</f>
        <v>16.852047312581785</v>
      </c>
      <c r="EX170" s="21">
        <f>EXP(-LN(2)/2)*EX169+(1-EXP(-LN(2)/2))/(LN(2)/2)*ER170*EU170*VLOOKUP('Données projet'!$B$15,Paramètres!$A$1:$I$89,3,0)*0.475*44/12</f>
        <v>2.0392642153923579E-3</v>
      </c>
      <c r="EY170" s="22">
        <f t="shared" si="181"/>
        <v>50.689963106800782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239.26156489359892</v>
      </c>
      <c r="FK170" s="59">
        <f t="shared" si="156"/>
        <v>213.97034450798111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2.3535464416784921</v>
      </c>
      <c r="FR170" s="21">
        <f>EXP(-LN(2)/25)*FR169+(1-EXP(-LN(2)/25))/(LN(2)/25)*Calculateur!FM170*Calculateur!FO170*VLOOKUP('Données projet'!$B$16,Paramètres!$A$1:$I$89,3,0)*0.475*44/12</f>
        <v>7.5522522316755154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9.905798673354008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2.5579538487363607E-13</v>
      </c>
      <c r="O171" s="13">
        <f>N171*VLOOKUP('Données projet'!$B$9,Paramètres!$A$1:$I$89,3,0)*VLOOKUP('Données projet'!$B$9,Paramètres!$A$1:$I$89,5,0)</f>
        <v>2.4341488824575211E-13</v>
      </c>
      <c r="P171" s="13">
        <f t="shared" si="141"/>
        <v>3.2970717324875541E-12</v>
      </c>
      <c r="Q171" s="20">
        <f t="shared" si="162"/>
        <v>6.1663475311105072E-12</v>
      </c>
      <c r="R171" s="59">
        <f t="shared" si="109"/>
        <v>293.33333333333945</v>
      </c>
      <c r="S171" s="59">
        <f ca="1">AVERAGE(OFFSET($R$3,0,0,'Données projet'!$E$9+1,1))-AVERAGE(OFFSET($H$3,0,0,'Données projet'!$E$9+1,1))</f>
        <v>449.28947235329758</v>
      </c>
      <c r="T171" s="59">
        <f t="shared" si="142"/>
        <v>289.36994109443964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55.978255042237109</v>
      </c>
      <c r="AA171" s="21">
        <f>EXP(-LN(2)/25)*AA170+(1-EXP(-LN(2)/25))/(LN(2)/25)*Calculateur!V171*Calculateur!X171*VLOOKUP('Données projet'!$B$9,Paramètres!$A$1:$I$89,3,0)*0.475*44/12</f>
        <v>8.6329996190947167</v>
      </c>
      <c r="AB171" s="21">
        <f>EXP(-LN(2)/2)*AB170+(1-EXP(-LN(2)/2))/(LN(2)/2)*V171*Y171*VLOOKUP('Données projet'!$B$9,Paramètres!$A$1:$I$89,3,0)*0.475*44/12</f>
        <v>1.3659370372481369E-5</v>
      </c>
      <c r="AC171" s="22">
        <f t="shared" si="163"/>
        <v>64.611268320702195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-1.3596945791505279E-13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349.71285006949597</v>
      </c>
      <c r="AO171" s="59">
        <f t="shared" si="144"/>
        <v>258.51550516456842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26.82715211560696</v>
      </c>
      <c r="AV171" s="21">
        <f>EXP(-LN(2)/25)*AV170+(1-EXP(-LN(2)/25))/(LN(2)/25)*Calculateur!AQ171*Calculateur!AS171*VLOOKUP('Données projet'!$B$10,Paramètres!$A$1:$I$89,3,0)*0.475*44/12</f>
        <v>4.5106335126128387</v>
      </c>
      <c r="AW171" s="21">
        <f>EXP(-LN(2)/2)*AW170+(1-EXP(-LN(2)/2))/(LN(2)/2)*AQ171*AT171*VLOOKUP('Données projet'!$B$10,Paramètres!$A$1:$I$89,3,0)*0.475*44/12</f>
        <v>4.0197757471792503E-12</v>
      </c>
      <c r="AX171" s="21">
        <f t="shared" si="166"/>
        <v>31.337785628223816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1.1368683772161603E-13</v>
      </c>
      <c r="BE171" s="13">
        <f>BD171*VLOOKUP('Données projet'!$B$11,Paramètres!$A$1:$I$89,3,0)*VLOOKUP('Données projet'!$B$11,Paramètres!$A$1:$I$89,5,0)</f>
        <v>6.7984728957526396E-14</v>
      </c>
      <c r="BF171" s="13">
        <f t="shared" si="167"/>
        <v>1.0682447123141398E-12</v>
      </c>
      <c r="BG171" s="20">
        <f t="shared" si="168"/>
        <v>1.978932943548152E-12</v>
      </c>
      <c r="BH171" s="59">
        <f t="shared" si="116"/>
        <v>293.3333333333353</v>
      </c>
      <c r="BI171" s="59">
        <f ca="1">AVERAGE(OFFSET($BH$3,0,0,'Données projet'!$E$11+1,1))-AVERAGE(OFFSET($H$3,0,0,'Données projet'!$E$11+1,1))</f>
        <v>302.00825291248458</v>
      </c>
      <c r="BJ171" s="59">
        <f t="shared" si="146"/>
        <v>307.35115839449355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16.357355435017062</v>
      </c>
      <c r="BQ171" s="21">
        <f>EXP(-LN(2)/25)*BQ170+(1-EXP(-LN(2)/25))/(LN(2)/25)*Calculateur!BL171*Calculateur!BN171*VLOOKUP('Données projet'!$B$11,Paramètres!$A$1:$I$89,3,0)*0.475*44/12</f>
        <v>2.4252649772166901</v>
      </c>
      <c r="BR171" s="21">
        <f>EXP(-LN(2)/2)*BR170+(1-EXP(-LN(2)/2))/(LN(2)/2)*BL171*BO171*VLOOKUP('Données projet'!$B$11,Paramètres!$A$1:$I$89,3,0)*0.475*44/12</f>
        <v>3.3285287206115951E-15</v>
      </c>
      <c r="BS171" s="22">
        <f t="shared" si="169"/>
        <v>18.782620412233758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1.7053025658242404E-13</v>
      </c>
      <c r="BZ171" s="13">
        <f>BY171*VLOOKUP('Données projet'!$B$12,Paramètres!$A$1:$I$89,3,0)*VLOOKUP('Données projet'!$B$12,Paramètres!$A$1:$I$89,5,0)</f>
        <v>7.9808160080574461E-14</v>
      </c>
      <c r="CA171" s="13">
        <f t="shared" si="170"/>
        <v>1.2308384591775343E-12</v>
      </c>
      <c r="CB171" s="20">
        <f t="shared" si="171"/>
        <v>2.282709528541206E-12</v>
      </c>
      <c r="CC171" s="59">
        <f t="shared" si="119"/>
        <v>293.33333333333559</v>
      </c>
      <c r="CD171" s="59">
        <f ca="1">AVERAGE(OFFSET($CC$3,0,0,'Données projet'!$E$12+1,1))-AVERAGE(OFFSET($H$3,0,0,'Données projet'!$E$12+1,1))</f>
        <v>337.10499990421835</v>
      </c>
      <c r="CE171" s="59">
        <f t="shared" si="148"/>
        <v>277.4254079562175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69.901608602573305</v>
      </c>
      <c r="CL171" s="21">
        <f>EXP(-LN(2)/25)*CL170+(1-EXP(-LN(2)/25))/(LN(2)/25)*Calculateur!CG171*Calculateur!CI171*VLOOKUP('Données projet'!$B$12,Paramètres!$A$1:$I$89,3,0)*0.475*44/12</f>
        <v>16.100843157317836</v>
      </c>
      <c r="CM171" s="21">
        <f>EXP(-LN(2)/2)*CM170+(1-EXP(-LN(2)/2))/(LN(2)/2)*CG171*CJ171*VLOOKUP('Données projet'!$B$12,Paramètres!$A$1:$I$89,3,0)*0.475*44/12</f>
        <v>8.7419047479328165E-5</v>
      </c>
      <c r="CN171" s="22">
        <f t="shared" si="172"/>
        <v>86.002539178938619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>
        <f>VLOOKUP(A171,'Données projet'!$A$139:$I$159,2,0)</f>
        <v>435.65</v>
      </c>
      <c r="CR171" s="12">
        <f>VLOOKUP(A171,'Données projet'!$A$139:$I$159,9,0)</f>
        <v>7.6783333333333319</v>
      </c>
      <c r="CS171" s="12">
        <f t="array" ref="CS171">INDEX(CR:CR,MIN(IF(ISNUMBER(CR171:CR367),ROW(CR171:CR367),"")))</f>
        <v>7.6783333333333319</v>
      </c>
      <c r="CT171" s="12">
        <f>IF('Données projet'!$A$140&gt;35,CT170+CS171-DB170,IF(A171&lt;'Données projet'!$A$140,$CQ$205^A171,IF(A171='Données projet'!$A$140,'Données projet'!$B$140,CT170+CS171-DB170)))</f>
        <v>435.64999999999969</v>
      </c>
      <c r="CU171" s="17">
        <f>CT171*VLOOKUP('Données projet'!$B$13,Paramètres!$A$1:$I$89,3,0)*VLOOKUP('Données projet'!$B$13,Paramètres!$A$1:$I$89,5,0)</f>
        <v>434.95295999999973</v>
      </c>
      <c r="CV171" s="13">
        <f t="shared" si="173"/>
        <v>98.827924081771371</v>
      </c>
      <c r="CW171" s="20">
        <f t="shared" si="174"/>
        <v>929.66837310908465</v>
      </c>
      <c r="CX171" s="59">
        <f t="shared" si="122"/>
        <v>1223.001706442418</v>
      </c>
      <c r="CY171" s="59">
        <f ca="1">AVERAGE(OFFSET($CX$3,0,0,'Données projet'!$E$13+1,1))-AVERAGE(OFFSET($H$3,0,0,'Données projet'!$E$13+1,1))</f>
        <v>525.74725170626471</v>
      </c>
      <c r="CZ171" s="59">
        <f t="shared" si="150"/>
        <v>259.19103598192197</v>
      </c>
      <c r="DA171" s="15">
        <f>IF(ISNA(VLOOKUP(A171,'Données projet'!$A$139:$I$159,3,0)),0,VLOOKUP(A171,'Données projet'!$A$139:$I$159,3,0))</f>
        <v>12</v>
      </c>
      <c r="DB171" s="15">
        <f>IF(ISNA(VLOOKUP(A171,'Données projet'!$A$139:$I$159,4,0)),0,VLOOKUP(A171,'Données projet'!$A$139:$I$159,4,0))</f>
        <v>71.37</v>
      </c>
      <c r="DC171" s="16">
        <f>IF(ISNA(VLOOKUP(A171,'Données projet'!$A$139:$I$159,5,0)),0%,VLOOKUP(A171,'Données projet'!$A$139:$I$159,5,0)*VLOOKUP('Données projet'!$B$13,Paramètres!$A$1:$I$89,7,0))</f>
        <v>0.215</v>
      </c>
      <c r="DD171" s="16">
        <f>IF(ISNA(VLOOKUP(A171,'Données projet'!$A$139:$I$159,6,0)),0%,VLOOKUP(A171,'Données projet'!$A$139:$I$159,6,0)*VLOOKUP('Données projet'!$B$13,Paramètres!$A$1:$I$89,7,0))</f>
        <v>8.6000000000000007E-2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49.59783618809216</v>
      </c>
      <c r="DG171" s="21">
        <f>EXP(-LN(2)/25)*DG170+(1-EXP(-LN(2)/25))/(LN(2)/25)*Calculateur!DB171*Calculateur!DD171*VLOOKUP('Données projet'!$B$13,Paramètres!$A$1:$I$89,3,0)*0.475*44/12</f>
        <v>22.88670329972836</v>
      </c>
      <c r="DH171" s="21">
        <f>EXP(-LN(2)/2)*DH170+(1-EXP(-LN(2)/2))/(LN(2)/2)*DB171*DE171*VLOOKUP('Données projet'!$B$13,Paramètres!$A$1:$I$89,3,0)*0.475*44/12</f>
        <v>1.4197932852529245E-3</v>
      </c>
      <c r="DI171" s="22">
        <f t="shared" si="175"/>
        <v>72.485959281105764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5.4001247917767614E-13</v>
      </c>
      <c r="DP171" s="17">
        <f>DO171*VLOOKUP('Données projet'!$B$14,Paramètres!$A$1:$I$89,3,0)*VLOOKUP('Données projet'!$B$14,Paramètres!$A$1:$I$89,5,0)</f>
        <v>4.8860329115996133E-13</v>
      </c>
      <c r="DQ171" s="13">
        <f t="shared" si="176"/>
        <v>6.1025862939685007E-12</v>
      </c>
      <c r="DR171" s="20">
        <f t="shared" si="177"/>
        <v>1.1479655194098737E-11</v>
      </c>
      <c r="DS171" s="59">
        <f t="shared" si="125"/>
        <v>293.3333333333448</v>
      </c>
      <c r="DT171" s="59">
        <f ca="1">AVERAGE(OFFSET($DS$3,0,0,'Données projet'!$E$14+1,1))-AVERAGE(OFFSET($H$3,0,0,'Données projet'!$E$14+1,1))</f>
        <v>490.06222615476065</v>
      </c>
      <c r="DU171" s="59">
        <f t="shared" si="152"/>
        <v>310.43914804089906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97.844710946141063</v>
      </c>
      <c r="EB171" s="21">
        <f>EXP(-LN(2)/25)*EB170+(1-EXP(-LN(2)/25))/(LN(2)/25)*Calculateur!DW171*Calculateur!DY171*VLOOKUP('Données projet'!$B$14,Paramètres!$A$1:$I$89,3,0)*0.475*44/12</f>
        <v>16.40252324308647</v>
      </c>
      <c r="EC171" s="21">
        <f>EXP(-LN(2)/2)*EC170+(1-EXP(-LN(2)/2))/(LN(2)/2)*DW171*DZ171*VLOOKUP('Données projet'!$B$14,Paramètres!$A$1:$I$89,3,0)*0.475*44/12</f>
        <v>0.6045406079346537</v>
      </c>
      <c r="ED171" s="22">
        <f t="shared" si="178"/>
        <v>114.85177479716218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>
        <f>VLOOKUP(A171,'Données projet'!$A$191:$I$211,2,0)</f>
        <v>435.65</v>
      </c>
      <c r="EH171" s="12">
        <f>VLOOKUP(A171,'Données projet'!$A$191:$I$211,9,0)</f>
        <v>7.6783333333333319</v>
      </c>
      <c r="EI171" s="12">
        <f t="array" ref="EI171">INDEX(EH:EH,MIN(IF(ISNUMBER(EH171:EH367),ROW(EH171:EH367),"")))</f>
        <v>7.6783333333333319</v>
      </c>
      <c r="EJ171" s="12">
        <f>IF('Données projet'!$A$192&gt;35,EJ170+EI171-ER170,IF(A171&lt;'Données projet'!$A$192,$EG$205^A171,IF(A171='Données projet'!$A$192,'Données projet'!$B$192,EJ170+EI171-ER170)))</f>
        <v>435.64999999999969</v>
      </c>
      <c r="EK171" s="17">
        <f>EJ171*VLOOKUP('Données projet'!$B$15,Paramètres!$A$1:$I$89,3,0)*VLOOKUP('Données projet'!$B$15,Paramètres!$A$1:$I$89,5,0)</f>
        <v>441.74909999999966</v>
      </c>
      <c r="EL171" s="13">
        <f t="shared" si="179"/>
        <v>100.19113347385638</v>
      </c>
      <c r="EM171" s="20">
        <f t="shared" si="180"/>
        <v>943.879239966966</v>
      </c>
      <c r="EN171" s="59">
        <f t="shared" si="128"/>
        <v>1237.2125733002993</v>
      </c>
      <c r="EO171" s="59">
        <f ca="1">AVERAGE(OFFSET($EN$3,0,0,'Données projet'!$E$15+1,1))-AVERAGE(OFFSET($H$3,0,0,'Données projet'!$E$15+1,1))</f>
        <v>533.26035274112917</v>
      </c>
      <c r="EP171" s="59">
        <f t="shared" si="154"/>
        <v>262.58149402282521</v>
      </c>
      <c r="EQ171" s="15">
        <f>IF(ISNA(VLOOKUP(A171,'Données projet'!$A$191:$I$211,3,0)),0,VLOOKUP(A171,'Données projet'!$A$191:$I$211,3,0))</f>
        <v>12</v>
      </c>
      <c r="ER171" s="15">
        <f>IF(ISNA(VLOOKUP(A171,'Données projet'!$A$191:$I$211,4,0)),0,VLOOKUP(A171,'Données projet'!$A$191:$I$211,4,0))</f>
        <v>71.37</v>
      </c>
      <c r="ES171" s="16">
        <f>IF(ISNA(VLOOKUP(A171,'Données projet'!$A$191:$I$211,5,0)),0%,VLOOKUP(A171,'Données projet'!$A$191:$I$211,5,0)*VLOOKUP('Données projet'!$B$15,Paramètres!$A$1:$I$89,7,0))</f>
        <v>0.215</v>
      </c>
      <c r="ET171" s="16">
        <f>IF(ISNA(VLOOKUP(A171,'Données projet'!$A$191:$I$211,6,0)),0%,VLOOKUP(A171,'Données projet'!$A$191:$I$211,6,0)*VLOOKUP('Données projet'!$B$15,Paramètres!$A$1:$I$89,7,0))</f>
        <v>8.6000000000000007E-2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50.372802378531105</v>
      </c>
      <c r="EW171" s="21">
        <f>EXP(-LN(2)/25)*EW170+(1-EXP(-LN(2)/25))/(LN(2)/25)*Calculateur!ER171*Calculateur!ET171*VLOOKUP('Données projet'!$B$15,Paramètres!$A$1:$I$89,3,0)*0.475*44/12</f>
        <v>23.244308038786613</v>
      </c>
      <c r="EX171" s="21">
        <f>EXP(-LN(2)/2)*EX170+(1-EXP(-LN(2)/2))/(LN(2)/2)*ER171*EU171*VLOOKUP('Données projet'!$B$15,Paramètres!$A$1:$I$89,3,0)*0.475*44/12</f>
        <v>1.4419775553350005E-3</v>
      </c>
      <c r="EY171" s="22">
        <f t="shared" si="181"/>
        <v>73.618552394873049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239.26156489359892</v>
      </c>
      <c r="FK171" s="59">
        <f t="shared" si="156"/>
        <v>213.97034450798111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2.3073948314787605</v>
      </c>
      <c r="FR171" s="21">
        <f>EXP(-LN(2)/25)*FR170+(1-EXP(-LN(2)/25))/(LN(2)/25)*Calculateur!FM171*Calculateur!FO171*VLOOKUP('Données projet'!$B$16,Paramètres!$A$1:$I$89,3,0)*0.475*44/12</f>
        <v>7.3457354972446645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9.6531303287234245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2.5579538487363607E-13</v>
      </c>
      <c r="O172" s="13">
        <f>N172*VLOOKUP('Données projet'!$B$9,Paramètres!$A$1:$I$89,3,0)*VLOOKUP('Données projet'!$B$9,Paramètres!$A$1:$I$89,5,0)</f>
        <v>2.4341488824575211E-13</v>
      </c>
      <c r="P172" s="13">
        <f t="shared" si="141"/>
        <v>3.2970717324875541E-12</v>
      </c>
      <c r="Q172" s="20">
        <f t="shared" si="162"/>
        <v>6.1663475311105072E-12</v>
      </c>
      <c r="R172" s="59">
        <f t="shared" si="109"/>
        <v>293.33333333333945</v>
      </c>
      <c r="S172" s="59">
        <f ca="1">AVERAGE(OFFSET($R$3,0,0,'Données projet'!$E$9+1,1))-AVERAGE(OFFSET($H$3,0,0,'Données projet'!$E$9+1,1))</f>
        <v>449.28947235329758</v>
      </c>
      <c r="T172" s="59">
        <f t="shared" si="142"/>
        <v>289.36994109443964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54.880555604223041</v>
      </c>
      <c r="AA172" s="21">
        <f>EXP(-LN(2)/25)*AA171+(1-EXP(-LN(2)/25))/(LN(2)/25)*Calculateur!V172*Calculateur!X172*VLOOKUP('Données projet'!$B$9,Paramètres!$A$1:$I$89,3,0)*0.475*44/12</f>
        <v>8.3969297905208524</v>
      </c>
      <c r="AB172" s="21">
        <f>EXP(-LN(2)/2)*AB171+(1-EXP(-LN(2)/2))/(LN(2)/2)*V172*Y172*VLOOKUP('Données projet'!$B$9,Paramètres!$A$1:$I$89,3,0)*0.475*44/12</f>
        <v>9.6586334171201937E-6</v>
      </c>
      <c r="AC172" s="22">
        <f t="shared" si="163"/>
        <v>63.277495053377308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-1.3596945791505279E-13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349.71285006949597</v>
      </c>
      <c r="AO172" s="59">
        <f t="shared" si="144"/>
        <v>258.51550516456842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26.30108802556699</v>
      </c>
      <c r="AV172" s="21">
        <f>EXP(-LN(2)/25)*AV171+(1-EXP(-LN(2)/25))/(LN(2)/25)*Calculateur!AQ172*Calculateur!AS172*VLOOKUP('Données projet'!$B$10,Paramètres!$A$1:$I$89,3,0)*0.475*44/12</f>
        <v>4.3872900020065337</v>
      </c>
      <c r="AW172" s="21">
        <f>EXP(-LN(2)/2)*AW171+(1-EXP(-LN(2)/2))/(LN(2)/2)*AQ172*AT172*VLOOKUP('Données projet'!$B$10,Paramètres!$A$1:$I$89,3,0)*0.475*44/12</f>
        <v>2.8424106896796688E-12</v>
      </c>
      <c r="AX172" s="21">
        <f t="shared" si="166"/>
        <v>30.688378027576366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1.1368683772161603E-13</v>
      </c>
      <c r="BE172" s="13">
        <f>BD172*VLOOKUP('Données projet'!$B$11,Paramètres!$A$1:$I$89,3,0)*VLOOKUP('Données projet'!$B$11,Paramètres!$A$1:$I$89,5,0)</f>
        <v>6.7984728957526396E-14</v>
      </c>
      <c r="BF172" s="13">
        <f t="shared" si="167"/>
        <v>1.0682447123141398E-12</v>
      </c>
      <c r="BG172" s="20">
        <f t="shared" si="168"/>
        <v>1.978932943548152E-12</v>
      </c>
      <c r="BH172" s="59">
        <f t="shared" si="116"/>
        <v>293.3333333333353</v>
      </c>
      <c r="BI172" s="59">
        <f ca="1">AVERAGE(OFFSET($BH$3,0,0,'Données projet'!$E$11+1,1))-AVERAGE(OFFSET($H$3,0,0,'Données projet'!$E$11+1,1))</f>
        <v>302.00825291248458</v>
      </c>
      <c r="BJ172" s="59">
        <f t="shared" si="146"/>
        <v>307.35115839449355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16.036597671938047</v>
      </c>
      <c r="BQ172" s="21">
        <f>EXP(-LN(2)/25)*BQ171+(1-EXP(-LN(2)/25))/(LN(2)/25)*Calculateur!BL172*Calculateur!BN172*VLOOKUP('Données projet'!$B$11,Paramètres!$A$1:$I$89,3,0)*0.475*44/12</f>
        <v>2.3589459788755578</v>
      </c>
      <c r="BR172" s="21">
        <f>EXP(-LN(2)/2)*BR171+(1-EXP(-LN(2)/2))/(LN(2)/2)*BL172*BO172*VLOOKUP('Données projet'!$B$11,Paramètres!$A$1:$I$89,3,0)*0.475*44/12</f>
        <v>2.3536252297186421E-15</v>
      </c>
      <c r="BS172" s="22">
        <f t="shared" si="169"/>
        <v>18.395543650813607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1.7053025658242404E-13</v>
      </c>
      <c r="BZ172" s="13">
        <f>BY172*VLOOKUP('Données projet'!$B$12,Paramètres!$A$1:$I$89,3,0)*VLOOKUP('Données projet'!$B$12,Paramètres!$A$1:$I$89,5,0)</f>
        <v>7.9808160080574461E-14</v>
      </c>
      <c r="CA172" s="13">
        <f t="shared" si="170"/>
        <v>1.2308384591775343E-12</v>
      </c>
      <c r="CB172" s="20">
        <f t="shared" si="171"/>
        <v>2.282709528541206E-12</v>
      </c>
      <c r="CC172" s="59">
        <f t="shared" si="119"/>
        <v>293.33333333333559</v>
      </c>
      <c r="CD172" s="59">
        <f ca="1">AVERAGE(OFFSET($CC$3,0,0,'Données projet'!$E$12+1,1))-AVERAGE(OFFSET($H$3,0,0,'Données projet'!$E$12+1,1))</f>
        <v>337.10499990421835</v>
      </c>
      <c r="CE172" s="59">
        <f t="shared" si="148"/>
        <v>277.4254079562175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68.530880693648157</v>
      </c>
      <c r="CL172" s="21">
        <f>EXP(-LN(2)/25)*CL171+(1-EXP(-LN(2)/25))/(LN(2)/25)*Calculateur!CG172*Calculateur!CI172*VLOOKUP('Données projet'!$B$12,Paramètres!$A$1:$I$89,3,0)*0.475*44/12</f>
        <v>15.660564754474438</v>
      </c>
      <c r="CM172" s="21">
        <f>EXP(-LN(2)/2)*CM171+(1-EXP(-LN(2)/2))/(LN(2)/2)*CG172*CJ172*VLOOKUP('Données projet'!$B$12,Paramètres!$A$1:$I$89,3,0)*0.475*44/12</f>
        <v>6.1814601277501707E-5</v>
      </c>
      <c r="CN172" s="22">
        <f t="shared" si="172"/>
        <v>84.191507262723874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7.688333333333337</v>
      </c>
      <c r="CT172" s="12">
        <f>IF('Données projet'!$A$140&gt;35,CT171+CS172-DB171,IF(A172&lt;'Données projet'!$A$140,$CQ$205^A172,IF(A172='Données projet'!$A$140,'Données projet'!$B$140,CT171+CS172-DB171)))</f>
        <v>371.96833333333302</v>
      </c>
      <c r="CU172" s="17">
        <f>CT172*VLOOKUP('Données projet'!$B$13,Paramètres!$A$1:$I$89,3,0)*VLOOKUP('Données projet'!$B$13,Paramètres!$A$1:$I$89,5,0)</f>
        <v>371.3731839999997</v>
      </c>
      <c r="CV172" s="13">
        <f t="shared" si="173"/>
        <v>85.948174917844767</v>
      </c>
      <c r="CW172" s="20">
        <f t="shared" si="174"/>
        <v>796.50136678191245</v>
      </c>
      <c r="CX172" s="59">
        <f t="shared" si="122"/>
        <v>1089.8347001152458</v>
      </c>
      <c r="CY172" s="59">
        <f ca="1">AVERAGE(OFFSET($CX$3,0,0,'Données projet'!$E$13+1,1))-AVERAGE(OFFSET($H$3,0,0,'Données projet'!$E$13+1,1))</f>
        <v>525.74725170626471</v>
      </c>
      <c r="CZ172" s="59">
        <f t="shared" si="150"/>
        <v>259.19103598192197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48.625252872136642</v>
      </c>
      <c r="DG172" s="21">
        <f>EXP(-LN(2)/25)*DG171+(1-EXP(-LN(2)/25))/(LN(2)/25)*Calculateur!DB172*Calculateur!DD172*VLOOKUP('Données projet'!$B$13,Paramètres!$A$1:$I$89,3,0)*0.475*44/12</f>
        <v>22.260865194437869</v>
      </c>
      <c r="DH172" s="21">
        <f>EXP(-LN(2)/2)*DH171+(1-EXP(-LN(2)/2))/(LN(2)/2)*DB172*DE172*VLOOKUP('Données projet'!$B$13,Paramètres!$A$1:$I$89,3,0)*0.475*44/12</f>
        <v>1.0039454598854691E-3</v>
      </c>
      <c r="DI172" s="22">
        <f t="shared" si="175"/>
        <v>70.887122012034396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5.4001247917767614E-13</v>
      </c>
      <c r="DP172" s="17">
        <f>DO172*VLOOKUP('Données projet'!$B$14,Paramètres!$A$1:$I$89,3,0)*VLOOKUP('Données projet'!$B$14,Paramètres!$A$1:$I$89,5,0)</f>
        <v>4.8860329115996133E-13</v>
      </c>
      <c r="DQ172" s="13">
        <f t="shared" si="176"/>
        <v>6.1025862939685007E-12</v>
      </c>
      <c r="DR172" s="20">
        <f t="shared" si="177"/>
        <v>1.1479655194098737E-11</v>
      </c>
      <c r="DS172" s="59">
        <f t="shared" si="125"/>
        <v>293.3333333333448</v>
      </c>
      <c r="DT172" s="59">
        <f ca="1">AVERAGE(OFFSET($DS$3,0,0,'Données projet'!$E$14+1,1))-AVERAGE(OFFSET($H$3,0,0,'Données projet'!$E$14+1,1))</f>
        <v>490.06222615476065</v>
      </c>
      <c r="DU172" s="59">
        <f t="shared" si="152"/>
        <v>310.43914804089906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95.926035843868064</v>
      </c>
      <c r="EB172" s="21">
        <f>EXP(-LN(2)/25)*EB171+(1-EXP(-LN(2)/25))/(LN(2)/25)*Calculateur!DW172*Calculateur!DY172*VLOOKUP('Données projet'!$B$14,Paramètres!$A$1:$I$89,3,0)*0.475*44/12</f>
        <v>15.953995382433062</v>
      </c>
      <c r="EC172" s="21">
        <f>EXP(-LN(2)/2)*EC171+(1-EXP(-LN(2)/2))/(LN(2)/2)*DW172*DZ172*VLOOKUP('Données projet'!$B$14,Paramètres!$A$1:$I$89,3,0)*0.475*44/12</f>
        <v>0.42747476337323159</v>
      </c>
      <c r="ED172" s="22">
        <f t="shared" si="178"/>
        <v>112.30750598967435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7.688333333333337</v>
      </c>
      <c r="EJ172" s="12">
        <f>IF('Données projet'!$A$192&gt;35,EJ171+EI172-ER171,IF(A172&lt;'Données projet'!$A$192,$EG$205^A172,IF(A172='Données projet'!$A$192,'Données projet'!$B$192,EJ171+EI172-ER171)))</f>
        <v>371.96833333333302</v>
      </c>
      <c r="EK172" s="17">
        <f>EJ172*VLOOKUP('Données projet'!$B$15,Paramètres!$A$1:$I$89,3,0)*VLOOKUP('Données projet'!$B$15,Paramètres!$A$1:$I$89,5,0)</f>
        <v>377.1758899999997</v>
      </c>
      <c r="EL172" s="13">
        <f t="shared" si="179"/>
        <v>87.133724046486122</v>
      </c>
      <c r="EM172" s="20">
        <f t="shared" si="180"/>
        <v>808.6725777976294</v>
      </c>
      <c r="EN172" s="59">
        <f t="shared" si="128"/>
        <v>1102.0059111309627</v>
      </c>
      <c r="EO172" s="59">
        <f ca="1">AVERAGE(OFFSET($EN$3,0,0,'Données projet'!$E$15+1,1))-AVERAGE(OFFSET($H$3,0,0,'Données projet'!$E$15+1,1))</f>
        <v>533.26035274112917</v>
      </c>
      <c r="EP172" s="59">
        <f t="shared" si="154"/>
        <v>262.58149402282521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49.385022448263783</v>
      </c>
      <c r="EW172" s="21">
        <f>EXP(-LN(2)/25)*EW171+(1-EXP(-LN(2)/25))/(LN(2)/25)*Calculateur!ER172*Calculateur!ET172*VLOOKUP('Données projet'!$B$15,Paramètres!$A$1:$I$89,3,0)*0.475*44/12</f>
        <v>22.608691213100958</v>
      </c>
      <c r="EX172" s="21">
        <f>EXP(-LN(2)/2)*EX171+(1-EXP(-LN(2)/2))/(LN(2)/2)*ER172*EU172*VLOOKUP('Données projet'!$B$15,Paramètres!$A$1:$I$89,3,0)*0.475*44/12</f>
        <v>1.0196321076961789E-3</v>
      </c>
      <c r="EY172" s="22">
        <f t="shared" si="181"/>
        <v>71.994733293472436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239.26156489359892</v>
      </c>
      <c r="FK172" s="59">
        <f t="shared" si="156"/>
        <v>213.97034450798111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2.2621482262053427</v>
      </c>
      <c r="FR172" s="21">
        <f>EXP(-LN(2)/25)*FR171+(1-EXP(-LN(2)/25))/(LN(2)/25)*Calculateur!FM172*Calculateur!FO172*VLOOKUP('Données projet'!$B$16,Paramètres!$A$1:$I$89,3,0)*0.475*44/12</f>
        <v>7.1448659737770681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9.4070141999824113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2.5579538487363607E-13</v>
      </c>
      <c r="O173" s="13">
        <f>N173*VLOOKUP('Données projet'!$B$9,Paramètres!$A$1:$I$89,3,0)*VLOOKUP('Données projet'!$B$9,Paramètres!$A$1:$I$89,5,0)</f>
        <v>2.4341488824575211E-13</v>
      </c>
      <c r="P173" s="13">
        <f t="shared" si="141"/>
        <v>3.2970717324875541E-12</v>
      </c>
      <c r="Q173" s="20">
        <f t="shared" si="162"/>
        <v>6.1663475311105072E-12</v>
      </c>
      <c r="R173" s="59">
        <f t="shared" si="109"/>
        <v>293.33333333333945</v>
      </c>
      <c r="S173" s="59">
        <f ca="1">AVERAGE(OFFSET($R$3,0,0,'Données projet'!$E$9+1,1))-AVERAGE(OFFSET($H$3,0,0,'Données projet'!$E$9+1,1))</f>
        <v>449.28947235329758</v>
      </c>
      <c r="T173" s="59">
        <f t="shared" si="142"/>
        <v>289.36994109443964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53.80438138265788</v>
      </c>
      <c r="AA173" s="21">
        <f>EXP(-LN(2)/25)*AA172+(1-EXP(-LN(2)/25))/(LN(2)/25)*Calculateur!V173*Calculateur!X173*VLOOKUP('Données projet'!$B$9,Paramètres!$A$1:$I$89,3,0)*0.475*44/12</f>
        <v>8.1673153038237132</v>
      </c>
      <c r="AB173" s="21">
        <f>EXP(-LN(2)/2)*AB172+(1-EXP(-LN(2)/2))/(LN(2)/2)*V173*Y173*VLOOKUP('Données projet'!$B$9,Paramètres!$A$1:$I$89,3,0)*0.475*44/12</f>
        <v>6.8296851862406847E-6</v>
      </c>
      <c r="AC173" s="22">
        <f t="shared" si="163"/>
        <v>61.971703516166777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-1.3596945791505279E-13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349.71285006949597</v>
      </c>
      <c r="AO173" s="59">
        <f t="shared" si="144"/>
        <v>258.51550516456842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25.785339731465292</v>
      </c>
      <c r="AV173" s="21">
        <f>EXP(-LN(2)/25)*AV172+(1-EXP(-LN(2)/25))/(LN(2)/25)*Calculateur!AQ173*Calculateur!AS173*VLOOKUP('Données projet'!$B$10,Paramètres!$A$1:$I$89,3,0)*0.475*44/12</f>
        <v>4.2673193261841114</v>
      </c>
      <c r="AW173" s="21">
        <f>EXP(-LN(2)/2)*AW172+(1-EXP(-LN(2)/2))/(LN(2)/2)*AQ173*AT173*VLOOKUP('Données projet'!$B$10,Paramètres!$A$1:$I$89,3,0)*0.475*44/12</f>
        <v>2.0098878735896252E-12</v>
      </c>
      <c r="AX173" s="21">
        <f t="shared" si="166"/>
        <v>30.052659057651415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1.1368683772161603E-13</v>
      </c>
      <c r="BE173" s="13">
        <f>BD173*VLOOKUP('Données projet'!$B$11,Paramètres!$A$1:$I$89,3,0)*VLOOKUP('Données projet'!$B$11,Paramètres!$A$1:$I$89,5,0)</f>
        <v>6.7984728957526396E-14</v>
      </c>
      <c r="BF173" s="13">
        <f t="shared" si="167"/>
        <v>1.0682447123141398E-12</v>
      </c>
      <c r="BG173" s="20">
        <f t="shared" si="168"/>
        <v>1.978932943548152E-12</v>
      </c>
      <c r="BH173" s="59">
        <f t="shared" si="116"/>
        <v>293.3333333333353</v>
      </c>
      <c r="BI173" s="59">
        <f ca="1">AVERAGE(OFFSET($BH$3,0,0,'Données projet'!$E$11+1,1))-AVERAGE(OFFSET($H$3,0,0,'Données projet'!$E$11+1,1))</f>
        <v>302.00825291248458</v>
      </c>
      <c r="BJ173" s="59">
        <f t="shared" si="146"/>
        <v>307.35115839449355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15.722129772950092</v>
      </c>
      <c r="BQ173" s="21">
        <f>EXP(-LN(2)/25)*BQ172+(1-EXP(-LN(2)/25))/(LN(2)/25)*Calculateur!BL173*Calculateur!BN173*VLOOKUP('Données projet'!$B$11,Paramètres!$A$1:$I$89,3,0)*0.475*44/12</f>
        <v>2.2944404770316282</v>
      </c>
      <c r="BR173" s="21">
        <f>EXP(-LN(2)/2)*BR172+(1-EXP(-LN(2)/2))/(LN(2)/2)*BL173*BO173*VLOOKUP('Données projet'!$B$11,Paramètres!$A$1:$I$89,3,0)*0.475*44/12</f>
        <v>1.6642643603057975E-15</v>
      </c>
      <c r="BS173" s="22">
        <f t="shared" si="169"/>
        <v>18.016570249981719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1.7053025658242404E-13</v>
      </c>
      <c r="BZ173" s="13">
        <f>BY173*VLOOKUP('Données projet'!$B$12,Paramètres!$A$1:$I$89,3,0)*VLOOKUP('Données projet'!$B$12,Paramètres!$A$1:$I$89,5,0)</f>
        <v>7.9808160080574461E-14</v>
      </c>
      <c r="CA173" s="13">
        <f t="shared" si="170"/>
        <v>1.2308384591775343E-12</v>
      </c>
      <c r="CB173" s="20">
        <f t="shared" si="171"/>
        <v>2.282709528541206E-12</v>
      </c>
      <c r="CC173" s="59">
        <f t="shared" si="119"/>
        <v>293.33333333333559</v>
      </c>
      <c r="CD173" s="59">
        <f ca="1">AVERAGE(OFFSET($CC$3,0,0,'Données projet'!$E$12+1,1))-AVERAGE(OFFSET($H$3,0,0,'Données projet'!$E$12+1,1))</f>
        <v>337.10499990421835</v>
      </c>
      <c r="CE173" s="59">
        <f t="shared" si="148"/>
        <v>277.4254079562175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67.187031922955555</v>
      </c>
      <c r="CL173" s="21">
        <f>EXP(-LN(2)/25)*CL172+(1-EXP(-LN(2)/25))/(LN(2)/25)*Calculateur!CG173*Calculateur!CI173*VLOOKUP('Données projet'!$B$12,Paramètres!$A$1:$I$89,3,0)*0.475*44/12</f>
        <v>15.232325787710026</v>
      </c>
      <c r="CM173" s="21">
        <f>EXP(-LN(2)/2)*CM172+(1-EXP(-LN(2)/2))/(LN(2)/2)*CG173*CJ173*VLOOKUP('Données projet'!$B$12,Paramètres!$A$1:$I$89,3,0)*0.475*44/12</f>
        <v>4.3709523739664083E-5</v>
      </c>
      <c r="CN173" s="22">
        <f t="shared" si="172"/>
        <v>82.419401420189317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7.688333333333337</v>
      </c>
      <c r="CT173" s="12">
        <f>IF('Données projet'!$A$140&gt;35,CT172+CS173-DB172,IF(A173&lt;'Données projet'!$A$140,$CQ$205^A173,IF(A173='Données projet'!$A$140,'Données projet'!$B$140,CT172+CS173-DB172)))</f>
        <v>379.65666666666635</v>
      </c>
      <c r="CU173" s="17">
        <f>CT173*VLOOKUP('Données projet'!$B$13,Paramètres!$A$1:$I$89,3,0)*VLOOKUP('Données projet'!$B$13,Paramètres!$A$1:$I$89,5,0)</f>
        <v>379.04921599999972</v>
      </c>
      <c r="CV173" s="13">
        <f t="shared" si="173"/>
        <v>87.516008023099928</v>
      </c>
      <c r="CW173" s="20">
        <f t="shared" si="174"/>
        <v>812.60109850689844</v>
      </c>
      <c r="CX173" s="59">
        <f t="shared" si="122"/>
        <v>1105.9344318402318</v>
      </c>
      <c r="CY173" s="59">
        <f ca="1">AVERAGE(OFFSET($CX$3,0,0,'Données projet'!$E$13+1,1))-AVERAGE(OFFSET($H$3,0,0,'Données projet'!$E$13+1,1))</f>
        <v>525.74725170626471</v>
      </c>
      <c r="CZ173" s="59">
        <f t="shared" si="150"/>
        <v>259.19103598192197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47.67174132178976</v>
      </c>
      <c r="DG173" s="21">
        <f>EXP(-LN(2)/25)*DG172+(1-EXP(-LN(2)/25))/(LN(2)/25)*Calculateur!DB173*Calculateur!DD173*VLOOKUP('Données projet'!$B$13,Paramètres!$A$1:$I$89,3,0)*0.475*44/12</f>
        <v>21.652140665047941</v>
      </c>
      <c r="DH173" s="21">
        <f>EXP(-LN(2)/2)*DH172+(1-EXP(-LN(2)/2))/(LN(2)/2)*DB173*DE173*VLOOKUP('Données projet'!$B$13,Paramètres!$A$1:$I$89,3,0)*0.475*44/12</f>
        <v>7.0989664262646225E-4</v>
      </c>
      <c r="DI173" s="22">
        <f t="shared" si="175"/>
        <v>69.324591883480338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5.4001247917767614E-13</v>
      </c>
      <c r="DP173" s="17">
        <f>DO173*VLOOKUP('Données projet'!$B$14,Paramètres!$A$1:$I$89,3,0)*VLOOKUP('Données projet'!$B$14,Paramètres!$A$1:$I$89,5,0)</f>
        <v>4.8860329115996133E-13</v>
      </c>
      <c r="DQ173" s="13">
        <f t="shared" si="176"/>
        <v>6.1025862939685007E-12</v>
      </c>
      <c r="DR173" s="20">
        <f t="shared" si="177"/>
        <v>1.1479655194098737E-11</v>
      </c>
      <c r="DS173" s="59">
        <f t="shared" si="125"/>
        <v>293.3333333333448</v>
      </c>
      <c r="DT173" s="59">
        <f ca="1">AVERAGE(OFFSET($DS$3,0,0,'Données projet'!$E$14+1,1))-AVERAGE(OFFSET($H$3,0,0,'Données projet'!$E$14+1,1))</f>
        <v>490.06222615476065</v>
      </c>
      <c r="DU173" s="59">
        <f t="shared" si="152"/>
        <v>310.43914804089906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94.04498479007438</v>
      </c>
      <c r="EB173" s="21">
        <f>EXP(-LN(2)/25)*EB172+(1-EXP(-LN(2)/25))/(LN(2)/25)*Calculateur!DW173*Calculateur!DY173*VLOOKUP('Données projet'!$B$14,Paramètres!$A$1:$I$89,3,0)*0.475*44/12</f>
        <v>15.517732539716276</v>
      </c>
      <c r="EC173" s="21">
        <f>EXP(-LN(2)/2)*EC172+(1-EXP(-LN(2)/2))/(LN(2)/2)*DW173*DZ173*VLOOKUP('Données projet'!$B$14,Paramètres!$A$1:$I$89,3,0)*0.475*44/12</f>
        <v>0.30227030396732685</v>
      </c>
      <c r="ED173" s="22">
        <f t="shared" si="178"/>
        <v>109.86498763375799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7.688333333333337</v>
      </c>
      <c r="EJ173" s="12">
        <f>IF('Données projet'!$A$192&gt;35,EJ172+EI173-ER172,IF(A173&lt;'Données projet'!$A$192,$EG$205^A173,IF(A173='Données projet'!$A$192,'Données projet'!$B$192,EJ172+EI173-ER172)))</f>
        <v>379.65666666666635</v>
      </c>
      <c r="EK173" s="17">
        <f>EJ173*VLOOKUP('Données projet'!$B$15,Paramètres!$A$1:$I$89,3,0)*VLOOKUP('Données projet'!$B$15,Paramètres!$A$1:$I$89,5,0)</f>
        <v>384.97185999999971</v>
      </c>
      <c r="EL173" s="13">
        <f t="shared" si="179"/>
        <v>88.723183476832745</v>
      </c>
      <c r="EM173" s="20">
        <f t="shared" si="180"/>
        <v>825.01886738881649</v>
      </c>
      <c r="EN173" s="59">
        <f t="shared" si="128"/>
        <v>1118.3522007221497</v>
      </c>
      <c r="EO173" s="59">
        <f ca="1">AVERAGE(OFFSET($EN$3,0,0,'Données projet'!$E$15+1,1))-AVERAGE(OFFSET($H$3,0,0,'Données projet'!$E$15+1,1))</f>
        <v>533.26035274112917</v>
      </c>
      <c r="EP173" s="59">
        <f t="shared" si="154"/>
        <v>262.58149402282521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48.416612279942733</v>
      </c>
      <c r="EW173" s="21">
        <f>EXP(-LN(2)/25)*EW172+(1-EXP(-LN(2)/25))/(LN(2)/25)*Calculateur!ER173*Calculateur!ET173*VLOOKUP('Données projet'!$B$15,Paramètres!$A$1:$I$89,3,0)*0.475*44/12</f>
        <v>21.990455362939315</v>
      </c>
      <c r="EX173" s="21">
        <f>EXP(-LN(2)/2)*EX172+(1-EXP(-LN(2)/2))/(LN(2)/2)*ER173*EU173*VLOOKUP('Données projet'!$B$15,Paramètres!$A$1:$I$89,3,0)*0.475*44/12</f>
        <v>7.2098877766750026E-4</v>
      </c>
      <c r="EY173" s="22">
        <f t="shared" si="181"/>
        <v>70.407788631659727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239.26156489359892</v>
      </c>
      <c r="FK173" s="59">
        <f t="shared" si="156"/>
        <v>213.97034450798111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2.2177888792636327</v>
      </c>
      <c r="FR173" s="21">
        <f>EXP(-LN(2)/25)*FR172+(1-EXP(-LN(2)/25))/(LN(2)/25)*Calculateur!FM173*Calculateur!FO173*VLOOKUP('Données projet'!$B$16,Paramètres!$A$1:$I$89,3,0)*0.475*44/12</f>
        <v>6.9494892379919628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9.167278117255595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2.5579538487363607E-13</v>
      </c>
      <c r="O174" s="13">
        <f>N174*VLOOKUP('Données projet'!$B$9,Paramètres!$A$1:$I$89,3,0)*VLOOKUP('Données projet'!$B$9,Paramètres!$A$1:$I$89,5,0)</f>
        <v>2.4341488824575211E-13</v>
      </c>
      <c r="P174" s="13">
        <f t="shared" si="141"/>
        <v>3.2970717324875541E-12</v>
      </c>
      <c r="Q174" s="20">
        <f t="shared" si="162"/>
        <v>6.1663475311105072E-12</v>
      </c>
      <c r="R174" s="59">
        <f t="shared" si="109"/>
        <v>293.33333333333945</v>
      </c>
      <c r="S174" s="59">
        <f ca="1">AVERAGE(OFFSET($R$3,0,0,'Données projet'!$E$9+1,1))-AVERAGE(OFFSET($H$3,0,0,'Données projet'!$E$9+1,1))</f>
        <v>449.28947235329758</v>
      </c>
      <c r="T174" s="59">
        <f t="shared" si="142"/>
        <v>289.36994109443964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52.74931028117615</v>
      </c>
      <c r="AA174" s="21">
        <f>EXP(-LN(2)/25)*AA173+(1-EXP(-LN(2)/25))/(LN(2)/25)*Calculateur!V174*Calculateur!X174*VLOOKUP('Données projet'!$B$9,Paramètres!$A$1:$I$89,3,0)*0.475*44/12</f>
        <v>7.9439796373402087</v>
      </c>
      <c r="AB174" s="21">
        <f>EXP(-LN(2)/2)*AB173+(1-EXP(-LN(2)/2))/(LN(2)/2)*V174*Y174*VLOOKUP('Données projet'!$B$9,Paramètres!$A$1:$I$89,3,0)*0.475*44/12</f>
        <v>4.8293167085600968E-6</v>
      </c>
      <c r="AC174" s="22">
        <f t="shared" si="163"/>
        <v>60.693294747833065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-1.3596945791505279E-13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349.71285006949597</v>
      </c>
      <c r="AO174" s="59">
        <f t="shared" si="144"/>
        <v>258.51550516456842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25.279704946835533</v>
      </c>
      <c r="AV174" s="21">
        <f>EXP(-LN(2)/25)*AV173+(1-EXP(-LN(2)/25))/(LN(2)/25)*Calculateur!AQ174*Calculateur!AS174*VLOOKUP('Données projet'!$B$10,Paramètres!$A$1:$I$89,3,0)*0.475*44/12</f>
        <v>4.1506292548010366</v>
      </c>
      <c r="AW174" s="21">
        <f>EXP(-LN(2)/2)*AW173+(1-EXP(-LN(2)/2))/(LN(2)/2)*AQ174*AT174*VLOOKUP('Données projet'!$B$10,Paramètres!$A$1:$I$89,3,0)*0.475*44/12</f>
        <v>1.4212053448398344E-12</v>
      </c>
      <c r="AX174" s="21">
        <f t="shared" si="166"/>
        <v>29.43033420163799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1.1368683772161603E-13</v>
      </c>
      <c r="BE174" s="13">
        <f>BD174*VLOOKUP('Données projet'!$B$11,Paramètres!$A$1:$I$89,3,0)*VLOOKUP('Données projet'!$B$11,Paramètres!$A$1:$I$89,5,0)</f>
        <v>6.7984728957526396E-14</v>
      </c>
      <c r="BF174" s="13">
        <f t="shared" si="167"/>
        <v>1.0682447123141398E-12</v>
      </c>
      <c r="BG174" s="20">
        <f t="shared" si="168"/>
        <v>1.978932943548152E-12</v>
      </c>
      <c r="BH174" s="59">
        <f t="shared" si="116"/>
        <v>293.3333333333353</v>
      </c>
      <c r="BI174" s="59">
        <f ca="1">AVERAGE(OFFSET($BH$3,0,0,'Données projet'!$E$11+1,1))-AVERAGE(OFFSET($H$3,0,0,'Données projet'!$E$11+1,1))</f>
        <v>302.00825291248458</v>
      </c>
      <c r="BJ174" s="59">
        <f t="shared" si="146"/>
        <v>307.35115839449355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15.413828397654813</v>
      </c>
      <c r="BQ174" s="21">
        <f>EXP(-LN(2)/25)*BQ173+(1-EXP(-LN(2)/25))/(LN(2)/25)*Calculateur!BL174*Calculateur!BN174*VLOOKUP('Données projet'!$B$11,Paramètres!$A$1:$I$89,3,0)*0.475*44/12</f>
        <v>2.2316988815278176</v>
      </c>
      <c r="BR174" s="21">
        <f>EXP(-LN(2)/2)*BR173+(1-EXP(-LN(2)/2))/(LN(2)/2)*BL174*BO174*VLOOKUP('Données projet'!$B$11,Paramètres!$A$1:$I$89,3,0)*0.475*44/12</f>
        <v>1.1768126148593211E-15</v>
      </c>
      <c r="BS174" s="22">
        <f t="shared" si="169"/>
        <v>17.64552727918263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1.7053025658242404E-13</v>
      </c>
      <c r="BZ174" s="13">
        <f>BY174*VLOOKUP('Données projet'!$B$12,Paramètres!$A$1:$I$89,3,0)*VLOOKUP('Données projet'!$B$12,Paramètres!$A$1:$I$89,5,0)</f>
        <v>7.9808160080574461E-14</v>
      </c>
      <c r="CA174" s="13">
        <f t="shared" si="170"/>
        <v>1.2308384591775343E-12</v>
      </c>
      <c r="CB174" s="20">
        <f t="shared" si="171"/>
        <v>2.282709528541206E-12</v>
      </c>
      <c r="CC174" s="59">
        <f t="shared" si="119"/>
        <v>293.33333333333559</v>
      </c>
      <c r="CD174" s="59">
        <f ca="1">AVERAGE(OFFSET($CC$3,0,0,'Données projet'!$E$12+1,1))-AVERAGE(OFFSET($H$3,0,0,'Données projet'!$E$12+1,1))</f>
        <v>337.10499990421835</v>
      </c>
      <c r="CE174" s="59">
        <f t="shared" si="148"/>
        <v>277.4254079562175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65.869535206989426</v>
      </c>
      <c r="CL174" s="21">
        <f>EXP(-LN(2)/25)*CL173+(1-EXP(-LN(2)/25))/(LN(2)/25)*Calculateur!CG174*Calculateur!CI174*VLOOKUP('Données projet'!$B$12,Paramètres!$A$1:$I$89,3,0)*0.475*44/12</f>
        <v>14.815797038011896</v>
      </c>
      <c r="CM174" s="21">
        <f>EXP(-LN(2)/2)*CM173+(1-EXP(-LN(2)/2))/(LN(2)/2)*CG174*CJ174*VLOOKUP('Données projet'!$B$12,Paramètres!$A$1:$I$89,3,0)*0.475*44/12</f>
        <v>3.0907300638750854E-5</v>
      </c>
      <c r="CN174" s="22">
        <f t="shared" si="172"/>
        <v>80.68536315230196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7.688333333333337</v>
      </c>
      <c r="CT174" s="12">
        <f>IF('Données projet'!$A$140&gt;35,CT173+CS174-DB173,IF(A174&lt;'Données projet'!$A$140,$CQ$205^A174,IF(A174='Données projet'!$A$140,'Données projet'!$B$140,CT173+CS174-DB173)))</f>
        <v>387.34499999999969</v>
      </c>
      <c r="CU174" s="17">
        <f>CT174*VLOOKUP('Données projet'!$B$13,Paramètres!$A$1:$I$89,3,0)*VLOOKUP('Données projet'!$B$13,Paramètres!$A$1:$I$89,5,0)</f>
        <v>386.72524799999968</v>
      </c>
      <c r="CV174" s="13">
        <f t="shared" si="173"/>
        <v>89.080149537115219</v>
      </c>
      <c r="CW174" s="20">
        <f t="shared" si="174"/>
        <v>828.69440071047518</v>
      </c>
      <c r="CX174" s="59">
        <f t="shared" si="122"/>
        <v>1122.0277340438086</v>
      </c>
      <c r="CY174" s="59">
        <f ca="1">AVERAGE(OFFSET($CX$3,0,0,'Données projet'!$E$13+1,1))-AVERAGE(OFFSET($H$3,0,0,'Données projet'!$E$13+1,1))</f>
        <v>525.74725170626471</v>
      </c>
      <c r="CZ174" s="59">
        <f t="shared" si="150"/>
        <v>259.19103598192197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46.736927551360566</v>
      </c>
      <c r="DG174" s="21">
        <f>EXP(-LN(2)/25)*DG173+(1-EXP(-LN(2)/25))/(LN(2)/25)*Calculateur!DB174*Calculateur!DD174*VLOOKUP('Données projet'!$B$13,Paramètres!$A$1:$I$89,3,0)*0.475*44/12</f>
        <v>21.060061739925615</v>
      </c>
      <c r="DH174" s="21">
        <f>EXP(-LN(2)/2)*DH173+(1-EXP(-LN(2)/2))/(LN(2)/2)*DB174*DE174*VLOOKUP('Données projet'!$B$13,Paramètres!$A$1:$I$89,3,0)*0.475*44/12</f>
        <v>5.0197272994273456E-4</v>
      </c>
      <c r="DI174" s="22">
        <f t="shared" si="175"/>
        <v>67.797491264016131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5.4001247917767614E-13</v>
      </c>
      <c r="DP174" s="17">
        <f>DO174*VLOOKUP('Données projet'!$B$14,Paramètres!$A$1:$I$89,3,0)*VLOOKUP('Données projet'!$B$14,Paramètres!$A$1:$I$89,5,0)</f>
        <v>4.8860329115996133E-13</v>
      </c>
      <c r="DQ174" s="13">
        <f t="shared" si="176"/>
        <v>6.1025862939685007E-12</v>
      </c>
      <c r="DR174" s="20">
        <f t="shared" si="177"/>
        <v>1.1479655194098737E-11</v>
      </c>
      <c r="DS174" s="59">
        <f t="shared" si="125"/>
        <v>293.3333333333448</v>
      </c>
      <c r="DT174" s="59">
        <f ca="1">AVERAGE(OFFSET($DS$3,0,0,'Données projet'!$E$14+1,1))-AVERAGE(OFFSET($H$3,0,0,'Données projet'!$E$14+1,1))</f>
        <v>490.06222615476065</v>
      </c>
      <c r="DU174" s="59">
        <f t="shared" si="152"/>
        <v>310.43914804089906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92.200820000117744</v>
      </c>
      <c r="EB174" s="21">
        <f>EXP(-LN(2)/25)*EB173+(1-EXP(-LN(2)/25))/(LN(2)/25)*Calculateur!DW174*Calculateur!DY174*VLOOKUP('Données projet'!$B$14,Paramètres!$A$1:$I$89,3,0)*0.475*44/12</f>
        <v>15.093399327375646</v>
      </c>
      <c r="EC174" s="21">
        <f>EXP(-LN(2)/2)*EC173+(1-EXP(-LN(2)/2))/(LN(2)/2)*DW174*DZ174*VLOOKUP('Données projet'!$B$14,Paramètres!$A$1:$I$89,3,0)*0.475*44/12</f>
        <v>0.2137373816866158</v>
      </c>
      <c r="ED174" s="22">
        <f t="shared" si="178"/>
        <v>107.50795670918001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7.688333333333337</v>
      </c>
      <c r="EJ174" s="12">
        <f>IF('Données projet'!$A$192&gt;35,EJ173+EI174-ER173,IF(A174&lt;'Données projet'!$A$192,$EG$205^A174,IF(A174='Données projet'!$A$192,'Données projet'!$B$192,EJ173+EI174-ER173)))</f>
        <v>387.34499999999969</v>
      </c>
      <c r="EK174" s="17">
        <f>EJ174*VLOOKUP('Données projet'!$B$15,Paramètres!$A$1:$I$89,3,0)*VLOOKUP('Données projet'!$B$15,Paramètres!$A$1:$I$89,5,0)</f>
        <v>392.76782999999972</v>
      </c>
      <c r="EL174" s="13">
        <f t="shared" si="179"/>
        <v>90.308900394988783</v>
      </c>
      <c r="EM174" s="20">
        <f t="shared" si="180"/>
        <v>841.35863877127156</v>
      </c>
      <c r="EN174" s="59">
        <f t="shared" si="128"/>
        <v>1134.6919721046049</v>
      </c>
      <c r="EO174" s="59">
        <f ca="1">AVERAGE(OFFSET($EN$3,0,0,'Données projet'!$E$15+1,1))-AVERAGE(OFFSET($H$3,0,0,'Données projet'!$E$15+1,1))</f>
        <v>533.26035274112917</v>
      </c>
      <c r="EP174" s="59">
        <f t="shared" si="154"/>
        <v>262.58149402282521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47.467192044350583</v>
      </c>
      <c r="EW174" s="21">
        <f>EXP(-LN(2)/25)*EW173+(1-EXP(-LN(2)/25))/(LN(2)/25)*Calculateur!ER174*Calculateur!ET174*VLOOKUP('Données projet'!$B$15,Paramètres!$A$1:$I$89,3,0)*0.475*44/12</f>
        <v>21.38912520461195</v>
      </c>
      <c r="EX174" s="21">
        <f>EXP(-LN(2)/2)*EX173+(1-EXP(-LN(2)/2))/(LN(2)/2)*ER174*EU174*VLOOKUP('Données projet'!$B$15,Paramètres!$A$1:$I$89,3,0)*0.475*44/12</f>
        <v>5.0981605384808947E-4</v>
      </c>
      <c r="EY174" s="22">
        <f t="shared" si="181"/>
        <v>68.85682706501639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239.26156489359892</v>
      </c>
      <c r="FK174" s="59">
        <f t="shared" si="156"/>
        <v>213.97034450798111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2.1742993920589195</v>
      </c>
      <c r="FR174" s="21">
        <f>EXP(-LN(2)/25)*FR173+(1-EXP(-LN(2)/25))/(LN(2)/25)*Calculateur!FM174*Calculateur!FO174*VLOOKUP('Données projet'!$B$16,Paramètres!$A$1:$I$89,3,0)*0.475*44/12</f>
        <v>6.7594550893213166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8.9337544813802356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2.5579538487363607E-13</v>
      </c>
      <c r="O175" s="13">
        <f>N175*VLOOKUP('Données projet'!$B$9,Paramètres!$A$1:$I$89,3,0)*VLOOKUP('Données projet'!$B$9,Paramètres!$A$1:$I$89,5,0)</f>
        <v>2.4341488824575211E-13</v>
      </c>
      <c r="P175" s="13">
        <f t="shared" si="141"/>
        <v>3.2970717324875541E-12</v>
      </c>
      <c r="Q175" s="20">
        <f t="shared" si="162"/>
        <v>6.1663475311105072E-12</v>
      </c>
      <c r="R175" s="59">
        <f t="shared" si="109"/>
        <v>293.33333333333945</v>
      </c>
      <c r="S175" s="59">
        <f ca="1">AVERAGE(OFFSET($R$3,0,0,'Données projet'!$E$9+1,1))-AVERAGE(OFFSET($H$3,0,0,'Données projet'!$E$9+1,1))</f>
        <v>449.28947235329758</v>
      </c>
      <c r="T175" s="59">
        <f t="shared" si="142"/>
        <v>289.36994109443964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51.71492848046465</v>
      </c>
      <c r="AA175" s="21">
        <f>EXP(-LN(2)/25)*AA174+(1-EXP(-LN(2)/25))/(LN(2)/25)*Calculateur!V175*Calculateur!X175*VLOOKUP('Données projet'!$B$9,Paramètres!$A$1:$I$89,3,0)*0.475*44/12</f>
        <v>7.7267510964014079</v>
      </c>
      <c r="AB175" s="21">
        <f>EXP(-LN(2)/2)*AB174+(1-EXP(-LN(2)/2))/(LN(2)/2)*V175*Y175*VLOOKUP('Données projet'!$B$9,Paramètres!$A$1:$I$89,3,0)*0.475*44/12</f>
        <v>3.4148425931203423E-6</v>
      </c>
      <c r="AC175" s="22">
        <f t="shared" si="163"/>
        <v>59.441682991708653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-1.3596945791505279E-13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349.71285006949597</v>
      </c>
      <c r="AO175" s="59">
        <f t="shared" si="144"/>
        <v>258.51550516456842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24.783985351925597</v>
      </c>
      <c r="AV175" s="21">
        <f>EXP(-LN(2)/25)*AV174+(1-EXP(-LN(2)/25))/(LN(2)/25)*Calculateur!AQ175*Calculateur!AS175*VLOOKUP('Données projet'!$B$10,Paramètres!$A$1:$I$89,3,0)*0.475*44/12</f>
        <v>4.0371300795563965</v>
      </c>
      <c r="AW175" s="21">
        <f>EXP(-LN(2)/2)*AW174+(1-EXP(-LN(2)/2))/(LN(2)/2)*AQ175*AT175*VLOOKUP('Données projet'!$B$10,Paramètres!$A$1:$I$89,3,0)*0.475*44/12</f>
        <v>1.0049439367948126E-12</v>
      </c>
      <c r="AX175" s="21">
        <f t="shared" si="166"/>
        <v>28.821115431482998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1.1368683772161603E-13</v>
      </c>
      <c r="BE175" s="13">
        <f>BD175*VLOOKUP('Données projet'!$B$11,Paramètres!$A$1:$I$89,3,0)*VLOOKUP('Données projet'!$B$11,Paramètres!$A$1:$I$89,5,0)</f>
        <v>6.7984728957526396E-14</v>
      </c>
      <c r="BF175" s="13">
        <f t="shared" si="167"/>
        <v>1.0682447123141398E-12</v>
      </c>
      <c r="BG175" s="20">
        <f t="shared" si="168"/>
        <v>1.978932943548152E-12</v>
      </c>
      <c r="BH175" s="59">
        <f t="shared" si="116"/>
        <v>293.3333333333353</v>
      </c>
      <c r="BI175" s="59">
        <f ca="1">AVERAGE(OFFSET($BH$3,0,0,'Données projet'!$E$11+1,1))-AVERAGE(OFFSET($H$3,0,0,'Données projet'!$E$11+1,1))</f>
        <v>302.00825291248458</v>
      </c>
      <c r="BJ175" s="59">
        <f t="shared" si="146"/>
        <v>307.35115839449355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15.111572624283802</v>
      </c>
      <c r="BQ175" s="21">
        <f>EXP(-LN(2)/25)*BQ174+(1-EXP(-LN(2)/25))/(LN(2)/25)*Calculateur!BL175*Calculateur!BN175*VLOOKUP('Données projet'!$B$11,Paramètres!$A$1:$I$89,3,0)*0.475*44/12</f>
        <v>2.1706729582524957</v>
      </c>
      <c r="BR175" s="21">
        <f>EXP(-LN(2)/2)*BR174+(1-EXP(-LN(2)/2))/(LN(2)/2)*BL175*BO175*VLOOKUP('Données projet'!$B$11,Paramètres!$A$1:$I$89,3,0)*0.475*44/12</f>
        <v>8.3213218015289877E-16</v>
      </c>
      <c r="BS175" s="22">
        <f t="shared" si="169"/>
        <v>17.282245582536298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1.7053025658242404E-13</v>
      </c>
      <c r="BZ175" s="13">
        <f>BY175*VLOOKUP('Données projet'!$B$12,Paramètres!$A$1:$I$89,3,0)*VLOOKUP('Données projet'!$B$12,Paramètres!$A$1:$I$89,5,0)</f>
        <v>7.9808160080574461E-14</v>
      </c>
      <c r="CA175" s="13">
        <f t="shared" si="170"/>
        <v>1.2308384591775343E-12</v>
      </c>
      <c r="CB175" s="20">
        <f t="shared" si="171"/>
        <v>2.282709528541206E-12</v>
      </c>
      <c r="CC175" s="59">
        <f t="shared" si="119"/>
        <v>293.33333333333559</v>
      </c>
      <c r="CD175" s="59">
        <f ca="1">AVERAGE(OFFSET($CC$3,0,0,'Données projet'!$E$12+1,1))-AVERAGE(OFFSET($H$3,0,0,'Données projet'!$E$12+1,1))</f>
        <v>337.10499990421835</v>
      </c>
      <c r="CE175" s="59">
        <f t="shared" si="148"/>
        <v>277.4254079562175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64.577873798029742</v>
      </c>
      <c r="CL175" s="21">
        <f>EXP(-LN(2)/25)*CL174+(1-EXP(-LN(2)/25))/(LN(2)/25)*Calculateur!CG175*Calculateur!CI175*VLOOKUP('Données projet'!$B$12,Paramètres!$A$1:$I$89,3,0)*0.475*44/12</f>
        <v>14.410658288878556</v>
      </c>
      <c r="CM175" s="21">
        <f>EXP(-LN(2)/2)*CM174+(1-EXP(-LN(2)/2))/(LN(2)/2)*CG175*CJ175*VLOOKUP('Données projet'!$B$12,Paramètres!$A$1:$I$89,3,0)*0.475*44/12</f>
        <v>2.1854761869832041E-5</v>
      </c>
      <c r="CN175" s="22">
        <f t="shared" si="172"/>
        <v>78.988553941670162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7.688333333333337</v>
      </c>
      <c r="CT175" s="12">
        <f>IF('Données projet'!$A$140&gt;35,CT174+CS175-DB174,IF(A175&lt;'Données projet'!$A$140,$CQ$205^A175,IF(A175='Données projet'!$A$140,'Données projet'!$B$140,CT174+CS175-DB174)))</f>
        <v>395.03333333333302</v>
      </c>
      <c r="CU175" s="17">
        <f>CT175*VLOOKUP('Données projet'!$B$13,Paramètres!$A$1:$I$89,3,0)*VLOOKUP('Données projet'!$B$13,Paramètres!$A$1:$I$89,5,0)</f>
        <v>394.4012799999997</v>
      </c>
      <c r="CV175" s="13">
        <f t="shared" si="173"/>
        <v>90.640681179002584</v>
      </c>
      <c r="CW175" s="20">
        <f t="shared" si="174"/>
        <v>844.78141572009554</v>
      </c>
      <c r="CX175" s="59">
        <f t="shared" si="122"/>
        <v>1138.1147490534288</v>
      </c>
      <c r="CY175" s="59">
        <f ca="1">AVERAGE(OFFSET($CX$3,0,0,'Données projet'!$E$13+1,1))-AVERAGE(OFFSET($H$3,0,0,'Données projet'!$E$13+1,1))</f>
        <v>525.74725170626471</v>
      </c>
      <c r="CZ175" s="59">
        <f t="shared" si="150"/>
        <v>259.19103598192197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45.820444908789391</v>
      </c>
      <c r="DG175" s="21">
        <f>EXP(-LN(2)/25)*DG174+(1-EXP(-LN(2)/25))/(LN(2)/25)*Calculateur!DB175*Calculateur!DD175*VLOOKUP('Données projet'!$B$13,Paramètres!$A$1:$I$89,3,0)*0.475*44/12</f>
        <v>20.484173244146834</v>
      </c>
      <c r="DH175" s="21">
        <f>EXP(-LN(2)/2)*DH174+(1-EXP(-LN(2)/2))/(LN(2)/2)*DB175*DE175*VLOOKUP('Données projet'!$B$13,Paramètres!$A$1:$I$89,3,0)*0.475*44/12</f>
        <v>3.5494832131323113E-4</v>
      </c>
      <c r="DI175" s="22">
        <f t="shared" si="175"/>
        <v>66.304973101257545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5.4001247917767614E-13</v>
      </c>
      <c r="DP175" s="17">
        <f>DO175*VLOOKUP('Données projet'!$B$14,Paramètres!$A$1:$I$89,3,0)*VLOOKUP('Données projet'!$B$14,Paramètres!$A$1:$I$89,5,0)</f>
        <v>4.8860329115996133E-13</v>
      </c>
      <c r="DQ175" s="13">
        <f t="shared" si="176"/>
        <v>6.1025862939685007E-12</v>
      </c>
      <c r="DR175" s="20">
        <f t="shared" si="177"/>
        <v>1.1479655194098737E-11</v>
      </c>
      <c r="DS175" s="59">
        <f t="shared" si="125"/>
        <v>293.3333333333448</v>
      </c>
      <c r="DT175" s="59">
        <f ca="1">AVERAGE(OFFSET($DS$3,0,0,'Données projet'!$E$14+1,1))-AVERAGE(OFFSET($H$3,0,0,'Données projet'!$E$14+1,1))</f>
        <v>490.06222615476065</v>
      </c>
      <c r="DU175" s="59">
        <f t="shared" si="152"/>
        <v>310.43914804089906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90.392818156862702</v>
      </c>
      <c r="EB175" s="21">
        <f>EXP(-LN(2)/25)*EB174+(1-EXP(-LN(2)/25))/(LN(2)/25)*Calculateur!DW175*Calculateur!DY175*VLOOKUP('Données projet'!$B$14,Paramètres!$A$1:$I$89,3,0)*0.475*44/12</f>
        <v>14.680669529041186</v>
      </c>
      <c r="EC175" s="21">
        <f>EXP(-LN(2)/2)*EC174+(1-EXP(-LN(2)/2))/(LN(2)/2)*DW175*DZ175*VLOOKUP('Données projet'!$B$14,Paramètres!$A$1:$I$89,3,0)*0.475*44/12</f>
        <v>0.15113515198366342</v>
      </c>
      <c r="ED175" s="22">
        <f t="shared" si="178"/>
        <v>105.22462283788755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7.688333333333337</v>
      </c>
      <c r="EJ175" s="12">
        <f>IF('Données projet'!$A$192&gt;35,EJ174+EI175-ER174,IF(A175&lt;'Données projet'!$A$192,$EG$205^A175,IF(A175='Données projet'!$A$192,'Données projet'!$B$192,EJ174+EI175-ER174)))</f>
        <v>395.03333333333302</v>
      </c>
      <c r="EK175" s="17">
        <f>EJ175*VLOOKUP('Données projet'!$B$15,Paramètres!$A$1:$I$89,3,0)*VLOOKUP('Données projet'!$B$15,Paramètres!$A$1:$I$89,5,0)</f>
        <v>400.56379999999973</v>
      </c>
      <c r="EL175" s="13">
        <f t="shared" si="179"/>
        <v>91.890957647280629</v>
      </c>
      <c r="EM175" s="20">
        <f t="shared" si="180"/>
        <v>857.69203623567989</v>
      </c>
      <c r="EN175" s="59">
        <f t="shared" si="128"/>
        <v>1151.0253695690133</v>
      </c>
      <c r="EO175" s="59">
        <f ca="1">AVERAGE(OFFSET($EN$3,0,0,'Données projet'!$E$15+1,1))-AVERAGE(OFFSET($H$3,0,0,'Données projet'!$E$15+1,1))</f>
        <v>533.26035274112917</v>
      </c>
      <c r="EP175" s="59">
        <f t="shared" si="154"/>
        <v>262.58149402282521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46.536389360489231</v>
      </c>
      <c r="EW175" s="21">
        <f>EXP(-LN(2)/25)*EW174+(1-EXP(-LN(2)/25))/(LN(2)/25)*Calculateur!ER175*Calculateur!ET175*VLOOKUP('Données projet'!$B$15,Paramètres!$A$1:$I$89,3,0)*0.475*44/12</f>
        <v>20.804238451086629</v>
      </c>
      <c r="EX175" s="21">
        <f>EXP(-LN(2)/2)*EX174+(1-EXP(-LN(2)/2))/(LN(2)/2)*ER175*EU175*VLOOKUP('Données projet'!$B$15,Paramètres!$A$1:$I$89,3,0)*0.475*44/12</f>
        <v>3.6049438883375013E-4</v>
      </c>
      <c r="EY175" s="22">
        <f t="shared" si="181"/>
        <v>67.340988305964686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239.26156489359892</v>
      </c>
      <c r="FK175" s="59">
        <f t="shared" si="156"/>
        <v>213.97034450798111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2.1316627071723229</v>
      </c>
      <c r="FR175" s="21">
        <f>EXP(-LN(2)/25)*FR174+(1-EXP(-LN(2)/25))/(LN(2)/25)*Calculateur!FM175*Calculateur!FO175*VLOOKUP('Données projet'!$B$16,Paramètres!$A$1:$I$89,3,0)*0.475*44/12</f>
        <v>6.5746174344395314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8.7062801416118543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2.5579538487363607E-13</v>
      </c>
      <c r="O176" s="13">
        <f>N176*VLOOKUP('Données projet'!$B$9,Paramètres!$A$1:$I$89,3,0)*VLOOKUP('Données projet'!$B$9,Paramètres!$A$1:$I$89,5,0)</f>
        <v>2.4341488824575211E-13</v>
      </c>
      <c r="P176" s="13">
        <f t="shared" si="141"/>
        <v>3.2970717324875541E-12</v>
      </c>
      <c r="Q176" s="20">
        <f t="shared" si="162"/>
        <v>6.1663475311105072E-12</v>
      </c>
      <c r="R176" s="59">
        <f t="shared" si="109"/>
        <v>293.33333333333945</v>
      </c>
      <c r="S176" s="59">
        <f ca="1">AVERAGE(OFFSET($R$3,0,0,'Données projet'!$E$9+1,1))-AVERAGE(OFFSET($H$3,0,0,'Données projet'!$E$9+1,1))</f>
        <v>449.28947235329758</v>
      </c>
      <c r="T176" s="59">
        <f t="shared" si="142"/>
        <v>289.36994109443964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50.700830275954502</v>
      </c>
      <c r="AA176" s="21">
        <f>EXP(-LN(2)/25)*AA175+(1-EXP(-LN(2)/25))/(LN(2)/25)*Calculateur!V176*Calculateur!X176*VLOOKUP('Données projet'!$B$9,Paramètres!$A$1:$I$89,3,0)*0.475*44/12</f>
        <v>7.5154626813381311</v>
      </c>
      <c r="AB176" s="21">
        <f>EXP(-LN(2)/2)*AB175+(1-EXP(-LN(2)/2))/(LN(2)/2)*V176*Y176*VLOOKUP('Données projet'!$B$9,Paramètres!$A$1:$I$89,3,0)*0.475*44/12</f>
        <v>2.4146583542800484E-6</v>
      </c>
      <c r="AC176" s="22">
        <f t="shared" si="163"/>
        <v>58.216295371950984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-1.3596945791505279E-13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349.71285006949597</v>
      </c>
      <c r="AO176" s="59">
        <f t="shared" si="144"/>
        <v>258.51550516456842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24.297986515912747</v>
      </c>
      <c r="AV176" s="21">
        <f>EXP(-LN(2)/25)*AV175+(1-EXP(-LN(2)/25))/(LN(2)/25)*Calculateur!AQ176*Calculateur!AS176*VLOOKUP('Données projet'!$B$10,Paramètres!$A$1:$I$89,3,0)*0.475*44/12</f>
        <v>3.9267345452274829</v>
      </c>
      <c r="AW176" s="21">
        <f>EXP(-LN(2)/2)*AW175+(1-EXP(-LN(2)/2))/(LN(2)/2)*AQ176*AT176*VLOOKUP('Données projet'!$B$10,Paramètres!$A$1:$I$89,3,0)*0.475*44/12</f>
        <v>7.1060267241991719E-13</v>
      </c>
      <c r="AX176" s="21">
        <f t="shared" si="166"/>
        <v>28.22472106114094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1.1368683772161603E-13</v>
      </c>
      <c r="BE176" s="13">
        <f>BD176*VLOOKUP('Données projet'!$B$11,Paramètres!$A$1:$I$89,3,0)*VLOOKUP('Données projet'!$B$11,Paramètres!$A$1:$I$89,5,0)</f>
        <v>6.7984728957526396E-14</v>
      </c>
      <c r="BF176" s="13">
        <f t="shared" si="167"/>
        <v>1.0682447123141398E-12</v>
      </c>
      <c r="BG176" s="20">
        <f t="shared" si="168"/>
        <v>1.978932943548152E-12</v>
      </c>
      <c r="BH176" s="59">
        <f t="shared" si="116"/>
        <v>293.3333333333353</v>
      </c>
      <c r="BI176" s="59">
        <f ca="1">AVERAGE(OFFSET($BH$3,0,0,'Données projet'!$E$11+1,1))-AVERAGE(OFFSET($H$3,0,0,'Données projet'!$E$11+1,1))</f>
        <v>302.00825291248458</v>
      </c>
      <c r="BJ176" s="59">
        <f t="shared" si="146"/>
        <v>307.35115839449355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14.81524390227078</v>
      </c>
      <c r="BQ176" s="21">
        <f>EXP(-LN(2)/25)*BQ175+(1-EXP(-LN(2)/25))/(LN(2)/25)*Calculateur!BL176*Calculateur!BN176*VLOOKUP('Données projet'!$B$11,Paramètres!$A$1:$I$89,3,0)*0.475*44/12</f>
        <v>2.1113157920583516</v>
      </c>
      <c r="BR176" s="21">
        <f>EXP(-LN(2)/2)*BR175+(1-EXP(-LN(2)/2))/(LN(2)/2)*BL176*BO176*VLOOKUP('Données projet'!$B$11,Paramètres!$A$1:$I$89,3,0)*0.475*44/12</f>
        <v>5.8840630742966053E-16</v>
      </c>
      <c r="BS176" s="22">
        <f t="shared" si="169"/>
        <v>16.926559694329132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1.7053025658242404E-13</v>
      </c>
      <c r="BZ176" s="13">
        <f>BY176*VLOOKUP('Données projet'!$B$12,Paramètres!$A$1:$I$89,3,0)*VLOOKUP('Données projet'!$B$12,Paramètres!$A$1:$I$89,5,0)</f>
        <v>7.9808160080574461E-14</v>
      </c>
      <c r="CA176" s="13">
        <f t="shared" si="170"/>
        <v>1.2308384591775343E-12</v>
      </c>
      <c r="CB176" s="20">
        <f t="shared" si="171"/>
        <v>2.282709528541206E-12</v>
      </c>
      <c r="CC176" s="59">
        <f t="shared" si="119"/>
        <v>293.33333333333559</v>
      </c>
      <c r="CD176" s="59">
        <f ca="1">AVERAGE(OFFSET($CC$3,0,0,'Données projet'!$E$12+1,1))-AVERAGE(OFFSET($H$3,0,0,'Données projet'!$E$12+1,1))</f>
        <v>337.10499990421835</v>
      </c>
      <c r="CE176" s="59">
        <f t="shared" si="148"/>
        <v>277.4254079562175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63.311541081464092</v>
      </c>
      <c r="CL176" s="21">
        <f>EXP(-LN(2)/25)*CL175+(1-EXP(-LN(2)/25))/(LN(2)/25)*Calculateur!CG176*Calculateur!CI176*VLOOKUP('Données projet'!$B$12,Paramètres!$A$1:$I$89,3,0)*0.475*44/12</f>
        <v>14.016598080145588</v>
      </c>
      <c r="CM176" s="21">
        <f>EXP(-LN(2)/2)*CM175+(1-EXP(-LN(2)/2))/(LN(2)/2)*CG176*CJ176*VLOOKUP('Données projet'!$B$12,Paramètres!$A$1:$I$89,3,0)*0.475*44/12</f>
        <v>1.5453650319375427E-5</v>
      </c>
      <c r="CN176" s="22">
        <f t="shared" si="172"/>
        <v>77.328154615260004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7.688333333333337</v>
      </c>
      <c r="CT176" s="12">
        <f>IF('Données projet'!$A$140&gt;35,CT175+CS176-DB175,IF(A176&lt;'Données projet'!$A$140,$CQ$205^A176,IF(A176='Données projet'!$A$140,'Données projet'!$B$140,CT175+CS176-DB175)))</f>
        <v>402.72166666666635</v>
      </c>
      <c r="CU176" s="17">
        <f>CT176*VLOOKUP('Données projet'!$B$13,Paramètres!$A$1:$I$89,3,0)*VLOOKUP('Données projet'!$B$13,Paramètres!$A$1:$I$89,5,0)</f>
        <v>402.07731199999967</v>
      </c>
      <c r="CV176" s="13">
        <f t="shared" si="173"/>
        <v>92.197681305002718</v>
      </c>
      <c r="CW176" s="20">
        <f t="shared" si="174"/>
        <v>860.86228000621247</v>
      </c>
      <c r="CX176" s="59">
        <f t="shared" si="122"/>
        <v>1154.1956133395458</v>
      </c>
      <c r="CY176" s="59">
        <f ca="1">AVERAGE(OFFSET($CX$3,0,0,'Données projet'!$E$13+1,1))-AVERAGE(OFFSET($H$3,0,0,'Données projet'!$E$13+1,1))</f>
        <v>525.74725170626471</v>
      </c>
      <c r="CZ176" s="59">
        <f t="shared" si="150"/>
        <v>259.19103598192197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44.921933931839817</v>
      </c>
      <c r="DG176" s="21">
        <f>EXP(-LN(2)/25)*DG175+(1-EXP(-LN(2)/25))/(LN(2)/25)*Calculateur!DB176*Calculateur!DD176*VLOOKUP('Données projet'!$B$13,Paramètres!$A$1:$I$89,3,0)*0.475*44/12</f>
        <v>19.924032449569786</v>
      </c>
      <c r="DH176" s="21">
        <f>EXP(-LN(2)/2)*DH175+(1-EXP(-LN(2)/2))/(LN(2)/2)*DB176*DE176*VLOOKUP('Données projet'!$B$13,Paramètres!$A$1:$I$89,3,0)*0.475*44/12</f>
        <v>2.5098636497136728E-4</v>
      </c>
      <c r="DI176" s="22">
        <f t="shared" si="175"/>
        <v>64.846217367774571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5.4001247917767614E-13</v>
      </c>
      <c r="DP176" s="17">
        <f>DO176*VLOOKUP('Données projet'!$B$14,Paramètres!$A$1:$I$89,3,0)*VLOOKUP('Données projet'!$B$14,Paramètres!$A$1:$I$89,5,0)</f>
        <v>4.8860329115996133E-13</v>
      </c>
      <c r="DQ176" s="13">
        <f t="shared" si="176"/>
        <v>6.1025862939685007E-12</v>
      </c>
      <c r="DR176" s="20">
        <f t="shared" si="177"/>
        <v>1.1479655194098737E-11</v>
      </c>
      <c r="DS176" s="59">
        <f t="shared" si="125"/>
        <v>293.3333333333448</v>
      </c>
      <c r="DT176" s="59">
        <f ca="1">AVERAGE(OFFSET($DS$3,0,0,'Données projet'!$E$14+1,1))-AVERAGE(OFFSET($H$3,0,0,'Données projet'!$E$14+1,1))</f>
        <v>490.06222615476065</v>
      </c>
      <c r="DU176" s="59">
        <f t="shared" si="152"/>
        <v>310.43914804089906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88.620270126981652</v>
      </c>
      <c r="EB176" s="21">
        <f>EXP(-LN(2)/25)*EB175+(1-EXP(-LN(2)/25))/(LN(2)/25)*Calculateur!DW176*Calculateur!DY176*VLOOKUP('Données projet'!$B$14,Paramètres!$A$1:$I$89,3,0)*0.475*44/12</f>
        <v>14.279225848746698</v>
      </c>
      <c r="EC176" s="21">
        <f>EXP(-LN(2)/2)*EC175+(1-EXP(-LN(2)/2))/(LN(2)/2)*DW176*DZ176*VLOOKUP('Données projet'!$B$14,Paramètres!$A$1:$I$89,3,0)*0.475*44/12</f>
        <v>0.1068686908433079</v>
      </c>
      <c r="ED176" s="22">
        <f t="shared" si="178"/>
        <v>103.00636466657166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7.688333333333337</v>
      </c>
      <c r="EJ176" s="12">
        <f>IF('Données projet'!$A$192&gt;35,EJ175+EI176-ER175,IF(A176&lt;'Données projet'!$A$192,$EG$205^A176,IF(A176='Données projet'!$A$192,'Données projet'!$B$192,EJ175+EI176-ER175)))</f>
        <v>402.72166666666635</v>
      </c>
      <c r="EK176" s="17">
        <f>EJ176*VLOOKUP('Données projet'!$B$15,Paramètres!$A$1:$I$89,3,0)*VLOOKUP('Données projet'!$B$15,Paramètres!$A$1:$I$89,5,0)</f>
        <v>408.35976999999968</v>
      </c>
      <c r="EL176" s="13">
        <f t="shared" si="179"/>
        <v>93.469434670776693</v>
      </c>
      <c r="EM176" s="20">
        <f t="shared" si="180"/>
        <v>874.01919813493544</v>
      </c>
      <c r="EN176" s="59">
        <f t="shared" si="128"/>
        <v>1167.3525314682688</v>
      </c>
      <c r="EO176" s="59">
        <f ca="1">AVERAGE(OFFSET($EN$3,0,0,'Données projet'!$E$15+1,1))-AVERAGE(OFFSET($H$3,0,0,'Données projet'!$E$15+1,1))</f>
        <v>533.26035274112917</v>
      </c>
      <c r="EP176" s="59">
        <f t="shared" si="154"/>
        <v>262.58149402282521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45.623839149524819</v>
      </c>
      <c r="EW176" s="21">
        <f>EXP(-LN(2)/25)*EW175+(1-EXP(-LN(2)/25))/(LN(2)/25)*Calculateur!ER176*Calculateur!ET176*VLOOKUP('Données projet'!$B$15,Paramètres!$A$1:$I$89,3,0)*0.475*44/12</f>
        <v>20.235345456594313</v>
      </c>
      <c r="EX176" s="21">
        <f>EXP(-LN(2)/2)*EX175+(1-EXP(-LN(2)/2))/(LN(2)/2)*ER176*EU176*VLOOKUP('Données projet'!$B$15,Paramètres!$A$1:$I$89,3,0)*0.475*44/12</f>
        <v>2.5490802692404473E-4</v>
      </c>
      <c r="EY176" s="22">
        <f t="shared" si="181"/>
        <v>65.859439514146047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239.26156489359892</v>
      </c>
      <c r="FK176" s="59">
        <f t="shared" si="156"/>
        <v>213.97034450798111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2.0898621016705423</v>
      </c>
      <c r="FR176" s="21">
        <f>EXP(-LN(2)/25)*FR175+(1-EXP(-LN(2)/25))/(LN(2)/25)*Calculateur!FM176*Calculateur!FO176*VLOOKUP('Données projet'!$B$16,Paramètres!$A$1:$I$89,3,0)*0.475*44/12</f>
        <v>6.3948341749506783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8.4846962766212215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2.5579538487363607E-13</v>
      </c>
      <c r="O177" s="13">
        <f>N177*VLOOKUP('Données projet'!$B$9,Paramètres!$A$1:$I$89,3,0)*VLOOKUP('Données projet'!$B$9,Paramètres!$A$1:$I$89,5,0)</f>
        <v>2.4341488824575211E-13</v>
      </c>
      <c r="P177" s="13">
        <f t="shared" si="141"/>
        <v>3.2970717324875541E-12</v>
      </c>
      <c r="Q177" s="20">
        <f t="shared" si="162"/>
        <v>6.1663475311105072E-12</v>
      </c>
      <c r="R177" s="59">
        <f t="shared" si="109"/>
        <v>293.33333333333945</v>
      </c>
      <c r="S177" s="59">
        <f ca="1">AVERAGE(OFFSET($R$3,0,0,'Données projet'!$E$9+1,1))-AVERAGE(OFFSET($H$3,0,0,'Données projet'!$E$9+1,1))</f>
        <v>449.28947235329758</v>
      </c>
      <c r="T177" s="59">
        <f t="shared" si="142"/>
        <v>289.36994109443964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49.706617918695969</v>
      </c>
      <c r="AA177" s="21">
        <f>EXP(-LN(2)/25)*AA176+(1-EXP(-LN(2)/25))/(LN(2)/25)*Calculateur!V177*Calculateur!X177*VLOOKUP('Données projet'!$B$9,Paramètres!$A$1:$I$89,3,0)*0.475*44/12</f>
        <v>7.3099519590959341</v>
      </c>
      <c r="AB177" s="21">
        <f>EXP(-LN(2)/2)*AB176+(1-EXP(-LN(2)/2))/(LN(2)/2)*V177*Y177*VLOOKUP('Données projet'!$B$9,Paramètres!$A$1:$I$89,3,0)*0.475*44/12</f>
        <v>1.7074212965601712E-6</v>
      </c>
      <c r="AC177" s="22">
        <f t="shared" si="163"/>
        <v>57.0165715852132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-1.3596945791505279E-13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349.71285006949597</v>
      </c>
      <c r="AO177" s="59">
        <f t="shared" si="144"/>
        <v>258.51550516456842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23.82151782064409</v>
      </c>
      <c r="AV177" s="21">
        <f>EXP(-LN(2)/25)*AV176+(1-EXP(-LN(2)/25))/(LN(2)/25)*Calculateur!AQ177*Calculateur!AS177*VLOOKUP('Données projet'!$B$10,Paramètres!$A$1:$I$89,3,0)*0.475*44/12</f>
        <v>3.8193577825902425</v>
      </c>
      <c r="AW177" s="21">
        <f>EXP(-LN(2)/2)*AW176+(1-EXP(-LN(2)/2))/(LN(2)/2)*AQ177*AT177*VLOOKUP('Données projet'!$B$10,Paramètres!$A$1:$I$89,3,0)*0.475*44/12</f>
        <v>5.0247196839740629E-13</v>
      </c>
      <c r="AX177" s="21">
        <f t="shared" si="166"/>
        <v>27.640875603234832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1.1368683772161603E-13</v>
      </c>
      <c r="BE177" s="13">
        <f>BD177*VLOOKUP('Données projet'!$B$11,Paramètres!$A$1:$I$89,3,0)*VLOOKUP('Données projet'!$B$11,Paramètres!$A$1:$I$89,5,0)</f>
        <v>6.7984728957526396E-14</v>
      </c>
      <c r="BF177" s="13">
        <f t="shared" si="167"/>
        <v>1.0682447123141398E-12</v>
      </c>
      <c r="BG177" s="20">
        <f t="shared" si="168"/>
        <v>1.978932943548152E-12</v>
      </c>
      <c r="BH177" s="59">
        <f t="shared" si="116"/>
        <v>293.3333333333353</v>
      </c>
      <c r="BI177" s="59">
        <f ca="1">AVERAGE(OFFSET($BH$3,0,0,'Données projet'!$E$11+1,1))-AVERAGE(OFFSET($H$3,0,0,'Données projet'!$E$11+1,1))</f>
        <v>302.00825291248458</v>
      </c>
      <c r="BJ177" s="59">
        <f t="shared" si="146"/>
        <v>307.35115839449355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14.524726005753759</v>
      </c>
      <c r="BQ177" s="21">
        <f>EXP(-LN(2)/25)*BQ176+(1-EXP(-LN(2)/25))/(LN(2)/25)*Calculateur!BL177*Calculateur!BN177*VLOOKUP('Données projet'!$B$11,Paramètres!$A$1:$I$89,3,0)*0.475*44/12</f>
        <v>2.0535817506952441</v>
      </c>
      <c r="BR177" s="21">
        <f>EXP(-LN(2)/2)*BR176+(1-EXP(-LN(2)/2))/(LN(2)/2)*BL177*BO177*VLOOKUP('Données projet'!$B$11,Paramètres!$A$1:$I$89,3,0)*0.475*44/12</f>
        <v>4.1606609007644939E-16</v>
      </c>
      <c r="BS177" s="22">
        <f t="shared" si="169"/>
        <v>16.578307756449004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1.7053025658242404E-13</v>
      </c>
      <c r="BZ177" s="13">
        <f>BY177*VLOOKUP('Données projet'!$B$12,Paramètres!$A$1:$I$89,3,0)*VLOOKUP('Données projet'!$B$12,Paramètres!$A$1:$I$89,5,0)</f>
        <v>7.9808160080574461E-14</v>
      </c>
      <c r="CA177" s="13">
        <f t="shared" si="170"/>
        <v>1.2308384591775343E-12</v>
      </c>
      <c r="CB177" s="20">
        <f t="shared" si="171"/>
        <v>2.282709528541206E-12</v>
      </c>
      <c r="CC177" s="59">
        <f t="shared" si="119"/>
        <v>293.33333333333559</v>
      </c>
      <c r="CD177" s="59">
        <f ca="1">AVERAGE(OFFSET($CC$3,0,0,'Données projet'!$E$12+1,1))-AVERAGE(OFFSET($H$3,0,0,'Données projet'!$E$12+1,1))</f>
        <v>337.10499990421835</v>
      </c>
      <c r="CE177" s="59">
        <f t="shared" si="148"/>
        <v>277.4254079562175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62.070040377083608</v>
      </c>
      <c r="CL177" s="21">
        <f>EXP(-LN(2)/25)*CL176+(1-EXP(-LN(2)/25))/(LN(2)/25)*Calculateur!CG177*Calculateur!CI177*VLOOKUP('Données projet'!$B$12,Paramètres!$A$1:$I$89,3,0)*0.475*44/12</f>
        <v>13.633313468543149</v>
      </c>
      <c r="CM177" s="21">
        <f>EXP(-LN(2)/2)*CM176+(1-EXP(-LN(2)/2))/(LN(2)/2)*CG177*CJ177*VLOOKUP('Données projet'!$B$12,Paramètres!$A$1:$I$89,3,0)*0.475*44/12</f>
        <v>1.0927380934916021E-5</v>
      </c>
      <c r="CN177" s="22">
        <f t="shared" si="172"/>
        <v>75.703364773007692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7.688333333333337</v>
      </c>
      <c r="CT177" s="12">
        <f>IF('Données projet'!$A$140&gt;35,CT176+CS177-DB176,IF(A177&lt;'Données projet'!$A$140,$CQ$205^A177,IF(A177='Données projet'!$A$140,'Données projet'!$B$140,CT176+CS177-DB176)))</f>
        <v>410.40999999999968</v>
      </c>
      <c r="CU177" s="17">
        <f>CT177*VLOOKUP('Données projet'!$B$13,Paramètres!$A$1:$I$89,3,0)*VLOOKUP('Données projet'!$B$13,Paramètres!$A$1:$I$89,5,0)</f>
        <v>409.75334399999974</v>
      </c>
      <c r="CV177" s="13">
        <f t="shared" si="173"/>
        <v>93.751225108385867</v>
      </c>
      <c r="CW177" s="20">
        <f t="shared" si="174"/>
        <v>876.93712453043827</v>
      </c>
      <c r="CX177" s="59">
        <f t="shared" si="122"/>
        <v>1170.2704578637715</v>
      </c>
      <c r="CY177" s="59">
        <f ca="1">AVERAGE(OFFSET($CX$3,0,0,'Données projet'!$E$13+1,1))-AVERAGE(OFFSET($H$3,0,0,'Données projet'!$E$13+1,1))</f>
        <v>525.74725170626471</v>
      </c>
      <c r="CZ177" s="59">
        <f t="shared" si="150"/>
        <v>259.19103598192197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44.041042207110642</v>
      </c>
      <c r="DG177" s="21">
        <f>EXP(-LN(2)/25)*DG176+(1-EXP(-LN(2)/25))/(LN(2)/25)*Calculateur!DB177*Calculateur!DD177*VLOOKUP('Données projet'!$B$13,Paramètres!$A$1:$I$89,3,0)*0.475*44/12</f>
        <v>19.379208734476972</v>
      </c>
      <c r="DH177" s="21">
        <f>EXP(-LN(2)/2)*DH176+(1-EXP(-LN(2)/2))/(LN(2)/2)*DB177*DE177*VLOOKUP('Données projet'!$B$13,Paramètres!$A$1:$I$89,3,0)*0.475*44/12</f>
        <v>1.7747416065661556E-4</v>
      </c>
      <c r="DI177" s="22">
        <f t="shared" si="175"/>
        <v>63.420428415748269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5.4001247917767614E-13</v>
      </c>
      <c r="DP177" s="17">
        <f>DO177*VLOOKUP('Données projet'!$B$14,Paramètres!$A$1:$I$89,3,0)*VLOOKUP('Données projet'!$B$14,Paramètres!$A$1:$I$89,5,0)</f>
        <v>4.8860329115996133E-13</v>
      </c>
      <c r="DQ177" s="13">
        <f t="shared" si="176"/>
        <v>6.1025862939685007E-12</v>
      </c>
      <c r="DR177" s="20">
        <f t="shared" si="177"/>
        <v>1.1479655194098737E-11</v>
      </c>
      <c r="DS177" s="59">
        <f t="shared" si="125"/>
        <v>293.3333333333448</v>
      </c>
      <c r="DT177" s="59">
        <f ca="1">AVERAGE(OFFSET($DS$3,0,0,'Données projet'!$E$14+1,1))-AVERAGE(OFFSET($H$3,0,0,'Données projet'!$E$14+1,1))</f>
        <v>490.06222615476065</v>
      </c>
      <c r="DU177" s="59">
        <f t="shared" si="152"/>
        <v>310.43914804089906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86.882480682819022</v>
      </c>
      <c r="EB177" s="21">
        <f>EXP(-LN(2)/25)*EB176+(1-EXP(-LN(2)/25))/(LN(2)/25)*Calculateur!DW177*Calculateur!DY177*VLOOKUP('Données projet'!$B$14,Paramètres!$A$1:$I$89,3,0)*0.475*44/12</f>
        <v>13.888759667000867</v>
      </c>
      <c r="EC177" s="21">
        <f>EXP(-LN(2)/2)*EC176+(1-EXP(-LN(2)/2))/(LN(2)/2)*DW177*DZ177*VLOOKUP('Données projet'!$B$14,Paramètres!$A$1:$I$89,3,0)*0.475*44/12</f>
        <v>7.5567575991831712E-2</v>
      </c>
      <c r="ED177" s="22">
        <f t="shared" si="178"/>
        <v>100.84680792581172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7.688333333333337</v>
      </c>
      <c r="EJ177" s="12">
        <f>IF('Données projet'!$A$192&gt;35,EJ176+EI177-ER176,IF(A177&lt;'Données projet'!$A$192,$EG$205^A177,IF(A177='Données projet'!$A$192,'Données projet'!$B$192,EJ176+EI177-ER176)))</f>
        <v>410.40999999999968</v>
      </c>
      <c r="EK177" s="17">
        <f>EJ177*VLOOKUP('Données projet'!$B$15,Paramètres!$A$1:$I$89,3,0)*VLOOKUP('Données projet'!$B$15,Paramètres!$A$1:$I$89,5,0)</f>
        <v>416.1557399999997</v>
      </c>
      <c r="EL177" s="13">
        <f t="shared" si="179"/>
        <v>95.044407695945651</v>
      </c>
      <c r="EM177" s="20">
        <f t="shared" si="180"/>
        <v>890.34025723710477</v>
      </c>
      <c r="EN177" s="59">
        <f t="shared" si="128"/>
        <v>1183.6735905704381</v>
      </c>
      <c r="EO177" s="59">
        <f ca="1">AVERAGE(OFFSET($EN$3,0,0,'Données projet'!$E$15+1,1))-AVERAGE(OFFSET($H$3,0,0,'Données projet'!$E$15+1,1))</f>
        <v>533.26035274112917</v>
      </c>
      <c r="EP177" s="59">
        <f t="shared" si="154"/>
        <v>262.58149402282521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44.72918349159675</v>
      </c>
      <c r="EW177" s="21">
        <f>EXP(-LN(2)/25)*EW176+(1-EXP(-LN(2)/25))/(LN(2)/25)*Calculateur!ER177*Calculateur!ET177*VLOOKUP('Données projet'!$B$15,Paramètres!$A$1:$I$89,3,0)*0.475*44/12</f>
        <v>19.682008870953172</v>
      </c>
      <c r="EX177" s="21">
        <f>EXP(-LN(2)/2)*EX176+(1-EXP(-LN(2)/2))/(LN(2)/2)*ER177*EU177*VLOOKUP('Données projet'!$B$15,Paramètres!$A$1:$I$89,3,0)*0.475*44/12</f>
        <v>1.8024719441687507E-4</v>
      </c>
      <c r="EY177" s="22">
        <f t="shared" si="181"/>
        <v>64.411372609744348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239.26156489359892</v>
      </c>
      <c r="FK177" s="59">
        <f t="shared" si="156"/>
        <v>213.97034450798111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2.0488811805467999</v>
      </c>
      <c r="FR177" s="21">
        <f>EXP(-LN(2)/25)*FR176+(1-EXP(-LN(2)/25))/(LN(2)/25)*Calculateur!FM177*Calculateur!FO177*VLOOKUP('Données projet'!$B$16,Paramètres!$A$1:$I$89,3,0)*0.475*44/12</f>
        <v>6.2199670981469382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8.2688482786937385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2.5579538487363607E-13</v>
      </c>
      <c r="O178" s="13">
        <f>N178*VLOOKUP('Données projet'!$B$9,Paramètres!$A$1:$I$89,3,0)*VLOOKUP('Données projet'!$B$9,Paramètres!$A$1:$I$89,5,0)</f>
        <v>2.4341488824575211E-13</v>
      </c>
      <c r="P178" s="13">
        <f t="shared" si="141"/>
        <v>3.2970717324875541E-12</v>
      </c>
      <c r="Q178" s="20">
        <f t="shared" si="162"/>
        <v>6.1663475311105072E-12</v>
      </c>
      <c r="R178" s="59">
        <f t="shared" si="109"/>
        <v>293.33333333333945</v>
      </c>
      <c r="S178" s="59">
        <f ca="1">AVERAGE(OFFSET($R$3,0,0,'Données projet'!$E$9+1,1))-AVERAGE(OFFSET($H$3,0,0,'Données projet'!$E$9+1,1))</f>
        <v>449.28947235329758</v>
      </c>
      <c r="T178" s="59">
        <f t="shared" si="142"/>
        <v>289.36994109443964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48.731901459353615</v>
      </c>
      <c r="AA178" s="21">
        <f>EXP(-LN(2)/25)*AA177+(1-EXP(-LN(2)/25))/(LN(2)/25)*Calculateur!V178*Calculateur!X178*VLOOKUP('Données projet'!$B$9,Paramètres!$A$1:$I$89,3,0)*0.475*44/12</f>
        <v>7.1100609383607898</v>
      </c>
      <c r="AB178" s="21">
        <f>EXP(-LN(2)/2)*AB177+(1-EXP(-LN(2)/2))/(LN(2)/2)*V178*Y178*VLOOKUP('Données projet'!$B$9,Paramètres!$A$1:$I$89,3,0)*0.475*44/12</f>
        <v>1.2073291771400242E-6</v>
      </c>
      <c r="AC178" s="22">
        <f t="shared" si="163"/>
        <v>55.841963605043581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-1.3596945791505279E-13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349.71285006949597</v>
      </c>
      <c r="AO178" s="59">
        <f t="shared" si="144"/>
        <v>258.51550516456842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23.35439238587244</v>
      </c>
      <c r="AV178" s="21">
        <f>EXP(-LN(2)/25)*AV177+(1-EXP(-LN(2)/25))/(LN(2)/25)*Calculateur!AQ178*Calculateur!AS178*VLOOKUP('Données projet'!$B$10,Paramètres!$A$1:$I$89,3,0)*0.475*44/12</f>
        <v>3.7149172431740158</v>
      </c>
      <c r="AW178" s="21">
        <f>EXP(-LN(2)/2)*AW177+(1-EXP(-LN(2)/2))/(LN(2)/2)*AQ178*AT178*VLOOKUP('Données projet'!$B$10,Paramètres!$A$1:$I$89,3,0)*0.475*44/12</f>
        <v>3.553013362099586E-13</v>
      </c>
      <c r="AX178" s="21">
        <f t="shared" si="166"/>
        <v>27.069309629046813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1.1368683772161603E-13</v>
      </c>
      <c r="BE178" s="13">
        <f>BD178*VLOOKUP('Données projet'!$B$11,Paramètres!$A$1:$I$89,3,0)*VLOOKUP('Données projet'!$B$11,Paramètres!$A$1:$I$89,5,0)</f>
        <v>6.7984728957526396E-14</v>
      </c>
      <c r="BF178" s="13">
        <f t="shared" si="167"/>
        <v>1.0682447123141398E-12</v>
      </c>
      <c r="BG178" s="20">
        <f t="shared" si="168"/>
        <v>1.978932943548152E-12</v>
      </c>
      <c r="BH178" s="59">
        <f t="shared" si="116"/>
        <v>293.3333333333353</v>
      </c>
      <c r="BI178" s="59">
        <f ca="1">AVERAGE(OFFSET($BH$3,0,0,'Données projet'!$E$11+1,1))-AVERAGE(OFFSET($H$3,0,0,'Données projet'!$E$11+1,1))</f>
        <v>302.00825291248458</v>
      </c>
      <c r="BJ178" s="59">
        <f t="shared" si="146"/>
        <v>307.35115839449355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14.239904987989018</v>
      </c>
      <c r="BQ178" s="21">
        <f>EXP(-LN(2)/25)*BQ177+(1-EXP(-LN(2)/25))/(LN(2)/25)*Calculateur!BL178*Calculateur!BN178*VLOOKUP('Données projet'!$B$11,Paramètres!$A$1:$I$89,3,0)*0.475*44/12</f>
        <v>1.9974264497293119</v>
      </c>
      <c r="BR178" s="21">
        <f>EXP(-LN(2)/2)*BR177+(1-EXP(-LN(2)/2))/(LN(2)/2)*BL178*BO178*VLOOKUP('Données projet'!$B$11,Paramètres!$A$1:$I$89,3,0)*0.475*44/12</f>
        <v>2.9420315371483027E-16</v>
      </c>
      <c r="BS178" s="22">
        <f t="shared" si="169"/>
        <v>16.237331437718328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1.7053025658242404E-13</v>
      </c>
      <c r="BZ178" s="13">
        <f>BY178*VLOOKUP('Données projet'!$B$12,Paramètres!$A$1:$I$89,3,0)*VLOOKUP('Données projet'!$B$12,Paramètres!$A$1:$I$89,5,0)</f>
        <v>7.9808160080574461E-14</v>
      </c>
      <c r="CA178" s="13">
        <f t="shared" si="170"/>
        <v>1.2308384591775343E-12</v>
      </c>
      <c r="CB178" s="20">
        <f t="shared" si="171"/>
        <v>2.282709528541206E-12</v>
      </c>
      <c r="CC178" s="59">
        <f t="shared" si="119"/>
        <v>293.33333333333559</v>
      </c>
      <c r="CD178" s="59">
        <f ca="1">AVERAGE(OFFSET($CC$3,0,0,'Données projet'!$E$12+1,1))-AVERAGE(OFFSET($H$3,0,0,'Données projet'!$E$12+1,1))</f>
        <v>337.10499990421835</v>
      </c>
      <c r="CE178" s="59">
        <f t="shared" si="148"/>
        <v>277.4254079562175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60.852884744275364</v>
      </c>
      <c r="CL178" s="21">
        <f>EXP(-LN(2)/25)*CL177+(1-EXP(-LN(2)/25))/(LN(2)/25)*Calculateur!CG178*Calculateur!CI178*VLOOKUP('Données projet'!$B$12,Paramètres!$A$1:$I$89,3,0)*0.475*44/12</f>
        <v>13.26050979480104</v>
      </c>
      <c r="CM178" s="21">
        <f>EXP(-LN(2)/2)*CM177+(1-EXP(-LN(2)/2))/(LN(2)/2)*CG178*CJ178*VLOOKUP('Données projet'!$B$12,Paramètres!$A$1:$I$89,3,0)*0.475*44/12</f>
        <v>7.7268251596877134E-6</v>
      </c>
      <c r="CN178" s="22">
        <f t="shared" si="172"/>
        <v>74.11340226590157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7.688333333333337</v>
      </c>
      <c r="CT178" s="12">
        <f>IF('Données projet'!$A$140&gt;35,CT177+CS178-DB177,IF(A178&lt;'Données projet'!$A$140,$CQ$205^A178,IF(A178='Données projet'!$A$140,'Données projet'!$B$140,CT177+CS178-DB177)))</f>
        <v>418.09833333333302</v>
      </c>
      <c r="CU178" s="17">
        <f>CT178*VLOOKUP('Données projet'!$B$13,Paramètres!$A$1:$I$89,3,0)*VLOOKUP('Données projet'!$B$13,Paramètres!$A$1:$I$89,5,0)</f>
        <v>417.42937599999971</v>
      </c>
      <c r="CV178" s="13">
        <f t="shared" si="173"/>
        <v>95.301384803948878</v>
      </c>
      <c r="CW178" s="20">
        <f t="shared" si="174"/>
        <v>893.00607506687686</v>
      </c>
      <c r="CX178" s="59">
        <f t="shared" si="122"/>
        <v>1186.3394084002102</v>
      </c>
      <c r="CY178" s="59">
        <f ca="1">AVERAGE(OFFSET($CX$3,0,0,'Données projet'!$E$13+1,1))-AVERAGE(OFFSET($H$3,0,0,'Données projet'!$E$13+1,1))</f>
        <v>525.74725170626471</v>
      </c>
      <c r="CZ178" s="59">
        <f t="shared" si="150"/>
        <v>259.19103598192197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43.177424231812509</v>
      </c>
      <c r="DG178" s="21">
        <f>EXP(-LN(2)/25)*DG177+(1-EXP(-LN(2)/25))/(LN(2)/25)*Calculateur!DB178*Calculateur!DD178*VLOOKUP('Données projet'!$B$13,Paramètres!$A$1:$I$89,3,0)*0.475*44/12</f>
        <v>18.849283252524405</v>
      </c>
      <c r="DH178" s="21">
        <f>EXP(-LN(2)/2)*DH177+(1-EXP(-LN(2)/2))/(LN(2)/2)*DB178*DE178*VLOOKUP('Données projet'!$B$13,Paramètres!$A$1:$I$89,3,0)*0.475*44/12</f>
        <v>1.2549318248568364E-4</v>
      </c>
      <c r="DI178" s="22">
        <f t="shared" si="175"/>
        <v>62.026832977519398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5.4001247917767614E-13</v>
      </c>
      <c r="DP178" s="17">
        <f>DO178*VLOOKUP('Données projet'!$B$14,Paramètres!$A$1:$I$89,3,0)*VLOOKUP('Données projet'!$B$14,Paramètres!$A$1:$I$89,5,0)</f>
        <v>4.8860329115996133E-13</v>
      </c>
      <c r="DQ178" s="13">
        <f t="shared" si="176"/>
        <v>6.1025862939685007E-12</v>
      </c>
      <c r="DR178" s="20">
        <f t="shared" si="177"/>
        <v>1.1479655194098737E-11</v>
      </c>
      <c r="DS178" s="59">
        <f t="shared" si="125"/>
        <v>293.3333333333448</v>
      </c>
      <c r="DT178" s="59">
        <f ca="1">AVERAGE(OFFSET($DS$3,0,0,'Données projet'!$E$14+1,1))-AVERAGE(OFFSET($H$3,0,0,'Données projet'!$E$14+1,1))</f>
        <v>490.06222615476065</v>
      </c>
      <c r="DU178" s="59">
        <f t="shared" si="152"/>
        <v>310.43914804089906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85.178768229709519</v>
      </c>
      <c r="EB178" s="21">
        <f>EXP(-LN(2)/25)*EB177+(1-EXP(-LN(2)/25))/(LN(2)/25)*Calculateur!DW178*Calculateur!DY178*VLOOKUP('Données projet'!$B$14,Paramètres!$A$1:$I$89,3,0)*0.475*44/12</f>
        <v>13.508970803528602</v>
      </c>
      <c r="EC178" s="21">
        <f>EXP(-LN(2)/2)*EC177+(1-EXP(-LN(2)/2))/(LN(2)/2)*DW178*DZ178*VLOOKUP('Données projet'!$B$14,Paramètres!$A$1:$I$89,3,0)*0.475*44/12</f>
        <v>5.3434345421653949E-2</v>
      </c>
      <c r="ED178" s="22">
        <f t="shared" si="178"/>
        <v>98.741173378659767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7.688333333333337</v>
      </c>
      <c r="EJ178" s="12">
        <f>IF('Données projet'!$A$192&gt;35,EJ177+EI178-ER177,IF(A178&lt;'Données projet'!$A$192,$EG$205^A178,IF(A178='Données projet'!$A$192,'Données projet'!$B$192,EJ177+EI178-ER177)))</f>
        <v>418.09833333333302</v>
      </c>
      <c r="EK178" s="17">
        <f>EJ178*VLOOKUP('Données projet'!$B$15,Paramètres!$A$1:$I$89,3,0)*VLOOKUP('Données projet'!$B$15,Paramètres!$A$1:$I$89,5,0)</f>
        <v>423.95170999999976</v>
      </c>
      <c r="EL178" s="13">
        <f t="shared" si="179"/>
        <v>96.615949933698687</v>
      </c>
      <c r="EM178" s="20">
        <f t="shared" si="180"/>
        <v>906.65534105119139</v>
      </c>
      <c r="EN178" s="59">
        <f t="shared" si="128"/>
        <v>1199.9886743845248</v>
      </c>
      <c r="EO178" s="59">
        <f ca="1">AVERAGE(OFFSET($EN$3,0,0,'Données projet'!$E$15+1,1))-AVERAGE(OFFSET($H$3,0,0,'Données projet'!$E$15+1,1))</f>
        <v>533.26035274112917</v>
      </c>
      <c r="EP178" s="59">
        <f t="shared" si="154"/>
        <v>262.58149402282521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43.852071485434585</v>
      </c>
      <c r="EW178" s="21">
        <f>EXP(-LN(2)/25)*EW177+(1-EXP(-LN(2)/25))/(LN(2)/25)*Calculateur!ER178*Calculateur!ET178*VLOOKUP('Données projet'!$B$15,Paramètres!$A$1:$I$89,3,0)*0.475*44/12</f>
        <v>19.143803303345095</v>
      </c>
      <c r="EX178" s="21">
        <f>EXP(-LN(2)/2)*EX177+(1-EXP(-LN(2)/2))/(LN(2)/2)*ER178*EU178*VLOOKUP('Données projet'!$B$15,Paramètres!$A$1:$I$89,3,0)*0.475*44/12</f>
        <v>1.2745401346202237E-4</v>
      </c>
      <c r="EY178" s="22">
        <f t="shared" si="181"/>
        <v>62.996002242793139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239.26156489359892</v>
      </c>
      <c r="FK178" s="59">
        <f t="shared" si="156"/>
        <v>213.97034450798111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2.0087038702904003</v>
      </c>
      <c r="FR178" s="21">
        <f>EXP(-LN(2)/25)*FR177+(1-EXP(-LN(2)/25))/(LN(2)/25)*Calculateur!FM178*Calculateur!FO178*VLOOKUP('Données projet'!$B$16,Paramètres!$A$1:$I$89,3,0)*0.475*44/12</f>
        <v>6.049881770754256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8.0585856410446564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2.5579538487363607E-13</v>
      </c>
      <c r="O179" s="13">
        <f>N179*VLOOKUP('Données projet'!$B$9,Paramètres!$A$1:$I$89,3,0)*VLOOKUP('Données projet'!$B$9,Paramètres!$A$1:$I$89,5,0)</f>
        <v>2.4341488824575211E-13</v>
      </c>
      <c r="P179" s="13">
        <f t="shared" si="141"/>
        <v>3.2970717324875541E-12</v>
      </c>
      <c r="Q179" s="20">
        <f t="shared" si="162"/>
        <v>6.1663475311105072E-12</v>
      </c>
      <c r="R179" s="59">
        <f t="shared" si="109"/>
        <v>293.33333333333945</v>
      </c>
      <c r="S179" s="59">
        <f ca="1">AVERAGE(OFFSET($R$3,0,0,'Données projet'!$E$9+1,1))-AVERAGE(OFFSET($H$3,0,0,'Données projet'!$E$9+1,1))</f>
        <v>449.28947235329758</v>
      </c>
      <c r="T179" s="59">
        <f t="shared" si="142"/>
        <v>289.36994109443964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47.776298595260627</v>
      </c>
      <c r="AA179" s="21">
        <f>EXP(-LN(2)/25)*AA178+(1-EXP(-LN(2)/25))/(LN(2)/25)*Calculateur!V179*Calculateur!X179*VLOOKUP('Données projet'!$B$9,Paramètres!$A$1:$I$89,3,0)*0.475*44/12</f>
        <v>6.9156359480994594</v>
      </c>
      <c r="AB179" s="21">
        <f>EXP(-LN(2)/2)*AB178+(1-EXP(-LN(2)/2))/(LN(2)/2)*V179*Y179*VLOOKUP('Données projet'!$B$9,Paramètres!$A$1:$I$89,3,0)*0.475*44/12</f>
        <v>8.5371064828008559E-7</v>
      </c>
      <c r="AC179" s="22">
        <f t="shared" si="163"/>
        <v>54.691935397070729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-1.3596945791505279E-13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349.71285006949597</v>
      </c>
      <c r="AO179" s="59">
        <f t="shared" si="144"/>
        <v>258.51550516456842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22.896426995958283</v>
      </c>
      <c r="AV179" s="21">
        <f>EXP(-LN(2)/25)*AV178+(1-EXP(-LN(2)/25))/(LN(2)/25)*Calculateur!AQ179*Calculateur!AS179*VLOOKUP('Données projet'!$B$10,Paramètres!$A$1:$I$89,3,0)*0.475*44/12</f>
        <v>3.6133326358004152</v>
      </c>
      <c r="AW179" s="21">
        <f>EXP(-LN(2)/2)*AW178+(1-EXP(-LN(2)/2))/(LN(2)/2)*AQ179*AT179*VLOOKUP('Données projet'!$B$10,Paramètres!$A$1:$I$89,3,0)*0.475*44/12</f>
        <v>2.5123598419870315E-13</v>
      </c>
      <c r="AX179" s="21">
        <f t="shared" si="166"/>
        <v>26.50975963175895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1.1368683772161603E-13</v>
      </c>
      <c r="BE179" s="13">
        <f>BD179*VLOOKUP('Données projet'!$B$11,Paramètres!$A$1:$I$89,3,0)*VLOOKUP('Données projet'!$B$11,Paramètres!$A$1:$I$89,5,0)</f>
        <v>6.7984728957526396E-14</v>
      </c>
      <c r="BF179" s="13">
        <f t="shared" si="167"/>
        <v>1.0682447123141398E-12</v>
      </c>
      <c r="BG179" s="20">
        <f t="shared" si="168"/>
        <v>1.978932943548152E-12</v>
      </c>
      <c r="BH179" s="59">
        <f t="shared" si="116"/>
        <v>293.3333333333353</v>
      </c>
      <c r="BI179" s="59">
        <f ca="1">AVERAGE(OFFSET($BH$3,0,0,'Données projet'!$E$11+1,1))-AVERAGE(OFFSET($H$3,0,0,'Données projet'!$E$11+1,1))</f>
        <v>302.00825291248458</v>
      </c>
      <c r="BJ179" s="59">
        <f t="shared" si="146"/>
        <v>307.35115839449355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13.960669136658975</v>
      </c>
      <c r="BQ179" s="21">
        <f>EXP(-LN(2)/25)*BQ178+(1-EXP(-LN(2)/25))/(LN(2)/25)*Calculateur!BL179*Calculateur!BN179*VLOOKUP('Données projet'!$B$11,Paramètres!$A$1:$I$89,3,0)*0.475*44/12</f>
        <v>1.942806718421372</v>
      </c>
      <c r="BR179" s="21">
        <f>EXP(-LN(2)/2)*BR178+(1-EXP(-LN(2)/2))/(LN(2)/2)*BL179*BO179*VLOOKUP('Données projet'!$B$11,Paramètres!$A$1:$I$89,3,0)*0.475*44/12</f>
        <v>2.0803304503822469E-16</v>
      </c>
      <c r="BS179" s="22">
        <f t="shared" si="169"/>
        <v>15.903475855080346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1.7053025658242404E-13</v>
      </c>
      <c r="BZ179" s="13">
        <f>BY179*VLOOKUP('Données projet'!$B$12,Paramètres!$A$1:$I$89,3,0)*VLOOKUP('Données projet'!$B$12,Paramètres!$A$1:$I$89,5,0)</f>
        <v>7.9808160080574461E-14</v>
      </c>
      <c r="CA179" s="13">
        <f t="shared" si="170"/>
        <v>1.2308384591775343E-12</v>
      </c>
      <c r="CB179" s="20">
        <f t="shared" si="171"/>
        <v>2.282709528541206E-12</v>
      </c>
      <c r="CC179" s="59">
        <f t="shared" si="119"/>
        <v>293.33333333333559</v>
      </c>
      <c r="CD179" s="59">
        <f ca="1">AVERAGE(OFFSET($CC$3,0,0,'Données projet'!$E$12+1,1))-AVERAGE(OFFSET($H$3,0,0,'Données projet'!$E$12+1,1))</f>
        <v>337.10499990421835</v>
      </c>
      <c r="CE179" s="59">
        <f t="shared" si="148"/>
        <v>277.4254079562175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59.659596791034858</v>
      </c>
      <c r="CL179" s="21">
        <f>EXP(-LN(2)/25)*CL178+(1-EXP(-LN(2)/25))/(LN(2)/25)*Calculateur!CG179*Calculateur!CI179*VLOOKUP('Données projet'!$B$12,Paramètres!$A$1:$I$89,3,0)*0.475*44/12</f>
        <v>12.897900457122303</v>
      </c>
      <c r="CM179" s="21">
        <f>EXP(-LN(2)/2)*CM178+(1-EXP(-LN(2)/2))/(LN(2)/2)*CG179*CJ179*VLOOKUP('Données projet'!$B$12,Paramètres!$A$1:$I$89,3,0)*0.475*44/12</f>
        <v>5.4636904674580103E-6</v>
      </c>
      <c r="CN179" s="22">
        <f t="shared" si="172"/>
        <v>72.557502711847633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7.688333333333337</v>
      </c>
      <c r="CT179" s="12">
        <f>IF('Données projet'!$A$140&gt;35,CT178+CS179-DB178,IF(A179&lt;'Données projet'!$A$140,$CQ$205^A179,IF(A179='Données projet'!$A$140,'Données projet'!$B$140,CT178+CS179-DB178)))</f>
        <v>425.78666666666635</v>
      </c>
      <c r="CU179" s="17">
        <f>CT179*VLOOKUP('Données projet'!$B$13,Paramètres!$A$1:$I$89,3,0)*VLOOKUP('Données projet'!$B$13,Paramètres!$A$1:$I$89,5,0)</f>
        <v>425.10540799999967</v>
      </c>
      <c r="CV179" s="13">
        <f t="shared" si="173"/>
        <v>96.848229798558563</v>
      </c>
      <c r="CW179" s="20">
        <f t="shared" si="174"/>
        <v>909.0692524991556</v>
      </c>
      <c r="CX179" s="59">
        <f t="shared" si="122"/>
        <v>1202.402585832489</v>
      </c>
      <c r="CY179" s="59">
        <f ca="1">AVERAGE(OFFSET($CX$3,0,0,'Données projet'!$E$13+1,1))-AVERAGE(OFFSET($H$3,0,0,'Données projet'!$E$13+1,1))</f>
        <v>525.74725170626471</v>
      </c>
      <c r="CZ179" s="59">
        <f t="shared" si="150"/>
        <v>259.19103598192197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42.330741278255019</v>
      </c>
      <c r="DG179" s="21">
        <f>EXP(-LN(2)/25)*DG178+(1-EXP(-LN(2)/25))/(LN(2)/25)*Calculateur!DB179*Calculateur!DD179*VLOOKUP('Données projet'!$B$13,Paramètres!$A$1:$I$89,3,0)*0.475*44/12</f>
        <v>18.333848610743399</v>
      </c>
      <c r="DH179" s="21">
        <f>EXP(-LN(2)/2)*DH178+(1-EXP(-LN(2)/2))/(LN(2)/2)*DB179*DE179*VLOOKUP('Données projet'!$B$13,Paramètres!$A$1:$I$89,3,0)*0.475*44/12</f>
        <v>8.8737080328307781E-5</v>
      </c>
      <c r="DI179" s="22">
        <f t="shared" si="175"/>
        <v>60.664678626078747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5.4001247917767614E-13</v>
      </c>
      <c r="DP179" s="17">
        <f>DO179*VLOOKUP('Données projet'!$B$14,Paramètres!$A$1:$I$89,3,0)*VLOOKUP('Données projet'!$B$14,Paramètres!$A$1:$I$89,5,0)</f>
        <v>4.8860329115996133E-13</v>
      </c>
      <c r="DQ179" s="13">
        <f t="shared" si="176"/>
        <v>6.1025862939685007E-12</v>
      </c>
      <c r="DR179" s="20">
        <f t="shared" si="177"/>
        <v>1.1479655194098737E-11</v>
      </c>
      <c r="DS179" s="59">
        <f t="shared" si="125"/>
        <v>293.3333333333448</v>
      </c>
      <c r="DT179" s="59">
        <f ca="1">AVERAGE(OFFSET($DS$3,0,0,'Données projet'!$E$14+1,1))-AVERAGE(OFFSET($H$3,0,0,'Données projet'!$E$14+1,1))</f>
        <v>490.06222615476065</v>
      </c>
      <c r="DU179" s="59">
        <f t="shared" si="152"/>
        <v>310.43914804089906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83.508464538643508</v>
      </c>
      <c r="EB179" s="21">
        <f>EXP(-LN(2)/25)*EB178+(1-EXP(-LN(2)/25))/(LN(2)/25)*Calculateur!DW179*Calculateur!DY179*VLOOKUP('Données projet'!$B$14,Paramètres!$A$1:$I$89,3,0)*0.475*44/12</f>
        <v>13.139567286500213</v>
      </c>
      <c r="EC179" s="21">
        <f>EXP(-LN(2)/2)*EC178+(1-EXP(-LN(2)/2))/(LN(2)/2)*DW179*DZ179*VLOOKUP('Données projet'!$B$14,Paramètres!$A$1:$I$89,3,0)*0.475*44/12</f>
        <v>3.7783787995915856E-2</v>
      </c>
      <c r="ED179" s="22">
        <f t="shared" si="178"/>
        <v>96.685815613139638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7.688333333333337</v>
      </c>
      <c r="EJ179" s="12">
        <f>IF('Données projet'!$A$192&gt;35,EJ178+EI179-ER178,IF(A179&lt;'Données projet'!$A$192,$EG$205^A179,IF(A179='Données projet'!$A$192,'Données projet'!$B$192,EJ178+EI179-ER178)))</f>
        <v>425.78666666666635</v>
      </c>
      <c r="EK179" s="17">
        <f>EJ179*VLOOKUP('Données projet'!$B$15,Paramètres!$A$1:$I$89,3,0)*VLOOKUP('Données projet'!$B$15,Paramètres!$A$1:$I$89,5,0)</f>
        <v>431.74767999999972</v>
      </c>
      <c r="EL179" s="13">
        <f t="shared" si="179"/>
        <v>98.184131748284557</v>
      </c>
      <c r="EM179" s="20">
        <f t="shared" si="180"/>
        <v>922.96457212826181</v>
      </c>
      <c r="EN179" s="59">
        <f t="shared" si="128"/>
        <v>1216.2979054615951</v>
      </c>
      <c r="EO179" s="59">
        <f ca="1">AVERAGE(OFFSET($EN$3,0,0,'Données projet'!$E$15+1,1))-AVERAGE(OFFSET($H$3,0,0,'Données projet'!$E$15+1,1))</f>
        <v>533.26035274112917</v>
      </c>
      <c r="EP179" s="59">
        <f t="shared" si="154"/>
        <v>262.58149402282521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42.992159110727762</v>
      </c>
      <c r="EW179" s="21">
        <f>EXP(-LN(2)/25)*EW178+(1-EXP(-LN(2)/25))/(LN(2)/25)*Calculateur!ER179*Calculateur!ET179*VLOOKUP('Données projet'!$B$15,Paramètres!$A$1:$I$89,3,0)*0.475*44/12</f>
        <v>18.620314995286261</v>
      </c>
      <c r="EX179" s="21">
        <f>EXP(-LN(2)/2)*EX178+(1-EXP(-LN(2)/2))/(LN(2)/2)*ER179*EU179*VLOOKUP('Données projet'!$B$15,Paramètres!$A$1:$I$89,3,0)*0.475*44/12</f>
        <v>9.0123597208437533E-5</v>
      </c>
      <c r="EY179" s="22">
        <f t="shared" si="181"/>
        <v>61.61256422961123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239.26156489359892</v>
      </c>
      <c r="FK179" s="59">
        <f t="shared" si="156"/>
        <v>213.97034450798111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1.9693144125823892</v>
      </c>
      <c r="FR179" s="21">
        <f>EXP(-LN(2)/25)*FR178+(1-EXP(-LN(2)/25))/(LN(2)/25)*Calculateur!FM179*Calculateur!FO179*VLOOKUP('Données projet'!$B$16,Paramètres!$A$1:$I$89,3,0)*0.475*44/12</f>
        <v>5.8844474355835255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7.8537618481659148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2.5579538487363607E-13</v>
      </c>
      <c r="O180" s="13">
        <f>N180*VLOOKUP('Données projet'!$B$9,Paramètres!$A$1:$I$89,3,0)*VLOOKUP('Données projet'!$B$9,Paramètres!$A$1:$I$89,5,0)</f>
        <v>2.4341488824575211E-13</v>
      </c>
      <c r="P180" s="13">
        <f t="shared" si="141"/>
        <v>3.2970717324875541E-12</v>
      </c>
      <c r="Q180" s="20">
        <f t="shared" si="162"/>
        <v>6.1663475311105072E-12</v>
      </c>
      <c r="R180" s="59">
        <f t="shared" si="109"/>
        <v>293.33333333333945</v>
      </c>
      <c r="S180" s="59">
        <f ca="1">AVERAGE(OFFSET($R$3,0,0,'Données projet'!$E$9+1,1))-AVERAGE(OFFSET($H$3,0,0,'Données projet'!$E$9+1,1))</f>
        <v>449.28947235329758</v>
      </c>
      <c r="T180" s="59">
        <f t="shared" si="142"/>
        <v>289.36994109443964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46.839434520472309</v>
      </c>
      <c r="AA180" s="21">
        <f>EXP(-LN(2)/25)*AA179+(1-EXP(-LN(2)/25))/(LN(2)/25)*Calculateur!V180*Calculateur!X180*VLOOKUP('Données projet'!$B$9,Paramètres!$A$1:$I$89,3,0)*0.475*44/12</f>
        <v>6.7265275194211913</v>
      </c>
      <c r="AB180" s="21">
        <f>EXP(-LN(2)/2)*AB179+(1-EXP(-LN(2)/2))/(LN(2)/2)*V180*Y180*VLOOKUP('Données projet'!$B$9,Paramètres!$A$1:$I$89,3,0)*0.475*44/12</f>
        <v>6.0366458857001211E-7</v>
      </c>
      <c r="AC180" s="22">
        <f t="shared" si="163"/>
        <v>53.565962643558088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-1.3596945791505279E-13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349.71285006949597</v>
      </c>
      <c r="AO180" s="59">
        <f t="shared" si="144"/>
        <v>258.51550516456842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22.447442028009036</v>
      </c>
      <c r="AV180" s="21">
        <f>EXP(-LN(2)/25)*AV179+(1-EXP(-LN(2)/25))/(LN(2)/25)*Calculateur!AQ180*Calculateur!AS180*VLOOKUP('Données projet'!$B$10,Paramètres!$A$1:$I$89,3,0)*0.475*44/12</f>
        <v>3.5145258648575477</v>
      </c>
      <c r="AW180" s="21">
        <f>EXP(-LN(2)/2)*AW179+(1-EXP(-LN(2)/2))/(LN(2)/2)*AQ180*AT180*VLOOKUP('Données projet'!$B$10,Paramètres!$A$1:$I$89,3,0)*0.475*44/12</f>
        <v>1.776506681049793E-13</v>
      </c>
      <c r="AX180" s="21">
        <f t="shared" si="166"/>
        <v>25.96196789286676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1.1368683772161603E-13</v>
      </c>
      <c r="BE180" s="13">
        <f>BD180*VLOOKUP('Données projet'!$B$11,Paramètres!$A$1:$I$89,3,0)*VLOOKUP('Données projet'!$B$11,Paramètres!$A$1:$I$89,5,0)</f>
        <v>6.7984728957526396E-14</v>
      </c>
      <c r="BF180" s="13">
        <f t="shared" si="167"/>
        <v>1.0682447123141398E-12</v>
      </c>
      <c r="BG180" s="20">
        <f t="shared" si="168"/>
        <v>1.978932943548152E-12</v>
      </c>
      <c r="BH180" s="59">
        <f t="shared" si="116"/>
        <v>293.3333333333353</v>
      </c>
      <c r="BI180" s="59">
        <f ca="1">AVERAGE(OFFSET($BH$3,0,0,'Données projet'!$E$11+1,1))-AVERAGE(OFFSET($H$3,0,0,'Données projet'!$E$11+1,1))</f>
        <v>302.00825291248458</v>
      </c>
      <c r="BJ180" s="59">
        <f t="shared" si="146"/>
        <v>307.35115839449355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13.686908930056463</v>
      </c>
      <c r="BQ180" s="21">
        <f>EXP(-LN(2)/25)*BQ179+(1-EXP(-LN(2)/25))/(LN(2)/25)*Calculateur!BL180*Calculateur!BN180*VLOOKUP('Données projet'!$B$11,Paramètres!$A$1:$I$89,3,0)*0.475*44/12</f>
        <v>1.8896805665383747</v>
      </c>
      <c r="BR180" s="21">
        <f>EXP(-LN(2)/2)*BR179+(1-EXP(-LN(2)/2))/(LN(2)/2)*BL180*BO180*VLOOKUP('Données projet'!$B$11,Paramètres!$A$1:$I$89,3,0)*0.475*44/12</f>
        <v>1.4710157685741513E-16</v>
      </c>
      <c r="BS180" s="22">
        <f t="shared" si="169"/>
        <v>15.576589496594838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1.7053025658242404E-13</v>
      </c>
      <c r="BZ180" s="13">
        <f>BY180*VLOOKUP('Données projet'!$B$12,Paramètres!$A$1:$I$89,3,0)*VLOOKUP('Données projet'!$B$12,Paramètres!$A$1:$I$89,5,0)</f>
        <v>7.9808160080574461E-14</v>
      </c>
      <c r="CA180" s="13">
        <f t="shared" si="170"/>
        <v>1.2308384591775343E-12</v>
      </c>
      <c r="CB180" s="20">
        <f t="shared" si="171"/>
        <v>2.282709528541206E-12</v>
      </c>
      <c r="CC180" s="59">
        <f t="shared" si="119"/>
        <v>293.33333333333559</v>
      </c>
      <c r="CD180" s="59">
        <f ca="1">AVERAGE(OFFSET($CC$3,0,0,'Données projet'!$E$12+1,1))-AVERAGE(OFFSET($H$3,0,0,'Données projet'!$E$12+1,1))</f>
        <v>337.10499990421835</v>
      </c>
      <c r="CE180" s="59">
        <f t="shared" si="148"/>
        <v>277.4254079562175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58.489708486723615</v>
      </c>
      <c r="CL180" s="21">
        <f>EXP(-LN(2)/25)*CL179+(1-EXP(-LN(2)/25))/(LN(2)/25)*Calculateur!CG180*Calculateur!CI180*VLOOKUP('Données projet'!$B$12,Paramètres!$A$1:$I$89,3,0)*0.475*44/12</f>
        <v>12.545206690851186</v>
      </c>
      <c r="CM180" s="21">
        <f>EXP(-LN(2)/2)*CM179+(1-EXP(-LN(2)/2))/(LN(2)/2)*CG180*CJ180*VLOOKUP('Données projet'!$B$12,Paramètres!$A$1:$I$89,3,0)*0.475*44/12</f>
        <v>3.8634125798438567E-6</v>
      </c>
      <c r="CN180" s="22">
        <f t="shared" si="172"/>
        <v>71.034919040987376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7.688333333333337</v>
      </c>
      <c r="CT180" s="12">
        <f>IF('Données projet'!$A$140&gt;35,CT179+CS180-DB179,IF(A180&lt;'Données projet'!$A$140,$CQ$205^A180,IF(A180='Données projet'!$A$140,'Données projet'!$B$140,CT179+CS180-DB179)))</f>
        <v>433.47499999999968</v>
      </c>
      <c r="CU180" s="17">
        <f>CT180*VLOOKUP('Données projet'!$B$13,Paramètres!$A$1:$I$89,3,0)*VLOOKUP('Données projet'!$B$13,Paramètres!$A$1:$I$89,5,0)</f>
        <v>432.78143999999969</v>
      </c>
      <c r="CV180" s="13">
        <f t="shared" si="173"/>
        <v>98.391826849028249</v>
      </c>
      <c r="CW180" s="20">
        <f t="shared" si="174"/>
        <v>925.12677309539038</v>
      </c>
      <c r="CX180" s="59">
        <f t="shared" si="122"/>
        <v>1218.4601064287237</v>
      </c>
      <c r="CY180" s="59">
        <f ca="1">AVERAGE(OFFSET($CX$3,0,0,'Données projet'!$E$13+1,1))-AVERAGE(OFFSET($H$3,0,0,'Données projet'!$E$13+1,1))</f>
        <v>525.74725170626471</v>
      </c>
      <c r="CZ180" s="59">
        <f t="shared" si="150"/>
        <v>259.19103598192197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41.50066126099118</v>
      </c>
      <c r="DG180" s="21">
        <f>EXP(-LN(2)/25)*DG179+(1-EXP(-LN(2)/25))/(LN(2)/25)*Calculateur!DB180*Calculateur!DD180*VLOOKUP('Données projet'!$B$13,Paramètres!$A$1:$I$89,3,0)*0.475*44/12</f>
        <v>17.832508556347424</v>
      </c>
      <c r="DH180" s="21">
        <f>EXP(-LN(2)/2)*DH179+(1-EXP(-LN(2)/2))/(LN(2)/2)*DB180*DE180*VLOOKUP('Données projet'!$B$13,Paramètres!$A$1:$I$89,3,0)*0.475*44/12</f>
        <v>6.274659124284182E-5</v>
      </c>
      <c r="DI180" s="22">
        <f t="shared" si="175"/>
        <v>59.33323256392984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5.4001247917767614E-13</v>
      </c>
      <c r="DP180" s="17">
        <f>DO180*VLOOKUP('Données projet'!$B$14,Paramètres!$A$1:$I$89,3,0)*VLOOKUP('Données projet'!$B$14,Paramètres!$A$1:$I$89,5,0)</f>
        <v>4.8860329115996133E-13</v>
      </c>
      <c r="DQ180" s="13">
        <f t="shared" si="176"/>
        <v>6.1025862939685007E-12</v>
      </c>
      <c r="DR180" s="20">
        <f t="shared" si="177"/>
        <v>1.1479655194098737E-11</v>
      </c>
      <c r="DS180" s="59">
        <f t="shared" si="125"/>
        <v>293.3333333333448</v>
      </c>
      <c r="DT180" s="59">
        <f ca="1">AVERAGE(OFFSET($DS$3,0,0,'Données projet'!$E$14+1,1))-AVERAGE(OFFSET($H$3,0,0,'Données projet'!$E$14+1,1))</f>
        <v>490.06222615476065</v>
      </c>
      <c r="DU180" s="59">
        <f t="shared" si="152"/>
        <v>310.43914804089906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81.870914484174648</v>
      </c>
      <c r="EB180" s="21">
        <f>EXP(-LN(2)/25)*EB179+(1-EXP(-LN(2)/25))/(LN(2)/25)*Calculateur!DW180*Calculateur!DY180*VLOOKUP('Données projet'!$B$14,Paramètres!$A$1:$I$89,3,0)*0.475*44/12</f>
        <v>12.780265128071052</v>
      </c>
      <c r="EC180" s="21">
        <f>EXP(-LN(2)/2)*EC179+(1-EXP(-LN(2)/2))/(LN(2)/2)*DW180*DZ180*VLOOKUP('Données projet'!$B$14,Paramètres!$A$1:$I$89,3,0)*0.475*44/12</f>
        <v>2.6717172710826975E-2</v>
      </c>
      <c r="ED180" s="22">
        <f t="shared" si="178"/>
        <v>94.67789678495653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7.688333333333337</v>
      </c>
      <c r="EJ180" s="12">
        <f>IF('Données projet'!$A$192&gt;35,EJ179+EI180-ER179,IF(A180&lt;'Données projet'!$A$192,$EG$205^A180,IF(A180='Données projet'!$A$192,'Données projet'!$B$192,EJ179+EI180-ER179)))</f>
        <v>433.47499999999968</v>
      </c>
      <c r="EK180" s="17">
        <f>EJ180*VLOOKUP('Données projet'!$B$15,Paramètres!$A$1:$I$89,3,0)*VLOOKUP('Données projet'!$B$15,Paramètres!$A$1:$I$89,5,0)</f>
        <v>439.54364999999967</v>
      </c>
      <c r="EL180" s="13">
        <f t="shared" si="179"/>
        <v>99.749020817344601</v>
      </c>
      <c r="EM180" s="20">
        <f t="shared" si="180"/>
        <v>939.26806834020806</v>
      </c>
      <c r="EN180" s="59">
        <f t="shared" si="128"/>
        <v>1232.6014016735414</v>
      </c>
      <c r="EO180" s="59">
        <f ca="1">AVERAGE(OFFSET($EN$3,0,0,'Données projet'!$E$15+1,1))-AVERAGE(OFFSET($H$3,0,0,'Données projet'!$E$15+1,1))</f>
        <v>533.26035274112917</v>
      </c>
      <c r="EP180" s="59">
        <f t="shared" si="154"/>
        <v>262.58149402282521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42.149109093194177</v>
      </c>
      <c r="EW180" s="21">
        <f>EXP(-LN(2)/25)*EW179+(1-EXP(-LN(2)/25))/(LN(2)/25)*Calculateur!ER180*Calculateur!ET180*VLOOKUP('Données projet'!$B$15,Paramètres!$A$1:$I$89,3,0)*0.475*44/12</f>
        <v>18.111141502540349</v>
      </c>
      <c r="EX180" s="21">
        <f>EXP(-LN(2)/2)*EX179+(1-EXP(-LN(2)/2))/(LN(2)/2)*ER180*EU180*VLOOKUP('Données projet'!$B$15,Paramètres!$A$1:$I$89,3,0)*0.475*44/12</f>
        <v>6.3727006731011183E-5</v>
      </c>
      <c r="EY180" s="22">
        <f t="shared" si="181"/>
        <v>60.260314322741259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239.26156489359892</v>
      </c>
      <c r="FK180" s="59">
        <f t="shared" si="156"/>
        <v>213.97034450798111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1.9306973581148352</v>
      </c>
      <c r="FR180" s="21">
        <f>EXP(-LN(2)/25)*FR179+(1-EXP(-LN(2)/25))/(LN(2)/25)*Calculateur!FM180*Calculateur!FO180*VLOOKUP('Données projet'!$B$16,Paramètres!$A$1:$I$89,3,0)*0.475*44/12</f>
        <v>5.7235369110078524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7.6542342691226875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2.5579538487363607E-13</v>
      </c>
      <c r="O181" s="13">
        <f>N181*VLOOKUP('Données projet'!$B$9,Paramètres!$A$1:$I$89,3,0)*VLOOKUP('Données projet'!$B$9,Paramètres!$A$1:$I$89,5,0)</f>
        <v>2.4341488824575211E-13</v>
      </c>
      <c r="P181" s="13">
        <f t="shared" si="141"/>
        <v>3.2970717324875541E-12</v>
      </c>
      <c r="Q181" s="20">
        <f t="shared" si="162"/>
        <v>6.1663475311105072E-12</v>
      </c>
      <c r="R181" s="59">
        <f t="shared" si="109"/>
        <v>293.33333333333945</v>
      </c>
      <c r="S181" s="59">
        <f ca="1">AVERAGE(OFFSET($R$3,0,0,'Données projet'!$E$9+1,1))-AVERAGE(OFFSET($H$3,0,0,'Données projet'!$E$9+1,1))</f>
        <v>449.28947235329758</v>
      </c>
      <c r="T181" s="59">
        <f t="shared" si="142"/>
        <v>289.36994109443964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45.920941778759925</v>
      </c>
      <c r="AA181" s="21">
        <f>EXP(-LN(2)/25)*AA180+(1-EXP(-LN(2)/25))/(LN(2)/25)*Calculateur!V181*Calculateur!X181*VLOOKUP('Données projet'!$B$9,Paramètres!$A$1:$I$89,3,0)*0.475*44/12</f>
        <v>6.5425902706699102</v>
      </c>
      <c r="AB181" s="21">
        <f>EXP(-LN(2)/2)*AB180+(1-EXP(-LN(2)/2))/(LN(2)/2)*V181*Y181*VLOOKUP('Données projet'!$B$9,Paramètres!$A$1:$I$89,3,0)*0.475*44/12</f>
        <v>4.2685532414004279E-7</v>
      </c>
      <c r="AC181" s="22">
        <f t="shared" si="163"/>
        <v>52.46353247628516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-1.3596945791505279E-13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349.71285006949597</v>
      </c>
      <c r="AO181" s="59">
        <f t="shared" si="144"/>
        <v>258.51550516456842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22.007261381427483</v>
      </c>
      <c r="AV181" s="21">
        <f>EXP(-LN(2)/25)*AV180+(1-EXP(-LN(2)/25))/(LN(2)/25)*Calculateur!AQ181*Calculateur!AS181*VLOOKUP('Données projet'!$B$10,Paramètres!$A$1:$I$89,3,0)*0.475*44/12</f>
        <v>3.4184209702621353</v>
      </c>
      <c r="AW181" s="21">
        <f>EXP(-LN(2)/2)*AW180+(1-EXP(-LN(2)/2))/(LN(2)/2)*AQ181*AT181*VLOOKUP('Données projet'!$B$10,Paramètres!$A$1:$I$89,3,0)*0.475*44/12</f>
        <v>1.2561799209935157E-13</v>
      </c>
      <c r="AX181" s="21">
        <f t="shared" si="166"/>
        <v>25.425682351689744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1.1368683772161603E-13</v>
      </c>
      <c r="BE181" s="13">
        <f>BD181*VLOOKUP('Données projet'!$B$11,Paramètres!$A$1:$I$89,3,0)*VLOOKUP('Données projet'!$B$11,Paramètres!$A$1:$I$89,5,0)</f>
        <v>6.7984728957526396E-14</v>
      </c>
      <c r="BF181" s="13">
        <f t="shared" si="167"/>
        <v>1.0682447123141398E-12</v>
      </c>
      <c r="BG181" s="20">
        <f t="shared" si="168"/>
        <v>1.978932943548152E-12</v>
      </c>
      <c r="BH181" s="59">
        <f t="shared" si="116"/>
        <v>293.3333333333353</v>
      </c>
      <c r="BI181" s="59">
        <f ca="1">AVERAGE(OFFSET($BH$3,0,0,'Données projet'!$E$11+1,1))-AVERAGE(OFFSET($H$3,0,0,'Données projet'!$E$11+1,1))</f>
        <v>302.00825291248458</v>
      </c>
      <c r="BJ181" s="59">
        <f t="shared" si="146"/>
        <v>307.35115839449355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13.418516994128188</v>
      </c>
      <c r="BQ181" s="21">
        <f>EXP(-LN(2)/25)*BQ180+(1-EXP(-LN(2)/25))/(LN(2)/25)*Calculateur!BL181*Calculateur!BN181*VLOOKUP('Données projet'!$B$11,Paramètres!$A$1:$I$89,3,0)*0.475*44/12</f>
        <v>1.8380071520724008</v>
      </c>
      <c r="BR181" s="21">
        <f>EXP(-LN(2)/2)*BR180+(1-EXP(-LN(2)/2))/(LN(2)/2)*BL181*BO181*VLOOKUP('Données projet'!$B$11,Paramètres!$A$1:$I$89,3,0)*0.475*44/12</f>
        <v>1.0401652251911235E-16</v>
      </c>
      <c r="BS181" s="22">
        <f t="shared" si="169"/>
        <v>15.256524146200588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1.7053025658242404E-13</v>
      </c>
      <c r="BZ181" s="13">
        <f>BY181*VLOOKUP('Données projet'!$B$12,Paramètres!$A$1:$I$89,3,0)*VLOOKUP('Données projet'!$B$12,Paramètres!$A$1:$I$89,5,0)</f>
        <v>7.9808160080574461E-14</v>
      </c>
      <c r="CA181" s="13">
        <f t="shared" si="170"/>
        <v>1.2308384591775343E-12</v>
      </c>
      <c r="CB181" s="20">
        <f t="shared" si="171"/>
        <v>2.282709528541206E-12</v>
      </c>
      <c r="CC181" s="59">
        <f t="shared" si="119"/>
        <v>293.33333333333559</v>
      </c>
      <c r="CD181" s="59">
        <f ca="1">AVERAGE(OFFSET($CC$3,0,0,'Données projet'!$E$12+1,1))-AVERAGE(OFFSET($H$3,0,0,'Données projet'!$E$12+1,1))</f>
        <v>337.10499990421835</v>
      </c>
      <c r="CE181" s="59">
        <f t="shared" si="148"/>
        <v>277.4254079562175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57.342760978498511</v>
      </c>
      <c r="CL181" s="21">
        <f>EXP(-LN(2)/25)*CL180+(1-EXP(-LN(2)/25))/(LN(2)/25)*Calculateur!CG181*Calculateur!CI181*VLOOKUP('Données projet'!$B$12,Paramètres!$A$1:$I$89,3,0)*0.475*44/12</f>
        <v>12.202157354166113</v>
      </c>
      <c r="CM181" s="21">
        <f>EXP(-LN(2)/2)*CM180+(1-EXP(-LN(2)/2))/(LN(2)/2)*CG181*CJ181*VLOOKUP('Données projet'!$B$12,Paramètres!$A$1:$I$89,3,0)*0.475*44/12</f>
        <v>2.7318452337290052E-6</v>
      </c>
      <c r="CN181" s="22">
        <f t="shared" si="172"/>
        <v>69.54492106450985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7.688333333333337</v>
      </c>
      <c r="CT181" s="12">
        <f>IF('Données projet'!$A$140&gt;35,CT180+CS181-DB180,IF(A181&lt;'Données projet'!$A$140,$CQ$205^A181,IF(A181='Données projet'!$A$140,'Données projet'!$B$140,CT180+CS181-DB180)))</f>
        <v>441.16333333333301</v>
      </c>
      <c r="CU181" s="17">
        <f>CT181*VLOOKUP('Données projet'!$B$13,Paramètres!$A$1:$I$89,3,0)*VLOOKUP('Données projet'!$B$13,Paramètres!$A$1:$I$89,5,0)</f>
        <v>440.45747199999965</v>
      </c>
      <c r="CV181" s="13">
        <f t="shared" si="173"/>
        <v>99.932240208475946</v>
      </c>
      <c r="CW181" s="20">
        <f t="shared" si="174"/>
        <v>941.17874876309509</v>
      </c>
      <c r="CX181" s="59">
        <f t="shared" si="122"/>
        <v>1234.5120820964285</v>
      </c>
      <c r="CY181" s="59">
        <f ca="1">AVERAGE(OFFSET($CX$3,0,0,'Données projet'!$E$13+1,1))-AVERAGE(OFFSET($H$3,0,0,'Données projet'!$E$13+1,1))</f>
        <v>525.74725170626471</v>
      </c>
      <c r="CZ181" s="59">
        <f t="shared" si="150"/>
        <v>259.19103598192197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40.686858606567071</v>
      </c>
      <c r="DG181" s="21">
        <f>EXP(-LN(2)/25)*DG180+(1-EXP(-LN(2)/25))/(LN(2)/25)*Calculateur!DB181*Calculateur!DD181*VLOOKUP('Données projet'!$B$13,Paramètres!$A$1:$I$89,3,0)*0.475*44/12</f>
        <v>17.344877672103234</v>
      </c>
      <c r="DH181" s="21">
        <f>EXP(-LN(2)/2)*DH180+(1-EXP(-LN(2)/2))/(LN(2)/2)*DB181*DE181*VLOOKUP('Données projet'!$B$13,Paramètres!$A$1:$I$89,3,0)*0.475*44/12</f>
        <v>4.4368540164153891E-5</v>
      </c>
      <c r="DI181" s="22">
        <f t="shared" si="175"/>
        <v>58.031780647210475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5.4001247917767614E-13</v>
      </c>
      <c r="DP181" s="17">
        <f>DO181*VLOOKUP('Données projet'!$B$14,Paramètres!$A$1:$I$89,3,0)*VLOOKUP('Données projet'!$B$14,Paramètres!$A$1:$I$89,5,0)</f>
        <v>4.8860329115996133E-13</v>
      </c>
      <c r="DQ181" s="13">
        <f t="shared" si="176"/>
        <v>6.1025862939685007E-12</v>
      </c>
      <c r="DR181" s="20">
        <f t="shared" si="177"/>
        <v>1.1479655194098737E-11</v>
      </c>
      <c r="DS181" s="59">
        <f t="shared" si="125"/>
        <v>293.3333333333448</v>
      </c>
      <c r="DT181" s="59">
        <f ca="1">AVERAGE(OFFSET($DS$3,0,0,'Données projet'!$E$14+1,1))-AVERAGE(OFFSET($H$3,0,0,'Données projet'!$E$14+1,1))</f>
        <v>490.06222615476065</v>
      </c>
      <c r="DU181" s="59">
        <f t="shared" si="152"/>
        <v>310.43914804089906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80.265475787467011</v>
      </c>
      <c r="EB181" s="21">
        <f>EXP(-LN(2)/25)*EB180+(1-EXP(-LN(2)/25))/(LN(2)/25)*Calculateur!DW181*Calculateur!DY181*VLOOKUP('Données projet'!$B$14,Paramètres!$A$1:$I$89,3,0)*0.475*44/12</f>
        <v>12.430788106059016</v>
      </c>
      <c r="EC181" s="21">
        <f>EXP(-LN(2)/2)*EC180+(1-EXP(-LN(2)/2))/(LN(2)/2)*DW181*DZ181*VLOOKUP('Données projet'!$B$14,Paramètres!$A$1:$I$89,3,0)*0.475*44/12</f>
        <v>1.8891893997957928E-2</v>
      </c>
      <c r="ED181" s="22">
        <f t="shared" si="178"/>
        <v>92.715155787523983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7.688333333333337</v>
      </c>
      <c r="EJ181" s="12">
        <f>IF('Données projet'!$A$192&gt;35,EJ180+EI181-ER180,IF(A181&lt;'Données projet'!$A$192,$EG$205^A181,IF(A181='Données projet'!$A$192,'Données projet'!$B$192,EJ180+EI181-ER180)))</f>
        <v>441.16333333333301</v>
      </c>
      <c r="EK181" s="17">
        <f>EJ181*VLOOKUP('Données projet'!$B$15,Paramètres!$A$1:$I$89,3,0)*VLOOKUP('Données projet'!$B$15,Paramètres!$A$1:$I$89,5,0)</f>
        <v>447.33961999999968</v>
      </c>
      <c r="EL181" s="13">
        <f t="shared" si="179"/>
        <v>101.31068228028938</v>
      </c>
      <c r="EM181" s="20">
        <f t="shared" si="180"/>
        <v>955.56594313817016</v>
      </c>
      <c r="EN181" s="59">
        <f t="shared" si="128"/>
        <v>1248.8992764715035</v>
      </c>
      <c r="EO181" s="59">
        <f ca="1">AVERAGE(OFFSET($EN$3,0,0,'Données projet'!$E$15+1,1))-AVERAGE(OFFSET($H$3,0,0,'Données projet'!$E$15+1,1))</f>
        <v>533.26035274112917</v>
      </c>
      <c r="EP181" s="59">
        <f t="shared" si="154"/>
        <v>262.58149402282521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41.322590772294689</v>
      </c>
      <c r="EW181" s="21">
        <f>EXP(-LN(2)/25)*EW180+(1-EXP(-LN(2)/25))/(LN(2)/25)*Calculateur!ER181*Calculateur!ET181*VLOOKUP('Données projet'!$B$15,Paramètres!$A$1:$I$89,3,0)*0.475*44/12</f>
        <v>17.615891385729846</v>
      </c>
      <c r="EX181" s="21">
        <f>EXP(-LN(2)/2)*EX180+(1-EXP(-LN(2)/2))/(LN(2)/2)*ER181*EU181*VLOOKUP('Données projet'!$B$15,Paramètres!$A$1:$I$89,3,0)*0.475*44/12</f>
        <v>4.5061798604218766E-5</v>
      </c>
      <c r="EY181" s="22">
        <f t="shared" si="181"/>
        <v>58.938527219823136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239.26156489359892</v>
      </c>
      <c r="FK181" s="59">
        <f t="shared" si="156"/>
        <v>213.97034450798111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1.8928375605313126</v>
      </c>
      <c r="FR181" s="21">
        <f>EXP(-LN(2)/25)*FR180+(1-EXP(-LN(2)/25))/(LN(2)/25)*Calculateur!FM181*Calculateur!FO181*VLOOKUP('Données projet'!$B$16,Paramètres!$A$1:$I$89,3,0)*0.475*44/12</f>
        <v>5.5670264931886182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7.4598640537199312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2.5579538487363607E-13</v>
      </c>
      <c r="O182" s="13">
        <f>N182*VLOOKUP('Données projet'!$B$9,Paramètres!$A$1:$I$89,3,0)*VLOOKUP('Données projet'!$B$9,Paramètres!$A$1:$I$89,5,0)</f>
        <v>2.4341488824575211E-13</v>
      </c>
      <c r="P182" s="13">
        <f t="shared" si="141"/>
        <v>3.2970717324875541E-12</v>
      </c>
      <c r="Q182" s="20">
        <f t="shared" si="162"/>
        <v>6.1663475311105072E-12</v>
      </c>
      <c r="R182" s="59">
        <f t="shared" si="109"/>
        <v>293.33333333333945</v>
      </c>
      <c r="S182" s="59">
        <f ca="1">AVERAGE(OFFSET($R$3,0,0,'Données projet'!$E$9+1,1))-AVERAGE(OFFSET($H$3,0,0,'Données projet'!$E$9+1,1))</f>
        <v>449.28947235329758</v>
      </c>
      <c r="T182" s="59">
        <f t="shared" si="142"/>
        <v>289.36994109443964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45.020460119487268</v>
      </c>
      <c r="AA182" s="21">
        <f>EXP(-LN(2)/25)*AA181+(1-EXP(-LN(2)/25))/(LN(2)/25)*Calculateur!V182*Calculateur!X182*VLOOKUP('Données projet'!$B$9,Paramètres!$A$1:$I$89,3,0)*0.475*44/12</f>
        <v>6.3636827956585726</v>
      </c>
      <c r="AB182" s="21">
        <f>EXP(-LN(2)/2)*AB181+(1-EXP(-LN(2)/2))/(LN(2)/2)*V182*Y182*VLOOKUP('Données projet'!$B$9,Paramètres!$A$1:$I$89,3,0)*0.475*44/12</f>
        <v>3.0183229428500605E-7</v>
      </c>
      <c r="AC182" s="22">
        <f t="shared" si="163"/>
        <v>51.384143216978138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-1.3596945791505279E-13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349.71285006949597</v>
      </c>
      <c r="AO182" s="59">
        <f t="shared" si="144"/>
        <v>258.51550516456842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21.57571240884171</v>
      </c>
      <c r="AV182" s="21">
        <f>EXP(-LN(2)/25)*AV181+(1-EXP(-LN(2)/25))/(LN(2)/25)*Calculateur!AQ182*Calculateur!AS182*VLOOKUP('Données projet'!$B$10,Paramètres!$A$1:$I$89,3,0)*0.475*44/12</f>
        <v>3.3249440690633714</v>
      </c>
      <c r="AW182" s="21">
        <f>EXP(-LN(2)/2)*AW181+(1-EXP(-LN(2)/2))/(LN(2)/2)*AQ182*AT182*VLOOKUP('Données projet'!$B$10,Paramètres!$A$1:$I$89,3,0)*0.475*44/12</f>
        <v>8.8825334052489649E-14</v>
      </c>
      <c r="AX182" s="21">
        <f t="shared" si="166"/>
        <v>24.900656477905169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1.1368683772161603E-13</v>
      </c>
      <c r="BE182" s="13">
        <f>BD182*VLOOKUP('Données projet'!$B$11,Paramètres!$A$1:$I$89,3,0)*VLOOKUP('Données projet'!$B$11,Paramètres!$A$1:$I$89,5,0)</f>
        <v>6.7984728957526396E-14</v>
      </c>
      <c r="BF182" s="13">
        <f t="shared" si="167"/>
        <v>1.0682447123141398E-12</v>
      </c>
      <c r="BG182" s="20">
        <f t="shared" si="168"/>
        <v>1.978932943548152E-12</v>
      </c>
      <c r="BH182" s="59">
        <f t="shared" si="116"/>
        <v>293.3333333333353</v>
      </c>
      <c r="BI182" s="59">
        <f ca="1">AVERAGE(OFFSET($BH$3,0,0,'Données projet'!$E$11+1,1))-AVERAGE(OFFSET($H$3,0,0,'Données projet'!$E$11+1,1))</f>
        <v>302.00825291248458</v>
      </c>
      <c r="BJ182" s="59">
        <f t="shared" si="146"/>
        <v>307.35115839449355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13.155388060360551</v>
      </c>
      <c r="BQ182" s="21">
        <f>EXP(-LN(2)/25)*BQ181+(1-EXP(-LN(2)/25))/(LN(2)/25)*Calculateur!BL182*Calculateur!BN182*VLOOKUP('Données projet'!$B$11,Paramètres!$A$1:$I$89,3,0)*0.475*44/12</f>
        <v>1.7877467498423858</v>
      </c>
      <c r="BR182" s="21">
        <f>EXP(-LN(2)/2)*BR181+(1-EXP(-LN(2)/2))/(LN(2)/2)*BL182*BO182*VLOOKUP('Données projet'!$B$11,Paramètres!$A$1:$I$89,3,0)*0.475*44/12</f>
        <v>7.3550788428707566E-17</v>
      </c>
      <c r="BS182" s="22">
        <f t="shared" si="169"/>
        <v>14.943134810202936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1.7053025658242404E-13</v>
      </c>
      <c r="BZ182" s="13">
        <f>BY182*VLOOKUP('Données projet'!$B$12,Paramètres!$A$1:$I$89,3,0)*VLOOKUP('Données projet'!$B$12,Paramètres!$A$1:$I$89,5,0)</f>
        <v>7.9808160080574461E-14</v>
      </c>
      <c r="CA182" s="13">
        <f t="shared" si="170"/>
        <v>1.2308384591775343E-12</v>
      </c>
      <c r="CB182" s="20">
        <f t="shared" si="171"/>
        <v>2.282709528541206E-12</v>
      </c>
      <c r="CC182" s="59">
        <f t="shared" si="119"/>
        <v>293.33333333333559</v>
      </c>
      <c r="CD182" s="59">
        <f ca="1">AVERAGE(OFFSET($CC$3,0,0,'Données projet'!$E$12+1,1))-AVERAGE(OFFSET($H$3,0,0,'Données projet'!$E$12+1,1))</f>
        <v>337.10499990421835</v>
      </c>
      <c r="CE182" s="59">
        <f t="shared" si="148"/>
        <v>277.4254079562175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56.218304411340796</v>
      </c>
      <c r="CL182" s="21">
        <f>EXP(-LN(2)/25)*CL181+(1-EXP(-LN(2)/25))/(LN(2)/25)*Calculateur!CG182*Calculateur!CI182*VLOOKUP('Données projet'!$B$12,Paramètres!$A$1:$I$89,3,0)*0.475*44/12</f>
        <v>11.868488719632873</v>
      </c>
      <c r="CM182" s="21">
        <f>EXP(-LN(2)/2)*CM181+(1-EXP(-LN(2)/2))/(LN(2)/2)*CG182*CJ182*VLOOKUP('Données projet'!$B$12,Paramètres!$A$1:$I$89,3,0)*0.475*44/12</f>
        <v>1.9317062899219284E-6</v>
      </c>
      <c r="CN182" s="22">
        <f t="shared" si="172"/>
        <v>68.086795062679968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7.688333333333337</v>
      </c>
      <c r="CT182" s="12">
        <f>IF('Données projet'!$A$140&gt;35,CT181+CS182-DB181,IF(A182&lt;'Données projet'!$A$140,$CQ$205^A182,IF(A182='Données projet'!$A$140,'Données projet'!$B$140,CT181+CS182-DB181)))</f>
        <v>448.85166666666635</v>
      </c>
      <c r="CU182" s="17">
        <f>CT182*VLOOKUP('Données projet'!$B$13,Paramètres!$A$1:$I$89,3,0)*VLOOKUP('Données projet'!$B$13,Paramètres!$A$1:$I$89,5,0)</f>
        <v>448.13350399999973</v>
      </c>
      <c r="CV182" s="13">
        <f t="shared" si="173"/>
        <v>101.46953176219213</v>
      </c>
      <c r="CW182" s="20">
        <f t="shared" si="174"/>
        <v>957.22528728581744</v>
      </c>
      <c r="CX182" s="59">
        <f t="shared" si="122"/>
        <v>1250.5586206191508</v>
      </c>
      <c r="CY182" s="59">
        <f ca="1">AVERAGE(OFFSET($CX$3,0,0,'Données projet'!$E$13+1,1))-AVERAGE(OFFSET($H$3,0,0,'Données projet'!$E$13+1,1))</f>
        <v>525.74725170626471</v>
      </c>
      <c r="CZ182" s="59">
        <f t="shared" si="150"/>
        <v>259.19103598192197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39.889014125825611</v>
      </c>
      <c r="DG182" s="21">
        <f>EXP(-LN(2)/25)*DG181+(1-EXP(-LN(2)/25))/(LN(2)/25)*Calculateur!DB182*Calculateur!DD182*VLOOKUP('Données projet'!$B$13,Paramètres!$A$1:$I$89,3,0)*0.475*44/12</f>
        <v>16.870581080032096</v>
      </c>
      <c r="DH182" s="21">
        <f>EXP(-LN(2)/2)*DH181+(1-EXP(-LN(2)/2))/(LN(2)/2)*DB182*DE182*VLOOKUP('Données projet'!$B$13,Paramètres!$A$1:$I$89,3,0)*0.475*44/12</f>
        <v>3.137329562142091E-5</v>
      </c>
      <c r="DI182" s="22">
        <f t="shared" si="175"/>
        <v>56.759626579153327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5.4001247917767614E-13</v>
      </c>
      <c r="DP182" s="17">
        <f>DO182*VLOOKUP('Données projet'!$B$14,Paramètres!$A$1:$I$89,3,0)*VLOOKUP('Données projet'!$B$14,Paramètres!$A$1:$I$89,5,0)</f>
        <v>4.8860329115996133E-13</v>
      </c>
      <c r="DQ182" s="13">
        <f t="shared" si="176"/>
        <v>6.1025862939685007E-12</v>
      </c>
      <c r="DR182" s="20">
        <f t="shared" si="177"/>
        <v>1.1479655194098737E-11</v>
      </c>
      <c r="DS182" s="59">
        <f t="shared" si="125"/>
        <v>293.3333333333448</v>
      </c>
      <c r="DT182" s="59">
        <f ca="1">AVERAGE(OFFSET($DS$3,0,0,'Données projet'!$E$14+1,1))-AVERAGE(OFFSET($H$3,0,0,'Données projet'!$E$14+1,1))</f>
        <v>490.06222615476065</v>
      </c>
      <c r="DU182" s="59">
        <f t="shared" si="152"/>
        <v>310.43914804089906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78.691518764380902</v>
      </c>
      <c r="EB182" s="21">
        <f>EXP(-LN(2)/25)*EB181+(1-EXP(-LN(2)/25))/(LN(2)/25)*Calculateur!DW182*Calculateur!DY182*VLOOKUP('Données projet'!$B$14,Paramètres!$A$1:$I$89,3,0)*0.475*44/12</f>
        <v>12.090867551592096</v>
      </c>
      <c r="EC182" s="21">
        <f>EXP(-LN(2)/2)*EC181+(1-EXP(-LN(2)/2))/(LN(2)/2)*DW182*DZ182*VLOOKUP('Données projet'!$B$14,Paramètres!$A$1:$I$89,3,0)*0.475*44/12</f>
        <v>1.3358586355413487E-2</v>
      </c>
      <c r="ED182" s="22">
        <f t="shared" si="178"/>
        <v>90.795744902328408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7.688333333333337</v>
      </c>
      <c r="EJ182" s="12">
        <f>IF('Données projet'!$A$192&gt;35,EJ181+EI182-ER181,IF(A182&lt;'Données projet'!$A$192,$EG$205^A182,IF(A182='Données projet'!$A$192,'Données projet'!$B$192,EJ181+EI182-ER181)))</f>
        <v>448.85166666666635</v>
      </c>
      <c r="EK182" s="17">
        <f>EJ182*VLOOKUP('Données projet'!$B$15,Paramètres!$A$1:$I$89,3,0)*VLOOKUP('Données projet'!$B$15,Paramètres!$A$1:$I$89,5,0)</f>
        <v>455.13558999999975</v>
      </c>
      <c r="EL182" s="13">
        <f t="shared" si="179"/>
        <v>102.86917887604061</v>
      </c>
      <c r="EM182" s="20">
        <f t="shared" si="180"/>
        <v>971.85830579243668</v>
      </c>
      <c r="EN182" s="59">
        <f t="shared" si="128"/>
        <v>1265.1916391257701</v>
      </c>
      <c r="EO182" s="59">
        <f ca="1">AVERAGE(OFFSET($EN$3,0,0,'Données projet'!$E$15+1,1))-AVERAGE(OFFSET($H$3,0,0,'Données projet'!$E$15+1,1))</f>
        <v>533.26035274112917</v>
      </c>
      <c r="EP182" s="59">
        <f t="shared" si="154"/>
        <v>262.58149402282521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40.512279971541645</v>
      </c>
      <c r="EW182" s="21">
        <f>EXP(-LN(2)/25)*EW181+(1-EXP(-LN(2)/25))/(LN(2)/25)*Calculateur!ER182*Calculateur!ET182*VLOOKUP('Données projet'!$B$15,Paramètres!$A$1:$I$89,3,0)*0.475*44/12</f>
        <v>17.134183909407597</v>
      </c>
      <c r="EX182" s="21">
        <f>EXP(-LN(2)/2)*EX181+(1-EXP(-LN(2)/2))/(LN(2)/2)*ER182*EU182*VLOOKUP('Données projet'!$B$15,Paramètres!$A$1:$I$89,3,0)*0.475*44/12</f>
        <v>3.1863503365505592E-5</v>
      </c>
      <c r="EY182" s="22">
        <f t="shared" si="181"/>
        <v>57.646495744452608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239.26156489359892</v>
      </c>
      <c r="FK182" s="59">
        <f t="shared" si="156"/>
        <v>213.97034450798111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1.8557201704862063</v>
      </c>
      <c r="FR182" s="21">
        <f>EXP(-LN(2)/25)*FR181+(1-EXP(-LN(2)/25))/(LN(2)/25)*Calculateur!FM182*Calculateur!FO182*VLOOKUP('Données projet'!$B$16,Paramètres!$A$1:$I$89,3,0)*0.475*44/12</f>
        <v>5.4147958609751754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7.2705160314613817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2.5579538487363607E-13</v>
      </c>
      <c r="O183" s="13">
        <f>N183*VLOOKUP('Données projet'!$B$9,Paramètres!$A$1:$I$89,3,0)*VLOOKUP('Données projet'!$B$9,Paramètres!$A$1:$I$89,5,0)</f>
        <v>2.4341488824575211E-13</v>
      </c>
      <c r="P183" s="13">
        <f t="shared" si="141"/>
        <v>3.2970717324875541E-12</v>
      </c>
      <c r="Q183" s="20">
        <f t="shared" si="162"/>
        <v>6.1663475311105072E-12</v>
      </c>
      <c r="R183" s="59">
        <f t="shared" si="109"/>
        <v>293.33333333333945</v>
      </c>
      <c r="S183" s="59">
        <f ca="1">AVERAGE(OFFSET($R$3,0,0,'Données projet'!$E$9+1,1))-AVERAGE(OFFSET($H$3,0,0,'Données projet'!$E$9+1,1))</f>
        <v>449.28947235329758</v>
      </c>
      <c r="T183" s="59">
        <f t="shared" si="142"/>
        <v>289.36994109443964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44.137636356313365</v>
      </c>
      <c r="AA183" s="21">
        <f>EXP(-LN(2)/25)*AA182+(1-EXP(-LN(2)/25))/(LN(2)/25)*Calculateur!V183*Calculateur!X183*VLOOKUP('Données projet'!$B$9,Paramètres!$A$1:$I$89,3,0)*0.475*44/12</f>
        <v>6.1896675549597555</v>
      </c>
      <c r="AB183" s="21">
        <f>EXP(-LN(2)/2)*AB182+(1-EXP(-LN(2)/2))/(LN(2)/2)*V183*Y183*VLOOKUP('Données projet'!$B$9,Paramètres!$A$1:$I$89,3,0)*0.475*44/12</f>
        <v>2.134276620700214E-7</v>
      </c>
      <c r="AC183" s="22">
        <f t="shared" si="163"/>
        <v>50.327304124700781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-1.3596945791505279E-13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349.71285006949597</v>
      </c>
      <c r="AO183" s="59">
        <f t="shared" si="144"/>
        <v>258.51550516456842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21.152625848389462</v>
      </c>
      <c r="AV183" s="21">
        <f>EXP(-LN(2)/25)*AV182+(1-EXP(-LN(2)/25))/(LN(2)/25)*Calculateur!AQ183*Calculateur!AS183*VLOOKUP('Données projet'!$B$10,Paramètres!$A$1:$I$89,3,0)*0.475*44/12</f>
        <v>3.2340232986436241</v>
      </c>
      <c r="AW183" s="21">
        <f>EXP(-LN(2)/2)*AW182+(1-EXP(-LN(2)/2))/(LN(2)/2)*AQ183*AT183*VLOOKUP('Données projet'!$B$10,Paramètres!$A$1:$I$89,3,0)*0.475*44/12</f>
        <v>6.2808996049675786E-14</v>
      </c>
      <c r="AX183" s="21">
        <f t="shared" si="166"/>
        <v>24.38664914703315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1.1368683772161603E-13</v>
      </c>
      <c r="BE183" s="13">
        <f>BD183*VLOOKUP('Données projet'!$B$11,Paramètres!$A$1:$I$89,3,0)*VLOOKUP('Données projet'!$B$11,Paramètres!$A$1:$I$89,5,0)</f>
        <v>6.7984728957526396E-14</v>
      </c>
      <c r="BF183" s="13">
        <f t="shared" si="167"/>
        <v>1.0682447123141398E-12</v>
      </c>
      <c r="BG183" s="20">
        <f t="shared" si="168"/>
        <v>1.978932943548152E-12</v>
      </c>
      <c r="BH183" s="59">
        <f t="shared" si="116"/>
        <v>293.3333333333353</v>
      </c>
      <c r="BI183" s="59">
        <f ca="1">AVERAGE(OFFSET($BH$3,0,0,'Données projet'!$E$11+1,1))-AVERAGE(OFFSET($H$3,0,0,'Données projet'!$E$11+1,1))</f>
        <v>302.00825291248458</v>
      </c>
      <c r="BJ183" s="59">
        <f t="shared" si="146"/>
        <v>307.35115839449355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12.897418924491294</v>
      </c>
      <c r="BQ183" s="21">
        <f>EXP(-LN(2)/25)*BQ182+(1-EXP(-LN(2)/25))/(LN(2)/25)*Calculateur!BL183*Calculateur!BN183*VLOOKUP('Données projet'!$B$11,Paramètres!$A$1:$I$89,3,0)*0.475*44/12</f>
        <v>1.7388607209544302</v>
      </c>
      <c r="BR183" s="21">
        <f>EXP(-LN(2)/2)*BR182+(1-EXP(-LN(2)/2))/(LN(2)/2)*BL183*BO183*VLOOKUP('Données projet'!$B$11,Paramètres!$A$1:$I$89,3,0)*0.475*44/12</f>
        <v>5.2008261259556173E-17</v>
      </c>
      <c r="BS183" s="22">
        <f t="shared" si="169"/>
        <v>14.636279645445725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1.7053025658242404E-13</v>
      </c>
      <c r="BZ183" s="13">
        <f>BY183*VLOOKUP('Données projet'!$B$12,Paramètres!$A$1:$I$89,3,0)*VLOOKUP('Données projet'!$B$12,Paramètres!$A$1:$I$89,5,0)</f>
        <v>7.9808160080574461E-14</v>
      </c>
      <c r="CA183" s="13">
        <f t="shared" si="170"/>
        <v>1.2308384591775343E-12</v>
      </c>
      <c r="CB183" s="20">
        <f t="shared" si="171"/>
        <v>2.282709528541206E-12</v>
      </c>
      <c r="CC183" s="59">
        <f t="shared" si="119"/>
        <v>293.33333333333559</v>
      </c>
      <c r="CD183" s="59">
        <f ca="1">AVERAGE(OFFSET($CC$3,0,0,'Données projet'!$E$12+1,1))-AVERAGE(OFFSET($H$3,0,0,'Données projet'!$E$12+1,1))</f>
        <v>337.10499990421835</v>
      </c>
      <c r="CE183" s="59">
        <f t="shared" si="148"/>
        <v>277.4254079562175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55.115897751614263</v>
      </c>
      <c r="CL183" s="21">
        <f>EXP(-LN(2)/25)*CL182+(1-EXP(-LN(2)/25))/(LN(2)/25)*Calculateur!CG183*Calculateur!CI183*VLOOKUP('Données projet'!$B$12,Paramètres!$A$1:$I$89,3,0)*0.475*44/12</f>
        <v>11.543944271457816</v>
      </c>
      <c r="CM183" s="21">
        <f>EXP(-LN(2)/2)*CM182+(1-EXP(-LN(2)/2))/(LN(2)/2)*CG183*CJ183*VLOOKUP('Données projet'!$B$12,Paramètres!$A$1:$I$89,3,0)*0.475*44/12</f>
        <v>1.3659226168645026E-6</v>
      </c>
      <c r="CN183" s="22">
        <f t="shared" si="172"/>
        <v>66.659843388994688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456.54</v>
      </c>
      <c r="CR183" s="12">
        <f>VLOOKUP(A183,'Données projet'!$A$139:$I$159,9,0)</f>
        <v>7.688333333333337</v>
      </c>
      <c r="CS183" s="12">
        <f t="array" ref="CS183">INDEX(CR:CR,MIN(IF(ISNUMBER(CR183:CR379),ROW(CR183:CR379),"")))</f>
        <v>7.688333333333337</v>
      </c>
      <c r="CT183" s="12">
        <f>IF('Données projet'!$A$140&gt;35,CT182+CS183-DB182,IF(A183&lt;'Données projet'!$A$140,$CQ$205^A183,IF(A183='Données projet'!$A$140,'Données projet'!$B$140,CT182+CS183-DB182)))</f>
        <v>456.53999999999968</v>
      </c>
      <c r="CU183" s="17">
        <f>CT183*VLOOKUP('Données projet'!$B$13,Paramètres!$A$1:$I$89,3,0)*VLOOKUP('Données projet'!$B$13,Paramètres!$A$1:$I$89,5,0)</f>
        <v>455.8095359999997</v>
      </c>
      <c r="CV183" s="13">
        <f t="shared" si="173"/>
        <v>103.00376115393361</v>
      </c>
      <c r="CW183" s="20">
        <f t="shared" si="174"/>
        <v>973.26649254310041</v>
      </c>
      <c r="CX183" s="59">
        <f t="shared" si="122"/>
        <v>1266.5998258764337</v>
      </c>
      <c r="CY183" s="59">
        <f ca="1">AVERAGE(OFFSET($CX$3,0,0,'Données projet'!$E$13+1,1))-AVERAGE(OFFSET($H$3,0,0,'Données projet'!$E$13+1,1))</f>
        <v>525.74725170626471</v>
      </c>
      <c r="CZ183" s="59">
        <f t="shared" si="150"/>
        <v>259.19103598192197</v>
      </c>
      <c r="DA183" s="15">
        <f>IF(ISNA(VLOOKUP(A183,'Données projet'!$A$139:$I$159,3,0)),0,VLOOKUP(A183,'Données projet'!$A$139:$I$159,3,0))</f>
        <v>13</v>
      </c>
      <c r="DB183" s="15">
        <f>IF(ISNA(VLOOKUP(A183,'Données projet'!$A$139:$I$159,4,0)),0,VLOOKUP(A183,'Données projet'!$A$139:$I$159,4,0))</f>
        <v>175.59000000000003</v>
      </c>
      <c r="DC183" s="16">
        <f>IF(ISNA(VLOOKUP(A183,'Données projet'!$A$139:$I$159,5,0)),0%,VLOOKUP(A183,'Données projet'!$A$139:$I$159,5,0)*VLOOKUP('Données projet'!$B$13,Paramètres!$A$1:$I$89,7,0))</f>
        <v>0.215</v>
      </c>
      <c r="DD183" s="16">
        <f>IF(ISNA(VLOOKUP(A183,'Données projet'!$A$139:$I$159,6,0)),0%,VLOOKUP(A183,'Données projet'!$A$139:$I$159,6,0)*VLOOKUP('Données projet'!$B$13,Paramètres!$A$1:$I$89,7,0))</f>
        <v>8.6000000000000007E-2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80.773593153169315</v>
      </c>
      <c r="DG183" s="21">
        <f>EXP(-LN(2)/25)*DG182+(1-EXP(-LN(2)/25))/(LN(2)/25)*Calculateur!DB183*Calculateur!DD183*VLOOKUP('Données projet'!$B$13,Paramètres!$A$1:$I$89,3,0)*0.475*44/12</f>
        <v>33.010342266069536</v>
      </c>
      <c r="DH183" s="21">
        <f>EXP(-LN(2)/2)*DH182+(1-EXP(-LN(2)/2))/(LN(2)/2)*DB183*DE183*VLOOKUP('Données projet'!$B$13,Paramètres!$A$1:$I$89,3,0)*0.475*44/12</f>
        <v>2.2184270082076945E-5</v>
      </c>
      <c r="DI183" s="22">
        <f t="shared" si="175"/>
        <v>113.78395760350892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5.4001247917767614E-13</v>
      </c>
      <c r="DP183" s="17">
        <f>DO183*VLOOKUP('Données projet'!$B$14,Paramètres!$A$1:$I$89,3,0)*VLOOKUP('Données projet'!$B$14,Paramètres!$A$1:$I$89,5,0)</f>
        <v>4.8860329115996133E-13</v>
      </c>
      <c r="DQ183" s="13">
        <f t="shared" si="176"/>
        <v>6.1025862939685007E-12</v>
      </c>
      <c r="DR183" s="20">
        <f t="shared" si="177"/>
        <v>1.1479655194098737E-11</v>
      </c>
      <c r="DS183" s="59">
        <f t="shared" si="125"/>
        <v>293.3333333333448</v>
      </c>
      <c r="DT183" s="59">
        <f ca="1">AVERAGE(OFFSET($DS$3,0,0,'Données projet'!$E$14+1,1))-AVERAGE(OFFSET($H$3,0,0,'Données projet'!$E$14+1,1))</f>
        <v>490.06222615476065</v>
      </c>
      <c r="DU183" s="59">
        <f t="shared" si="152"/>
        <v>310.43914804089906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77.148426078498517</v>
      </c>
      <c r="EB183" s="21">
        <f>EXP(-LN(2)/25)*EB182+(1-EXP(-LN(2)/25))/(LN(2)/25)*Calculateur!DW183*Calculateur!DY183*VLOOKUP('Données projet'!$B$14,Paramètres!$A$1:$I$89,3,0)*0.475*44/12</f>
        <v>11.760242142562719</v>
      </c>
      <c r="EC183" s="21">
        <f>EXP(-LN(2)/2)*EC182+(1-EXP(-LN(2)/2))/(LN(2)/2)*DW183*DZ183*VLOOKUP('Données projet'!$B$14,Paramètres!$A$1:$I$89,3,0)*0.475*44/12</f>
        <v>9.445946998978964E-3</v>
      </c>
      <c r="ED183" s="22">
        <f t="shared" si="178"/>
        <v>88.918114168060214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>
        <f>VLOOKUP(A183,'Données projet'!$A$191:$I$211,2,0)</f>
        <v>456.54</v>
      </c>
      <c r="EH183" s="12">
        <f>VLOOKUP(A183,'Données projet'!$A$191:$I$211,9,0)</f>
        <v>7.688333333333337</v>
      </c>
      <c r="EI183" s="12">
        <f t="array" ref="EI183">INDEX(EH:EH,MIN(IF(ISNUMBER(EH183:EH379),ROW(EH183:EH379),"")))</f>
        <v>7.688333333333337</v>
      </c>
      <c r="EJ183" s="12">
        <f>IF('Données projet'!$A$192&gt;35,EJ182+EI183-ER182,IF(A183&lt;'Données projet'!$A$192,$EG$205^A183,IF(A183='Données projet'!$A$192,'Données projet'!$B$192,EJ182+EI183-ER182)))</f>
        <v>456.53999999999968</v>
      </c>
      <c r="EK183" s="17">
        <f>EJ183*VLOOKUP('Données projet'!$B$15,Paramètres!$A$1:$I$89,3,0)*VLOOKUP('Données projet'!$B$15,Paramètres!$A$1:$I$89,5,0)</f>
        <v>462.93155999999971</v>
      </c>
      <c r="EL183" s="13">
        <f t="shared" si="179"/>
        <v>104.42457107106746</v>
      </c>
      <c r="EM183" s="20">
        <f t="shared" si="180"/>
        <v>988.145261615442</v>
      </c>
      <c r="EN183" s="59">
        <f t="shared" si="128"/>
        <v>1281.4785949487753</v>
      </c>
      <c r="EO183" s="59">
        <f ca="1">AVERAGE(OFFSET($EN$3,0,0,'Données projet'!$E$15+1,1))-AVERAGE(OFFSET($H$3,0,0,'Données projet'!$E$15+1,1))</f>
        <v>533.26035274112917</v>
      </c>
      <c r="EP183" s="59">
        <f t="shared" si="154"/>
        <v>262.58149402282521</v>
      </c>
      <c r="EQ183" s="15">
        <f>IF(ISNA(VLOOKUP(A183,'Données projet'!$A$191:$I$211,3,0)),0,VLOOKUP(A183,'Données projet'!$A$191:$I$211,3,0))</f>
        <v>13</v>
      </c>
      <c r="ER183" s="15">
        <f>IF(ISNA(VLOOKUP(A183,'Données projet'!$A$191:$I$211,4,0)),0,VLOOKUP(A183,'Données projet'!$A$191:$I$211,4,0))</f>
        <v>175.59000000000003</v>
      </c>
      <c r="ES183" s="16">
        <f>IF(ISNA(VLOOKUP(A183,'Données projet'!$A$191:$I$211,5,0)),0%,VLOOKUP(A183,'Données projet'!$A$191:$I$211,5,0)*VLOOKUP('Données projet'!$B$15,Paramètres!$A$1:$I$89,7,0))</f>
        <v>0.215</v>
      </c>
      <c r="ET183" s="16">
        <f>IF(ISNA(VLOOKUP(A183,'Données projet'!$A$191:$I$211,6,0)),0%,VLOOKUP(A183,'Données projet'!$A$191:$I$211,6,0)*VLOOKUP('Données projet'!$B$15,Paramètres!$A$1:$I$89,7,0))</f>
        <v>8.6000000000000007E-2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82.035680546187592</v>
      </c>
      <c r="EW183" s="21">
        <f>EXP(-LN(2)/25)*EW182+(1-EXP(-LN(2)/25))/(LN(2)/25)*Calculateur!ER183*Calculateur!ET183*VLOOKUP('Données projet'!$B$15,Paramètres!$A$1:$I$89,3,0)*0.475*44/12</f>
        <v>33.526128863976865</v>
      </c>
      <c r="EX183" s="21">
        <f>EXP(-LN(2)/2)*EX182+(1-EXP(-LN(2)/2))/(LN(2)/2)*ER183*EU183*VLOOKUP('Données projet'!$B$15,Paramètres!$A$1:$I$89,3,0)*0.475*44/12</f>
        <v>2.2530899302109383E-5</v>
      </c>
      <c r="EY183" s="22">
        <f t="shared" si="181"/>
        <v>115.56183194106376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239.26156489359892</v>
      </c>
      <c r="FK183" s="59">
        <f t="shared" si="156"/>
        <v>213.97034450798111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1.8193306298205121</v>
      </c>
      <c r="FR183" s="21">
        <f>EXP(-LN(2)/25)*FR182+(1-EXP(-LN(2)/25))/(LN(2)/25)*Calculateur!FM183*Calculateur!FO183*VLOOKUP('Données projet'!$B$16,Paramètres!$A$1:$I$89,3,0)*0.475*44/12</f>
        <v>5.2667279834050706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7.0860586132255827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2.5579538487363607E-13</v>
      </c>
      <c r="O184" s="13">
        <f>N184*VLOOKUP('Données projet'!$B$9,Paramètres!$A$1:$I$89,3,0)*VLOOKUP('Données projet'!$B$9,Paramètres!$A$1:$I$89,5,0)</f>
        <v>2.4341488824575211E-13</v>
      </c>
      <c r="P184" s="13">
        <f t="shared" si="141"/>
        <v>3.2970717324875541E-12</v>
      </c>
      <c r="Q184" s="20">
        <f t="shared" si="162"/>
        <v>6.1663475311105072E-12</v>
      </c>
      <c r="R184" s="59">
        <f t="shared" si="109"/>
        <v>293.33333333333945</v>
      </c>
      <c r="S184" s="59">
        <f ca="1">AVERAGE(OFFSET($R$3,0,0,'Données projet'!$E$9+1,1))-AVERAGE(OFFSET($H$3,0,0,'Données projet'!$E$9+1,1))</f>
        <v>449.28947235329758</v>
      </c>
      <c r="T184" s="59">
        <f t="shared" si="142"/>
        <v>289.36994109443964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43.27212422866598</v>
      </c>
      <c r="AA184" s="21">
        <f>EXP(-LN(2)/25)*AA183+(1-EXP(-LN(2)/25))/(LN(2)/25)*Calculateur!V184*Calculateur!X184*VLOOKUP('Données projet'!$B$9,Paramètres!$A$1:$I$89,3,0)*0.475*44/12</f>
        <v>6.0204107701689109</v>
      </c>
      <c r="AB184" s="21">
        <f>EXP(-LN(2)/2)*AB183+(1-EXP(-LN(2)/2))/(LN(2)/2)*V184*Y184*VLOOKUP('Données projet'!$B$9,Paramètres!$A$1:$I$89,3,0)*0.475*44/12</f>
        <v>1.5091614714250303E-7</v>
      </c>
      <c r="AC184" s="22">
        <f t="shared" si="163"/>
        <v>49.292535149751039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-1.3596945791505279E-13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349.71285006949597</v>
      </c>
      <c r="AO184" s="59">
        <f t="shared" si="144"/>
        <v>258.51550516456842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20.737835757330362</v>
      </c>
      <c r="AV184" s="21">
        <f>EXP(-LN(2)/25)*AV183+(1-EXP(-LN(2)/25))/(LN(2)/25)*Calculateur!AQ184*Calculateur!AS184*VLOOKUP('Données projet'!$B$10,Paramètres!$A$1:$I$89,3,0)*0.475*44/12</f>
        <v>3.1455887614723204</v>
      </c>
      <c r="AW184" s="21">
        <f>EXP(-LN(2)/2)*AW183+(1-EXP(-LN(2)/2))/(LN(2)/2)*AQ184*AT184*VLOOKUP('Données projet'!$B$10,Paramètres!$A$1:$I$89,3,0)*0.475*44/12</f>
        <v>4.4412667026244825E-14</v>
      </c>
      <c r="AX184" s="21">
        <f t="shared" si="166"/>
        <v>23.88342451880273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1.1368683772161603E-13</v>
      </c>
      <c r="BE184" s="13">
        <f>BD184*VLOOKUP('Données projet'!$B$11,Paramètres!$A$1:$I$89,3,0)*VLOOKUP('Données projet'!$B$11,Paramètres!$A$1:$I$89,5,0)</f>
        <v>6.7984728957526396E-14</v>
      </c>
      <c r="BF184" s="13">
        <f t="shared" si="167"/>
        <v>1.0682447123141398E-12</v>
      </c>
      <c r="BG184" s="20">
        <f t="shared" si="168"/>
        <v>1.978932943548152E-12</v>
      </c>
      <c r="BH184" s="59">
        <f t="shared" si="116"/>
        <v>293.3333333333353</v>
      </c>
      <c r="BI184" s="59">
        <f ca="1">AVERAGE(OFFSET($BH$3,0,0,'Données projet'!$E$11+1,1))-AVERAGE(OFFSET($H$3,0,0,'Données projet'!$E$11+1,1))</f>
        <v>302.00825291248458</v>
      </c>
      <c r="BJ184" s="59">
        <f t="shared" si="146"/>
        <v>307.35115839449355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12.644508406030797</v>
      </c>
      <c r="BQ184" s="21">
        <f>EXP(-LN(2)/25)*BQ183+(1-EXP(-LN(2)/25))/(LN(2)/25)*Calculateur!BL184*Calculateur!BN184*VLOOKUP('Données projet'!$B$11,Paramètres!$A$1:$I$89,3,0)*0.475*44/12</f>
        <v>1.6913114830972202</v>
      </c>
      <c r="BR184" s="21">
        <f>EXP(-LN(2)/2)*BR183+(1-EXP(-LN(2)/2))/(LN(2)/2)*BL184*BO184*VLOOKUP('Données projet'!$B$11,Paramètres!$A$1:$I$89,3,0)*0.475*44/12</f>
        <v>3.6775394214353783E-17</v>
      </c>
      <c r="BS184" s="22">
        <f t="shared" si="169"/>
        <v>14.335819889128016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1.7053025658242404E-13</v>
      </c>
      <c r="BZ184" s="13">
        <f>BY184*VLOOKUP('Données projet'!$B$12,Paramètres!$A$1:$I$89,3,0)*VLOOKUP('Données projet'!$B$12,Paramètres!$A$1:$I$89,5,0)</f>
        <v>7.9808160080574461E-14</v>
      </c>
      <c r="CA184" s="13">
        <f t="shared" si="170"/>
        <v>1.2308384591775343E-12</v>
      </c>
      <c r="CB184" s="20">
        <f t="shared" si="171"/>
        <v>2.282709528541206E-12</v>
      </c>
      <c r="CC184" s="59">
        <f t="shared" si="119"/>
        <v>293.33333333333559</v>
      </c>
      <c r="CD184" s="59">
        <f ca="1">AVERAGE(OFFSET($CC$3,0,0,'Données projet'!$E$12+1,1))-AVERAGE(OFFSET($H$3,0,0,'Données projet'!$E$12+1,1))</f>
        <v>337.10499990421835</v>
      </c>
      <c r="CE184" s="59">
        <f t="shared" si="148"/>
        <v>277.4254079562175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54.035108614083292</v>
      </c>
      <c r="CL184" s="21">
        <f>EXP(-LN(2)/25)*CL183+(1-EXP(-LN(2)/25))/(LN(2)/25)*Calculateur!CG184*Calculateur!CI184*VLOOKUP('Données projet'!$B$12,Paramètres!$A$1:$I$89,3,0)*0.475*44/12</f>
        <v>11.228274508285157</v>
      </c>
      <c r="CM184" s="21">
        <f>EXP(-LN(2)/2)*CM183+(1-EXP(-LN(2)/2))/(LN(2)/2)*CG184*CJ184*VLOOKUP('Données projet'!$B$12,Paramètres!$A$1:$I$89,3,0)*0.475*44/12</f>
        <v>9.6585314496096418E-7</v>
      </c>
      <c r="CN184" s="22">
        <f t="shared" si="172"/>
        <v>65.263384088221599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4.7974999999999994</v>
      </c>
      <c r="CT184" s="12">
        <f>IF('Données projet'!$A$140&gt;35,CT183+CS184-DB183,IF(A184&lt;'Données projet'!$A$140,$CQ$205^A184,IF(A184='Données projet'!$A$140,'Données projet'!$B$140,CT183+CS184-DB183)))</f>
        <v>285.74749999999966</v>
      </c>
      <c r="CU184" s="17">
        <f>CT184*VLOOKUP('Données projet'!$B$13,Paramètres!$A$1:$I$89,3,0)*VLOOKUP('Données projet'!$B$13,Paramètres!$A$1:$I$89,5,0)</f>
        <v>285.29030399999971</v>
      </c>
      <c r="CV184" s="13">
        <f t="shared" si="173"/>
        <v>68.083781376804026</v>
      </c>
      <c r="CW184" s="20">
        <f t="shared" si="174"/>
        <v>615.45986536459986</v>
      </c>
      <c r="CX184" s="59">
        <f t="shared" si="122"/>
        <v>908.79319869793312</v>
      </c>
      <c r="CY184" s="59">
        <f ca="1">AVERAGE(OFFSET($CX$3,0,0,'Données projet'!$E$13+1,1))-AVERAGE(OFFSET($H$3,0,0,'Données projet'!$E$13+1,1))</f>
        <v>525.74725170626471</v>
      </c>
      <c r="CZ184" s="59">
        <f t="shared" si="150"/>
        <v>259.19103598192197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79.189672258462778</v>
      </c>
      <c r="DG184" s="21">
        <f>EXP(-LN(2)/25)*DG183+(1-EXP(-LN(2)/25))/(LN(2)/25)*Calculateur!DB184*Calculateur!DD184*VLOOKUP('Données projet'!$B$13,Paramètres!$A$1:$I$89,3,0)*0.475*44/12</f>
        <v>32.107672720865409</v>
      </c>
      <c r="DH184" s="21">
        <f>EXP(-LN(2)/2)*DH183+(1-EXP(-LN(2)/2))/(LN(2)/2)*DB184*DE184*VLOOKUP('Données projet'!$B$13,Paramètres!$A$1:$I$89,3,0)*0.475*44/12</f>
        <v>1.5686647810710455E-5</v>
      </c>
      <c r="DI184" s="22">
        <f t="shared" si="175"/>
        <v>111.297360665976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5.4001247917767614E-13</v>
      </c>
      <c r="DP184" s="17">
        <f>DO184*VLOOKUP('Données projet'!$B$14,Paramètres!$A$1:$I$89,3,0)*VLOOKUP('Données projet'!$B$14,Paramètres!$A$1:$I$89,5,0)</f>
        <v>4.8860329115996133E-13</v>
      </c>
      <c r="DQ184" s="13">
        <f t="shared" si="176"/>
        <v>6.1025862939685007E-12</v>
      </c>
      <c r="DR184" s="20">
        <f t="shared" si="177"/>
        <v>1.1479655194098737E-11</v>
      </c>
      <c r="DS184" s="59">
        <f t="shared" si="125"/>
        <v>293.3333333333448</v>
      </c>
      <c r="DT184" s="59">
        <f ca="1">AVERAGE(OFFSET($DS$3,0,0,'Données projet'!$E$14+1,1))-AVERAGE(OFFSET($H$3,0,0,'Données projet'!$E$14+1,1))</f>
        <v>490.06222615476065</v>
      </c>
      <c r="DU184" s="59">
        <f t="shared" si="152"/>
        <v>310.43914804089906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75.635592498992679</v>
      </c>
      <c r="EB184" s="21">
        <f>EXP(-LN(2)/25)*EB183+(1-EXP(-LN(2)/25))/(LN(2)/25)*Calculateur!DW184*Calculateur!DY184*VLOOKUP('Données projet'!$B$14,Paramètres!$A$1:$I$89,3,0)*0.475*44/12</f>
        <v>11.438657702730085</v>
      </c>
      <c r="EC184" s="21">
        <f>EXP(-LN(2)/2)*EC183+(1-EXP(-LN(2)/2))/(LN(2)/2)*DW184*DZ184*VLOOKUP('Données projet'!$B$14,Paramètres!$A$1:$I$89,3,0)*0.475*44/12</f>
        <v>6.6792931777067436E-3</v>
      </c>
      <c r="ED184" s="22">
        <f t="shared" si="178"/>
        <v>87.080929494900474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4.7974999999999994</v>
      </c>
      <c r="EJ184" s="12">
        <f>IF('Données projet'!$A$192&gt;35,EJ183+EI184-ER183,IF(A184&lt;'Données projet'!$A$192,$EG$205^A184,IF(A184='Données projet'!$A$192,'Données projet'!$B$192,EJ183+EI184-ER183)))</f>
        <v>285.74749999999966</v>
      </c>
      <c r="EK184" s="17">
        <f>EJ184*VLOOKUP('Données projet'!$B$15,Paramètres!$A$1:$I$89,3,0)*VLOOKUP('Données projet'!$B$15,Paramètres!$A$1:$I$89,5,0)</f>
        <v>289.74796499999968</v>
      </c>
      <c r="EL184" s="13">
        <f t="shared" si="179"/>
        <v>69.022913217160536</v>
      </c>
      <c r="EM184" s="20">
        <f t="shared" si="180"/>
        <v>624.85927956155399</v>
      </c>
      <c r="EN184" s="59">
        <f t="shared" si="128"/>
        <v>918.19261289488736</v>
      </c>
      <c r="EO184" s="59">
        <f ca="1">AVERAGE(OFFSET($EN$3,0,0,'Données projet'!$E$15+1,1))-AVERAGE(OFFSET($H$3,0,0,'Données projet'!$E$15+1,1))</f>
        <v>533.26035274112917</v>
      </c>
      <c r="EP184" s="59">
        <f t="shared" si="154"/>
        <v>262.58149402282521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80.427010887501254</v>
      </c>
      <c r="EW184" s="21">
        <f>EXP(-LN(2)/25)*EW183+(1-EXP(-LN(2)/25))/(LN(2)/25)*Calculateur!ER184*Calculateur!ET184*VLOOKUP('Données projet'!$B$15,Paramètres!$A$1:$I$89,3,0)*0.475*44/12</f>
        <v>32.609355107128927</v>
      </c>
      <c r="EX184" s="21">
        <f>EXP(-LN(2)/2)*EX183+(1-EXP(-LN(2)/2))/(LN(2)/2)*ER184*EU184*VLOOKUP('Données projet'!$B$15,Paramètres!$A$1:$I$89,3,0)*0.475*44/12</f>
        <v>1.5931751682752796E-5</v>
      </c>
      <c r="EY184" s="22">
        <f t="shared" si="181"/>
        <v>113.03638192638186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239.26156489359892</v>
      </c>
      <c r="FK184" s="59">
        <f t="shared" si="156"/>
        <v>213.97034450798111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1.783654665851844</v>
      </c>
      <c r="FR184" s="21">
        <f>EXP(-LN(2)/25)*FR183+(1-EXP(-LN(2)/25))/(LN(2)/25)*Calculateur!FM184*Calculateur!FO184*VLOOKUP('Données projet'!$B$16,Paramètres!$A$1:$I$89,3,0)*0.475*44/12</f>
        <v>5.1227090297336719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6.9063636955855161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2.5579538487363607E-13</v>
      </c>
      <c r="O185" s="13">
        <f>N185*VLOOKUP('Données projet'!$B$9,Paramètres!$A$1:$I$89,3,0)*VLOOKUP('Données projet'!$B$9,Paramètres!$A$1:$I$89,5,0)</f>
        <v>2.4341488824575211E-13</v>
      </c>
      <c r="P185" s="13">
        <f t="shared" si="141"/>
        <v>3.2970717324875541E-12</v>
      </c>
      <c r="Q185" s="20">
        <f t="shared" si="162"/>
        <v>6.1663475311105072E-12</v>
      </c>
      <c r="R185" s="59">
        <f t="shared" si="109"/>
        <v>293.33333333333945</v>
      </c>
      <c r="S185" s="59">
        <f ca="1">AVERAGE(OFFSET($R$3,0,0,'Données projet'!$E$9+1,1))-AVERAGE(OFFSET($H$3,0,0,'Données projet'!$E$9+1,1))</f>
        <v>449.28947235329758</v>
      </c>
      <c r="T185" s="59">
        <f t="shared" si="142"/>
        <v>289.36994109443964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42.423584265931488</v>
      </c>
      <c r="AA185" s="21">
        <f>EXP(-LN(2)/25)*AA184+(1-EXP(-LN(2)/25))/(LN(2)/25)*Calculateur!V185*Calculateur!X185*VLOOKUP('Données projet'!$B$9,Paramètres!$A$1:$I$89,3,0)*0.475*44/12</f>
        <v>5.8557823210589994</v>
      </c>
      <c r="AB185" s="21">
        <f>EXP(-LN(2)/2)*AB184+(1-EXP(-LN(2)/2))/(LN(2)/2)*V185*Y185*VLOOKUP('Données projet'!$B$9,Paramètres!$A$1:$I$89,3,0)*0.475*44/12</f>
        <v>1.067138310350107E-7</v>
      </c>
      <c r="AC185" s="22">
        <f t="shared" si="163"/>
        <v>48.279366693704326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-1.3596945791505279E-13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349.71285006949597</v>
      </c>
      <c r="AO185" s="59">
        <f t="shared" si="144"/>
        <v>258.51550516456842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20.331179446959958</v>
      </c>
      <c r="AV185" s="21">
        <f>EXP(-LN(2)/25)*AV184+(1-EXP(-LN(2)/25))/(LN(2)/25)*Calculateur!AQ185*Calculateur!AS185*VLOOKUP('Données projet'!$B$10,Paramètres!$A$1:$I$89,3,0)*0.475*44/12</f>
        <v>3.0595724713705361</v>
      </c>
      <c r="AW185" s="21">
        <f>EXP(-LN(2)/2)*AW184+(1-EXP(-LN(2)/2))/(LN(2)/2)*AQ185*AT185*VLOOKUP('Données projet'!$B$10,Paramètres!$A$1:$I$89,3,0)*0.475*44/12</f>
        <v>3.1404498024837893E-14</v>
      </c>
      <c r="AX185" s="21">
        <f t="shared" si="166"/>
        <v>23.390751918330526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1.1368683772161603E-13</v>
      </c>
      <c r="BE185" s="13">
        <f>BD185*VLOOKUP('Données projet'!$B$11,Paramètres!$A$1:$I$89,3,0)*VLOOKUP('Données projet'!$B$11,Paramètres!$A$1:$I$89,5,0)</f>
        <v>6.7984728957526396E-14</v>
      </c>
      <c r="BF185" s="13">
        <f t="shared" si="167"/>
        <v>1.0682447123141398E-12</v>
      </c>
      <c r="BG185" s="20">
        <f t="shared" si="168"/>
        <v>1.978932943548152E-12</v>
      </c>
      <c r="BH185" s="59">
        <f t="shared" si="116"/>
        <v>293.3333333333353</v>
      </c>
      <c r="BI185" s="59">
        <f ca="1">AVERAGE(OFFSET($BH$3,0,0,'Données projet'!$E$11+1,1))-AVERAGE(OFFSET($H$3,0,0,'Données projet'!$E$11+1,1))</f>
        <v>302.00825291248458</v>
      </c>
      <c r="BJ185" s="59">
        <f t="shared" si="146"/>
        <v>307.35115839449355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12.396557308577126</v>
      </c>
      <c r="BQ185" s="21">
        <f>EXP(-LN(2)/25)*BQ184+(1-EXP(-LN(2)/25))/(LN(2)/25)*Calculateur!BL185*Calculateur!BN185*VLOOKUP('Données projet'!$B$11,Paramètres!$A$1:$I$89,3,0)*0.475*44/12</f>
        <v>1.6450624816497215</v>
      </c>
      <c r="BR185" s="21">
        <f>EXP(-LN(2)/2)*BR184+(1-EXP(-LN(2)/2))/(LN(2)/2)*BL185*BO185*VLOOKUP('Données projet'!$B$11,Paramètres!$A$1:$I$89,3,0)*0.475*44/12</f>
        <v>2.6004130629778087E-17</v>
      </c>
      <c r="BS185" s="22">
        <f t="shared" si="169"/>
        <v>14.041619790226848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1.7053025658242404E-13</v>
      </c>
      <c r="BZ185" s="13">
        <f>BY185*VLOOKUP('Données projet'!$B$12,Paramètres!$A$1:$I$89,3,0)*VLOOKUP('Données projet'!$B$12,Paramètres!$A$1:$I$89,5,0)</f>
        <v>7.9808160080574461E-14</v>
      </c>
      <c r="CA185" s="13">
        <f t="shared" si="170"/>
        <v>1.2308384591775343E-12</v>
      </c>
      <c r="CB185" s="20">
        <f t="shared" si="171"/>
        <v>2.282709528541206E-12</v>
      </c>
      <c r="CC185" s="59">
        <f t="shared" si="119"/>
        <v>293.33333333333559</v>
      </c>
      <c r="CD185" s="59">
        <f ca="1">AVERAGE(OFFSET($CC$3,0,0,'Données projet'!$E$12+1,1))-AVERAGE(OFFSET($H$3,0,0,'Données projet'!$E$12+1,1))</f>
        <v>337.10499990421835</v>
      </c>
      <c r="CE185" s="59">
        <f t="shared" si="148"/>
        <v>277.4254079562175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52.975513092323027</v>
      </c>
      <c r="CL185" s="21">
        <f>EXP(-LN(2)/25)*CL184+(1-EXP(-LN(2)/25))/(LN(2)/25)*Calculateur!CG185*Calculateur!CI185*VLOOKUP('Données projet'!$B$12,Paramètres!$A$1:$I$89,3,0)*0.475*44/12</f>
        <v>10.921236751386806</v>
      </c>
      <c r="CM185" s="21">
        <f>EXP(-LN(2)/2)*CM184+(1-EXP(-LN(2)/2))/(LN(2)/2)*CG185*CJ185*VLOOKUP('Données projet'!$B$12,Paramètres!$A$1:$I$89,3,0)*0.475*44/12</f>
        <v>6.8296130843225129E-7</v>
      </c>
      <c r="CN185" s="22">
        <f t="shared" si="172"/>
        <v>63.896750526671141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4.7974999999999994</v>
      </c>
      <c r="CT185" s="12">
        <f>IF('Données projet'!$A$140&gt;35,CT184+CS185-DB184,IF(A185&lt;'Données projet'!$A$140,$CQ$205^A185,IF(A185='Données projet'!$A$140,'Données projet'!$B$140,CT184+CS185-DB184)))</f>
        <v>290.54499999999967</v>
      </c>
      <c r="CU185" s="17">
        <f>CT185*VLOOKUP('Données projet'!$B$13,Paramètres!$A$1:$I$89,3,0)*VLOOKUP('Données projet'!$B$13,Paramètres!$A$1:$I$89,5,0)</f>
        <v>290.08012799999972</v>
      </c>
      <c r="CV185" s="13">
        <f t="shared" si="173"/>
        <v>69.092825082179488</v>
      </c>
      <c r="CW185" s="20">
        <f t="shared" si="174"/>
        <v>625.55955995146212</v>
      </c>
      <c r="CX185" s="59">
        <f t="shared" si="122"/>
        <v>918.89289328479549</v>
      </c>
      <c r="CY185" s="59">
        <f ca="1">AVERAGE(OFFSET($CX$3,0,0,'Données projet'!$E$13+1,1))-AVERAGE(OFFSET($H$3,0,0,'Données projet'!$E$13+1,1))</f>
        <v>525.74725170626471</v>
      </c>
      <c r="CZ185" s="59">
        <f t="shared" si="150"/>
        <v>259.19103598192197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77.636811086405075</v>
      </c>
      <c r="DG185" s="21">
        <f>EXP(-LN(2)/25)*DG184+(1-EXP(-LN(2)/25))/(LN(2)/25)*Calculateur!DB185*Calculateur!DD185*VLOOKUP('Données projet'!$B$13,Paramètres!$A$1:$I$89,3,0)*0.475*44/12</f>
        <v>31.229686721844221</v>
      </c>
      <c r="DH185" s="21">
        <f>EXP(-LN(2)/2)*DH184+(1-EXP(-LN(2)/2))/(LN(2)/2)*DB185*DE185*VLOOKUP('Données projet'!$B$13,Paramètres!$A$1:$I$89,3,0)*0.475*44/12</f>
        <v>1.1092135041038473E-5</v>
      </c>
      <c r="DI185" s="22">
        <f t="shared" si="175"/>
        <v>108.86650890038433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5.4001247917767614E-13</v>
      </c>
      <c r="DP185" s="17">
        <f>DO185*VLOOKUP('Données projet'!$B$14,Paramètres!$A$1:$I$89,3,0)*VLOOKUP('Données projet'!$B$14,Paramètres!$A$1:$I$89,5,0)</f>
        <v>4.8860329115996133E-13</v>
      </c>
      <c r="DQ185" s="13">
        <f t="shared" si="176"/>
        <v>6.1025862939685007E-12</v>
      </c>
      <c r="DR185" s="20">
        <f t="shared" si="177"/>
        <v>1.1479655194098737E-11</v>
      </c>
      <c r="DS185" s="59">
        <f t="shared" si="125"/>
        <v>293.3333333333448</v>
      </c>
      <c r="DT185" s="59">
        <f ca="1">AVERAGE(OFFSET($DS$3,0,0,'Données projet'!$E$14+1,1))-AVERAGE(OFFSET($H$3,0,0,'Données projet'!$E$14+1,1))</f>
        <v>490.06222615476065</v>
      </c>
      <c r="DU185" s="59">
        <f t="shared" si="152"/>
        <v>310.43914804089906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74.152424663243593</v>
      </c>
      <c r="EB185" s="21">
        <f>EXP(-LN(2)/25)*EB184+(1-EXP(-LN(2)/25))/(LN(2)/25)*Calculateur!DW185*Calculateur!DY185*VLOOKUP('Données projet'!$B$14,Paramètres!$A$1:$I$89,3,0)*0.475*44/12</f>
        <v>11.125867006316065</v>
      </c>
      <c r="EC185" s="21">
        <f>EXP(-LN(2)/2)*EC184+(1-EXP(-LN(2)/2))/(LN(2)/2)*DW185*DZ185*VLOOKUP('Données projet'!$B$14,Paramètres!$A$1:$I$89,3,0)*0.475*44/12</f>
        <v>4.722973499489482E-3</v>
      </c>
      <c r="ED185" s="22">
        <f t="shared" si="178"/>
        <v>85.283014643059147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4.7974999999999994</v>
      </c>
      <c r="EJ185" s="12">
        <f>IF('Données projet'!$A$192&gt;35,EJ184+EI185-ER184,IF(A185&lt;'Données projet'!$A$192,$EG$205^A185,IF(A185='Données projet'!$A$192,'Données projet'!$B$192,EJ184+EI185-ER184)))</f>
        <v>290.54499999999967</v>
      </c>
      <c r="EK185" s="17">
        <f>EJ185*VLOOKUP('Données projet'!$B$15,Paramètres!$A$1:$I$89,3,0)*VLOOKUP('Données projet'!$B$15,Paramètres!$A$1:$I$89,5,0)</f>
        <v>294.61262999999968</v>
      </c>
      <c r="EL185" s="13">
        <f t="shared" si="179"/>
        <v>70.045875436649951</v>
      </c>
      <c r="EM185" s="20">
        <f t="shared" si="180"/>
        <v>635.11356363549817</v>
      </c>
      <c r="EN185" s="59">
        <f t="shared" si="128"/>
        <v>928.44689696883142</v>
      </c>
      <c r="EO185" s="59">
        <f ca="1">AVERAGE(OFFSET($EN$3,0,0,'Données projet'!$E$15+1,1))-AVERAGE(OFFSET($H$3,0,0,'Données projet'!$E$15+1,1))</f>
        <v>533.26035274112917</v>
      </c>
      <c r="EP185" s="59">
        <f t="shared" si="154"/>
        <v>262.58149402282521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78.849886259630154</v>
      </c>
      <c r="EW185" s="21">
        <f>EXP(-LN(2)/25)*EW184+(1-EXP(-LN(2)/25))/(LN(2)/25)*Calculateur!ER185*Calculateur!ET185*VLOOKUP('Données projet'!$B$15,Paramètres!$A$1:$I$89,3,0)*0.475*44/12</f>
        <v>31.71765057687303</v>
      </c>
      <c r="EX185" s="21">
        <f>EXP(-LN(2)/2)*EX184+(1-EXP(-LN(2)/2))/(LN(2)/2)*ER185*EU185*VLOOKUP('Données projet'!$B$15,Paramètres!$A$1:$I$89,3,0)*0.475*44/12</f>
        <v>1.1265449651054692E-5</v>
      </c>
      <c r="EY185" s="22">
        <f t="shared" si="181"/>
        <v>110.56754810195284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239.26156489359892</v>
      </c>
      <c r="FK185" s="59">
        <f t="shared" si="156"/>
        <v>213.97034450798111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1.748678285776412</v>
      </c>
      <c r="FR185" s="21">
        <f>EXP(-LN(2)/25)*FR184+(1-EXP(-LN(2)/25))/(LN(2)/25)*Calculateur!FM185*Calculateur!FO185*VLOOKUP('Données projet'!$B$16,Paramètres!$A$1:$I$89,3,0)*0.475*44/12</f>
        <v>4.9826282819240451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6.7313065677004573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2.5579538487363607E-13</v>
      </c>
      <c r="O186" s="13">
        <f>N186*VLOOKUP('Données projet'!$B$9,Paramètres!$A$1:$I$89,3,0)*VLOOKUP('Données projet'!$B$9,Paramètres!$A$1:$I$89,5,0)</f>
        <v>2.4341488824575211E-13</v>
      </c>
      <c r="P186" s="13">
        <f t="shared" si="141"/>
        <v>3.2970717324875541E-12</v>
      </c>
      <c r="Q186" s="20">
        <f t="shared" si="162"/>
        <v>6.1663475311105072E-12</v>
      </c>
      <c r="R186" s="59">
        <f t="shared" si="109"/>
        <v>293.33333333333945</v>
      </c>
      <c r="S186" s="59">
        <f ca="1">AVERAGE(OFFSET($R$3,0,0,'Données projet'!$E$9+1,1))-AVERAGE(OFFSET($H$3,0,0,'Données projet'!$E$9+1,1))</f>
        <v>449.28947235329758</v>
      </c>
      <c r="T186" s="59">
        <f t="shared" si="142"/>
        <v>289.36994109443964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41.59168365430795</v>
      </c>
      <c r="AA186" s="21">
        <f>EXP(-LN(2)/25)*AA185+(1-EXP(-LN(2)/25))/(LN(2)/25)*Calculateur!V186*Calculateur!X186*VLOOKUP('Données projet'!$B$9,Paramètres!$A$1:$I$89,3,0)*0.475*44/12</f>
        <v>5.6956556455474328</v>
      </c>
      <c r="AB186" s="21">
        <f>EXP(-LN(2)/2)*AB185+(1-EXP(-LN(2)/2))/(LN(2)/2)*V186*Y186*VLOOKUP('Données projet'!$B$9,Paramètres!$A$1:$I$89,3,0)*0.475*44/12</f>
        <v>7.5458073571251513E-8</v>
      </c>
      <c r="AC186" s="22">
        <f t="shared" si="163"/>
        <v>47.287339375313458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-1.3596945791505279E-13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349.71285006949597</v>
      </c>
      <c r="AO186" s="59">
        <f t="shared" si="144"/>
        <v>258.51550516456842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19.932497418800057</v>
      </c>
      <c r="AV186" s="21">
        <f>EXP(-LN(2)/25)*AV185+(1-EXP(-LN(2)/25))/(LN(2)/25)*Calculateur!AQ186*Calculateur!AS186*VLOOKUP('Données projet'!$B$10,Paramètres!$A$1:$I$89,3,0)*0.475*44/12</f>
        <v>2.9759083012449854</v>
      </c>
      <c r="AW186" s="21">
        <f>EXP(-LN(2)/2)*AW185+(1-EXP(-LN(2)/2))/(LN(2)/2)*AQ186*AT186*VLOOKUP('Données projet'!$B$10,Paramètres!$A$1:$I$89,3,0)*0.475*44/12</f>
        <v>2.2206333513122412E-14</v>
      </c>
      <c r="AX186" s="21">
        <f t="shared" si="166"/>
        <v>22.908405720045064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1.1368683772161603E-13</v>
      </c>
      <c r="BE186" s="13">
        <f>BD186*VLOOKUP('Données projet'!$B$11,Paramètres!$A$1:$I$89,3,0)*VLOOKUP('Données projet'!$B$11,Paramètres!$A$1:$I$89,5,0)</f>
        <v>6.7984728957526396E-14</v>
      </c>
      <c r="BF186" s="13">
        <f t="shared" si="167"/>
        <v>1.0682447123141398E-12</v>
      </c>
      <c r="BG186" s="20">
        <f t="shared" si="168"/>
        <v>1.978932943548152E-12</v>
      </c>
      <c r="BH186" s="59">
        <f t="shared" si="116"/>
        <v>293.3333333333353</v>
      </c>
      <c r="BI186" s="59">
        <f ca="1">AVERAGE(OFFSET($BH$3,0,0,'Données projet'!$E$11+1,1))-AVERAGE(OFFSET($H$3,0,0,'Données projet'!$E$11+1,1))</f>
        <v>302.00825291248458</v>
      </c>
      <c r="BJ186" s="59">
        <f t="shared" si="146"/>
        <v>307.35115839449355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12.153468380909285</v>
      </c>
      <c r="BQ186" s="21">
        <f>EXP(-LN(2)/25)*BQ185+(1-EXP(-LN(2)/25))/(LN(2)/25)*Calculateur!BL186*Calculateur!BN186*VLOOKUP('Données projet'!$B$11,Paramètres!$A$1:$I$89,3,0)*0.475*44/12</f>
        <v>1.6000781615789337</v>
      </c>
      <c r="BR186" s="21">
        <f>EXP(-LN(2)/2)*BR185+(1-EXP(-LN(2)/2))/(LN(2)/2)*BL186*BO186*VLOOKUP('Données projet'!$B$11,Paramètres!$A$1:$I$89,3,0)*0.475*44/12</f>
        <v>1.8387697107176892E-17</v>
      </c>
      <c r="BS186" s="22">
        <f t="shared" si="169"/>
        <v>13.753546542488218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1.7053025658242404E-13</v>
      </c>
      <c r="BZ186" s="13">
        <f>BY186*VLOOKUP('Données projet'!$B$12,Paramètres!$A$1:$I$89,3,0)*VLOOKUP('Données projet'!$B$12,Paramètres!$A$1:$I$89,5,0)</f>
        <v>7.9808160080574461E-14</v>
      </c>
      <c r="CA186" s="13">
        <f t="shared" si="170"/>
        <v>1.2308384591775343E-12</v>
      </c>
      <c r="CB186" s="20">
        <f t="shared" si="171"/>
        <v>2.282709528541206E-12</v>
      </c>
      <c r="CC186" s="59">
        <f t="shared" si="119"/>
        <v>293.33333333333559</v>
      </c>
      <c r="CD186" s="59">
        <f ca="1">AVERAGE(OFFSET($CC$3,0,0,'Données projet'!$E$12+1,1))-AVERAGE(OFFSET($H$3,0,0,'Données projet'!$E$12+1,1))</f>
        <v>337.10499990421835</v>
      </c>
      <c r="CE186" s="59">
        <f t="shared" si="148"/>
        <v>277.4254079562175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51.936695592455024</v>
      </c>
      <c r="CL186" s="21">
        <f>EXP(-LN(2)/25)*CL185+(1-EXP(-LN(2)/25))/(LN(2)/25)*Calculateur!CG186*Calculateur!CI186*VLOOKUP('Données projet'!$B$12,Paramètres!$A$1:$I$89,3,0)*0.475*44/12</f>
        <v>10.622594958097254</v>
      </c>
      <c r="CM186" s="21">
        <f>EXP(-LN(2)/2)*CM185+(1-EXP(-LN(2)/2))/(LN(2)/2)*CG186*CJ186*VLOOKUP('Données projet'!$B$12,Paramètres!$A$1:$I$89,3,0)*0.475*44/12</f>
        <v>4.8292657248048209E-7</v>
      </c>
      <c r="CN186" s="22">
        <f t="shared" si="172"/>
        <v>62.55929103347885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4.7974999999999994</v>
      </c>
      <c r="CT186" s="12">
        <f>IF('Données projet'!$A$140&gt;35,CT185+CS186-DB185,IF(A186&lt;'Données projet'!$A$140,$CQ$205^A186,IF(A186='Données projet'!$A$140,'Données projet'!$B$140,CT185+CS186-DB185)))</f>
        <v>295.34249999999969</v>
      </c>
      <c r="CU186" s="17">
        <f>CT186*VLOOKUP('Données projet'!$B$13,Paramètres!$A$1:$I$89,3,0)*VLOOKUP('Données projet'!$B$13,Paramètres!$A$1:$I$89,5,0)</f>
        <v>294.86995199999973</v>
      </c>
      <c r="CV186" s="13">
        <f t="shared" si="173"/>
        <v>70.099931169782579</v>
      </c>
      <c r="CW186" s="20">
        <f t="shared" si="174"/>
        <v>635.65587985403749</v>
      </c>
      <c r="CX186" s="59">
        <f t="shared" si="122"/>
        <v>928.98921318737075</v>
      </c>
      <c r="CY186" s="59">
        <f ca="1">AVERAGE(OFFSET($CX$3,0,0,'Données projet'!$E$13+1,1))-AVERAGE(OFFSET($H$3,0,0,'Données projet'!$E$13+1,1))</f>
        <v>525.74725170626471</v>
      </c>
      <c r="CZ186" s="59">
        <f t="shared" si="150"/>
        <v>259.19103598192197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76.114400574779637</v>
      </c>
      <c r="DG186" s="21">
        <f>EXP(-LN(2)/25)*DG185+(1-EXP(-LN(2)/25))/(LN(2)/25)*Calculateur!DB186*Calculateur!DD186*VLOOKUP('Données projet'!$B$13,Paramètres!$A$1:$I$89,3,0)*0.475*44/12</f>
        <v>30.375709296137543</v>
      </c>
      <c r="DH186" s="21">
        <f>EXP(-LN(2)/2)*DH185+(1-EXP(-LN(2)/2))/(LN(2)/2)*DB186*DE186*VLOOKUP('Données projet'!$B$13,Paramètres!$A$1:$I$89,3,0)*0.475*44/12</f>
        <v>7.8433239053552276E-6</v>
      </c>
      <c r="DI186" s="22">
        <f t="shared" si="175"/>
        <v>106.49011771424108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5.4001247917767614E-13</v>
      </c>
      <c r="DP186" s="17">
        <f>DO186*VLOOKUP('Données projet'!$B$14,Paramètres!$A$1:$I$89,3,0)*VLOOKUP('Données projet'!$B$14,Paramètres!$A$1:$I$89,5,0)</f>
        <v>4.8860329115996133E-13</v>
      </c>
      <c r="DQ186" s="13">
        <f t="shared" si="176"/>
        <v>6.1025862939685007E-12</v>
      </c>
      <c r="DR186" s="20">
        <f t="shared" si="177"/>
        <v>1.1479655194098737E-11</v>
      </c>
      <c r="DS186" s="59">
        <f t="shared" si="125"/>
        <v>293.3333333333448</v>
      </c>
      <c r="DT186" s="59">
        <f ca="1">AVERAGE(OFFSET($DS$3,0,0,'Données projet'!$E$14+1,1))-AVERAGE(OFFSET($H$3,0,0,'Données projet'!$E$14+1,1))</f>
        <v>490.06222615476065</v>
      </c>
      <c r="DU186" s="59">
        <f t="shared" si="152"/>
        <v>310.43914804089906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72.69834084411049</v>
      </c>
      <c r="EB186" s="21">
        <f>EXP(-LN(2)/25)*EB185+(1-EXP(-LN(2)/25))/(LN(2)/25)*Calculateur!DW186*Calculateur!DY186*VLOOKUP('Données projet'!$B$14,Paramètres!$A$1:$I$89,3,0)*0.475*44/12</f>
        <v>10.821629587944436</v>
      </c>
      <c r="EC186" s="21">
        <f>EXP(-LN(2)/2)*EC185+(1-EXP(-LN(2)/2))/(LN(2)/2)*DW186*DZ186*VLOOKUP('Données projet'!$B$14,Paramètres!$A$1:$I$89,3,0)*0.475*44/12</f>
        <v>3.3396465888533718E-3</v>
      </c>
      <c r="ED186" s="22">
        <f t="shared" si="178"/>
        <v>83.523310078643775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4.7974999999999994</v>
      </c>
      <c r="EJ186" s="12">
        <f>IF('Données projet'!$A$192&gt;35,EJ185+EI186-ER185,IF(A186&lt;'Données projet'!$A$192,$EG$205^A186,IF(A186='Données projet'!$A$192,'Données projet'!$B$192,EJ185+EI186-ER185)))</f>
        <v>295.34249999999969</v>
      </c>
      <c r="EK186" s="17">
        <f>EJ186*VLOOKUP('Données projet'!$B$15,Paramètres!$A$1:$I$89,3,0)*VLOOKUP('Données projet'!$B$15,Paramètres!$A$1:$I$89,5,0)</f>
        <v>299.47729499999969</v>
      </c>
      <c r="EL186" s="13">
        <f t="shared" si="179"/>
        <v>71.066873311318389</v>
      </c>
      <c r="EM186" s="20">
        <f t="shared" si="180"/>
        <v>645.36442647554566</v>
      </c>
      <c r="EN186" s="59">
        <f t="shared" si="128"/>
        <v>938.69775980887903</v>
      </c>
      <c r="EO186" s="59">
        <f ca="1">AVERAGE(OFFSET($EN$3,0,0,'Données projet'!$E$15+1,1))-AVERAGE(OFFSET($H$3,0,0,'Données projet'!$E$15+1,1))</f>
        <v>533.26035274112917</v>
      </c>
      <c r="EP186" s="59">
        <f t="shared" si="154"/>
        <v>262.58149402282521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77.303688083760562</v>
      </c>
      <c r="EW186" s="21">
        <f>EXP(-LN(2)/25)*EW185+(1-EXP(-LN(2)/25))/(LN(2)/25)*Calculateur!ER186*Calculateur!ET186*VLOOKUP('Données projet'!$B$15,Paramètres!$A$1:$I$89,3,0)*0.475*44/12</f>
        <v>30.850329753889685</v>
      </c>
      <c r="EX186" s="21">
        <f>EXP(-LN(2)/2)*EX185+(1-EXP(-LN(2)/2))/(LN(2)/2)*ER186*EU186*VLOOKUP('Données projet'!$B$15,Paramètres!$A$1:$I$89,3,0)*0.475*44/12</f>
        <v>7.9658758413763979E-6</v>
      </c>
      <c r="EY186" s="22">
        <f t="shared" si="181"/>
        <v>108.15402580352608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239.26156489359892</v>
      </c>
      <c r="FK186" s="59">
        <f t="shared" si="156"/>
        <v>213.97034450798111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1.714387771180774</v>
      </c>
      <c r="FR186" s="21">
        <f>EXP(-LN(2)/25)*FR185+(1-EXP(-LN(2)/25))/(LN(2)/25)*Calculateur!FM186*Calculateur!FO186*VLOOKUP('Données projet'!$B$16,Paramètres!$A$1:$I$89,3,0)*0.475*44/12</f>
        <v>4.8463780495297986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6.5607658207105723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2.5579538487363607E-13</v>
      </c>
      <c r="O187" s="13">
        <f>N187*VLOOKUP('Données projet'!$B$9,Paramètres!$A$1:$I$89,3,0)*VLOOKUP('Données projet'!$B$9,Paramètres!$A$1:$I$89,5,0)</f>
        <v>2.4341488824575211E-13</v>
      </c>
      <c r="P187" s="13">
        <f t="shared" si="141"/>
        <v>3.2970717324875541E-12</v>
      </c>
      <c r="Q187" s="20">
        <f t="shared" si="162"/>
        <v>6.1663475311105072E-12</v>
      </c>
      <c r="R187" s="59">
        <f t="shared" si="109"/>
        <v>293.33333333333945</v>
      </c>
      <c r="S187" s="59">
        <f ca="1">AVERAGE(OFFSET($R$3,0,0,'Données projet'!$E$9+1,1))-AVERAGE(OFFSET($H$3,0,0,'Données projet'!$E$9+1,1))</f>
        <v>449.28947235329758</v>
      </c>
      <c r="T187" s="59">
        <f t="shared" si="142"/>
        <v>289.36994109443964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40.77609610626908</v>
      </c>
      <c r="AA187" s="21">
        <f>EXP(-LN(2)/25)*AA186+(1-EXP(-LN(2)/25))/(LN(2)/25)*Calculateur!V187*Calculateur!X187*VLOOKUP('Données projet'!$B$9,Paramètres!$A$1:$I$89,3,0)*0.475*44/12</f>
        <v>5.5399076423984255</v>
      </c>
      <c r="AB187" s="21">
        <f>EXP(-LN(2)/2)*AB186+(1-EXP(-LN(2)/2))/(LN(2)/2)*V187*Y187*VLOOKUP('Données projet'!$B$9,Paramètres!$A$1:$I$89,3,0)*0.475*44/12</f>
        <v>5.3356915517505349E-8</v>
      </c>
      <c r="AC187" s="22">
        <f t="shared" si="163"/>
        <v>46.316003802024419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-1.3596945791505279E-13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349.71285006949597</v>
      </c>
      <c r="AO187" s="59">
        <f t="shared" si="144"/>
        <v>258.51550516456842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19.541633302040349</v>
      </c>
      <c r="AV187" s="21">
        <f>EXP(-LN(2)/25)*AV186+(1-EXP(-LN(2)/25))/(LN(2)/25)*Calculateur!AQ187*Calculateur!AS187*VLOOKUP('Données projet'!$B$10,Paramètres!$A$1:$I$89,3,0)*0.475*44/12</f>
        <v>2.8945319322512253</v>
      </c>
      <c r="AW187" s="21">
        <f>EXP(-LN(2)/2)*AW186+(1-EXP(-LN(2)/2))/(LN(2)/2)*AQ187*AT187*VLOOKUP('Données projet'!$B$10,Paramètres!$A$1:$I$89,3,0)*0.475*44/12</f>
        <v>1.5702249012418947E-14</v>
      </c>
      <c r="AX187" s="21">
        <f t="shared" si="166"/>
        <v>22.43616523429159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1.1368683772161603E-13</v>
      </c>
      <c r="BE187" s="13">
        <f>BD187*VLOOKUP('Données projet'!$B$11,Paramètres!$A$1:$I$89,3,0)*VLOOKUP('Données projet'!$B$11,Paramètres!$A$1:$I$89,5,0)</f>
        <v>6.7984728957526396E-14</v>
      </c>
      <c r="BF187" s="13">
        <f t="shared" si="167"/>
        <v>1.0682447123141398E-12</v>
      </c>
      <c r="BG187" s="20">
        <f t="shared" si="168"/>
        <v>1.978932943548152E-12</v>
      </c>
      <c r="BH187" s="59">
        <f t="shared" si="116"/>
        <v>293.3333333333353</v>
      </c>
      <c r="BI187" s="59">
        <f ca="1">AVERAGE(OFFSET($BH$3,0,0,'Données projet'!$E$11+1,1))-AVERAGE(OFFSET($H$3,0,0,'Données projet'!$E$11+1,1))</f>
        <v>302.00825291248458</v>
      </c>
      <c r="BJ187" s="59">
        <f t="shared" si="146"/>
        <v>307.35115839449355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11.915146278843405</v>
      </c>
      <c r="BQ187" s="21">
        <f>EXP(-LN(2)/25)*BQ186+(1-EXP(-LN(2)/25))/(LN(2)/25)*Calculateur!BL187*Calculateur!BN187*VLOOKUP('Données projet'!$B$11,Paramètres!$A$1:$I$89,3,0)*0.475*44/12</f>
        <v>1.5563239401061042</v>
      </c>
      <c r="BR187" s="21">
        <f>EXP(-LN(2)/2)*BR186+(1-EXP(-LN(2)/2))/(LN(2)/2)*BL187*BO187*VLOOKUP('Données projet'!$B$11,Paramètres!$A$1:$I$89,3,0)*0.475*44/12</f>
        <v>1.3002065314889043E-17</v>
      </c>
      <c r="BS187" s="22">
        <f t="shared" si="169"/>
        <v>13.471470218949509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1.7053025658242404E-13</v>
      </c>
      <c r="BZ187" s="13">
        <f>BY187*VLOOKUP('Données projet'!$B$12,Paramètres!$A$1:$I$89,3,0)*VLOOKUP('Données projet'!$B$12,Paramètres!$A$1:$I$89,5,0)</f>
        <v>7.9808160080574461E-14</v>
      </c>
      <c r="CA187" s="13">
        <f t="shared" si="170"/>
        <v>1.2308384591775343E-12</v>
      </c>
      <c r="CB187" s="20">
        <f t="shared" si="171"/>
        <v>2.282709528541206E-12</v>
      </c>
      <c r="CC187" s="59">
        <f t="shared" si="119"/>
        <v>293.33333333333559</v>
      </c>
      <c r="CD187" s="59">
        <f ca="1">AVERAGE(OFFSET($CC$3,0,0,'Données projet'!$E$12+1,1))-AVERAGE(OFFSET($H$3,0,0,'Données projet'!$E$12+1,1))</f>
        <v>337.10499990421835</v>
      </c>
      <c r="CE187" s="59">
        <f t="shared" si="148"/>
        <v>277.4254079562175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50.918248670143328</v>
      </c>
      <c r="CL187" s="21">
        <f>EXP(-LN(2)/25)*CL186+(1-EXP(-LN(2)/25))/(LN(2)/25)*Calculateur!CG187*Calculateur!CI187*VLOOKUP('Données projet'!$B$12,Paramètres!$A$1:$I$89,3,0)*0.475*44/12</f>
        <v>10.332119540350094</v>
      </c>
      <c r="CM187" s="21">
        <f>EXP(-LN(2)/2)*CM186+(1-EXP(-LN(2)/2))/(LN(2)/2)*CG187*CJ187*VLOOKUP('Données projet'!$B$12,Paramètres!$A$1:$I$89,3,0)*0.475*44/12</f>
        <v>3.4148065421612565E-7</v>
      </c>
      <c r="CN187" s="22">
        <f t="shared" si="172"/>
        <v>61.250368551974077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>
        <f>VLOOKUP(A187,'Données projet'!$A$139:$I$159,2,0)</f>
        <v>300.14</v>
      </c>
      <c r="CR187" s="12">
        <f>VLOOKUP(A187,'Données projet'!$A$139:$I$159,9,0)</f>
        <v>4.7974999999999994</v>
      </c>
      <c r="CS187" s="12">
        <f t="array" ref="CS187">INDEX(CR:CR,MIN(IF(ISNUMBER(CR187:CR383),ROW(CR187:CR383),"")))</f>
        <v>4.7974999999999994</v>
      </c>
      <c r="CT187" s="12">
        <f>IF('Données projet'!$A$140&gt;35,CT186+CS187-DB186,IF(A187&lt;'Données projet'!$A$140,$CQ$205^A187,IF(A187='Données projet'!$A$140,'Données projet'!$B$140,CT186+CS187-DB186)))</f>
        <v>300.1399999999997</v>
      </c>
      <c r="CU187" s="17">
        <f>CT187*VLOOKUP('Données projet'!$B$13,Paramètres!$A$1:$I$89,3,0)*VLOOKUP('Données projet'!$B$13,Paramètres!$A$1:$I$89,5,0)</f>
        <v>299.65977599999974</v>
      </c>
      <c r="CV187" s="13">
        <f t="shared" si="173"/>
        <v>71.105134747520538</v>
      </c>
      <c r="CW187" s="20">
        <f t="shared" si="174"/>
        <v>645.7488862185977</v>
      </c>
      <c r="CX187" s="59">
        <f t="shared" si="122"/>
        <v>939.08221955193108</v>
      </c>
      <c r="CY187" s="59">
        <f ca="1">AVERAGE(OFFSET($CX$3,0,0,'Données projet'!$E$13+1,1))-AVERAGE(OFFSET($H$3,0,0,'Données projet'!$E$13+1,1))</f>
        <v>525.74725170626471</v>
      </c>
      <c r="CZ187" s="59">
        <f t="shared" si="150"/>
        <v>259.19103598192197</v>
      </c>
      <c r="DA187" s="15">
        <f>IF(ISNA(VLOOKUP(A187,'Données projet'!$A$139:$I$159,3,0)),0,VLOOKUP(A187,'Données projet'!$A$139:$I$159,3,0))</f>
        <v>14</v>
      </c>
      <c r="DB187" s="15">
        <f>IF(ISNA(VLOOKUP(A187,'Données projet'!$A$139:$I$159,4,0)),0,VLOOKUP(A187,'Données projet'!$A$139:$I$159,4,0))</f>
        <v>101.19999999999999</v>
      </c>
      <c r="DC187" s="16">
        <f>IF(ISNA(VLOOKUP(A187,'Données projet'!$A$139:$I$159,5,0)),0%,VLOOKUP(A187,'Données projet'!$A$139:$I$159,5,0)*VLOOKUP('Données projet'!$B$13,Paramètres!$A$1:$I$89,7,0))</f>
        <v>0.215</v>
      </c>
      <c r="DD187" s="16">
        <f>IF(ISNA(VLOOKUP(A187,'Données projet'!$A$139:$I$159,6,0)),0%,VLOOKUP(A187,'Données projet'!$A$139:$I$159,6,0)*VLOOKUP('Données projet'!$B$13,Paramètres!$A$1:$I$89,7,0))</f>
        <v>8.6000000000000007E-2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98.636183603357765</v>
      </c>
      <c r="DG187" s="21">
        <f>EXP(-LN(2)/25)*DG186+(1-EXP(-LN(2)/25))/(LN(2)/25)*Calculateur!DB187*Calculateur!DD187*VLOOKUP('Données projet'!$B$13,Paramètres!$A$1:$I$89,3,0)*0.475*44/12</f>
        <v>39.112998484803029</v>
      </c>
      <c r="DH187" s="21">
        <f>EXP(-LN(2)/2)*DH186+(1-EXP(-LN(2)/2))/(LN(2)/2)*DB187*DE187*VLOOKUP('Données projet'!$B$13,Paramètres!$A$1:$I$89,3,0)*0.475*44/12</f>
        <v>5.5460675205192363E-6</v>
      </c>
      <c r="DI187" s="22">
        <f t="shared" si="175"/>
        <v>137.74918763422832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5.4001247917767614E-13</v>
      </c>
      <c r="DP187" s="17">
        <f>DO187*VLOOKUP('Données projet'!$B$14,Paramètres!$A$1:$I$89,3,0)*VLOOKUP('Données projet'!$B$14,Paramètres!$A$1:$I$89,5,0)</f>
        <v>4.8860329115996133E-13</v>
      </c>
      <c r="DQ187" s="13">
        <f t="shared" si="176"/>
        <v>6.1025862939685007E-12</v>
      </c>
      <c r="DR187" s="20">
        <f t="shared" si="177"/>
        <v>1.1479655194098737E-11</v>
      </c>
      <c r="DS187" s="59">
        <f t="shared" si="125"/>
        <v>293.3333333333448</v>
      </c>
      <c r="DT187" s="59">
        <f ca="1">AVERAGE(OFFSET($DS$3,0,0,'Données projet'!$E$14+1,1))-AVERAGE(OFFSET($H$3,0,0,'Données projet'!$E$14+1,1))</f>
        <v>490.06222615476065</v>
      </c>
      <c r="DU187" s="59">
        <f t="shared" si="152"/>
        <v>310.43914804089906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71.272770721767031</v>
      </c>
      <c r="EB187" s="21">
        <f>EXP(-LN(2)/25)*EB186+(1-EXP(-LN(2)/25))/(LN(2)/25)*Calculateur!DW187*Calculateur!DY187*VLOOKUP('Données projet'!$B$14,Paramètres!$A$1:$I$89,3,0)*0.475*44/12</f>
        <v>10.525711557777328</v>
      </c>
      <c r="EC187" s="21">
        <f>EXP(-LN(2)/2)*EC186+(1-EXP(-LN(2)/2))/(LN(2)/2)*DW187*DZ187*VLOOKUP('Données projet'!$B$14,Paramètres!$A$1:$I$89,3,0)*0.475*44/12</f>
        <v>2.361486749744741E-3</v>
      </c>
      <c r="ED187" s="22">
        <f t="shared" si="178"/>
        <v>81.800843766294108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>
        <f>VLOOKUP(A187,'Données projet'!$A$191:$I$211,2,0)</f>
        <v>300.14</v>
      </c>
      <c r="EH187" s="12">
        <f>VLOOKUP(A187,'Données projet'!$A$191:$I$211,9,0)</f>
        <v>4.7974999999999994</v>
      </c>
      <c r="EI187" s="12">
        <f t="array" ref="EI187">INDEX(EH:EH,MIN(IF(ISNUMBER(EH187:EH383),ROW(EH187:EH383),"")))</f>
        <v>4.7974999999999994</v>
      </c>
      <c r="EJ187" s="12">
        <f>IF('Données projet'!$A$192&gt;35,EJ186+EI187-ER186,IF(A187&lt;'Données projet'!$A$192,$EG$205^A187,IF(A187='Données projet'!$A$192,'Données projet'!$B$192,EJ186+EI187-ER186)))</f>
        <v>300.1399999999997</v>
      </c>
      <c r="EK187" s="17">
        <f>EJ187*VLOOKUP('Données projet'!$B$15,Paramètres!$A$1:$I$89,3,0)*VLOOKUP('Données projet'!$B$15,Paramètres!$A$1:$I$89,5,0)</f>
        <v>304.34195999999969</v>
      </c>
      <c r="EL187" s="13">
        <f t="shared" si="179"/>
        <v>72.085942433343163</v>
      </c>
      <c r="EM187" s="20">
        <f t="shared" si="180"/>
        <v>655.61193007140548</v>
      </c>
      <c r="EN187" s="59">
        <f t="shared" si="128"/>
        <v>948.94526340473885</v>
      </c>
      <c r="EO187" s="59">
        <f ca="1">AVERAGE(OFFSET($EN$3,0,0,'Données projet'!$E$15+1,1))-AVERAGE(OFFSET($H$3,0,0,'Données projet'!$E$15+1,1))</f>
        <v>533.26035274112917</v>
      </c>
      <c r="EP187" s="59">
        <f t="shared" si="154"/>
        <v>262.58149402282521</v>
      </c>
      <c r="EQ187" s="15">
        <f>IF(ISNA(VLOOKUP(A187,'Données projet'!$A$191:$I$211,3,0)),0,VLOOKUP(A187,'Données projet'!$A$191:$I$211,3,0))</f>
        <v>14</v>
      </c>
      <c r="ER187" s="15">
        <f>IF(ISNA(VLOOKUP(A187,'Données projet'!$A$191:$I$211,4,0)),0,VLOOKUP(A187,'Données projet'!$A$191:$I$211,4,0))</f>
        <v>101.19999999999999</v>
      </c>
      <c r="ES187" s="16">
        <f>IF(ISNA(VLOOKUP(A187,'Données projet'!$A$191:$I$211,5,0)),0%,VLOOKUP(A187,'Données projet'!$A$191:$I$211,5,0)*VLOOKUP('Données projet'!$B$15,Paramètres!$A$1:$I$89,7,0))</f>
        <v>0.215</v>
      </c>
      <c r="ET187" s="16">
        <f>IF(ISNA(VLOOKUP(A187,'Données projet'!$A$191:$I$211,6,0)),0%,VLOOKUP(A187,'Données projet'!$A$191:$I$211,6,0)*VLOOKUP('Données projet'!$B$15,Paramètres!$A$1:$I$89,7,0))</f>
        <v>8.6000000000000007E-2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100.17737397216023</v>
      </c>
      <c r="EW187" s="21">
        <f>EXP(-LN(2)/25)*EW186+(1-EXP(-LN(2)/25))/(LN(2)/25)*Calculateur!ER187*Calculateur!ET187*VLOOKUP('Données projet'!$B$15,Paramètres!$A$1:$I$89,3,0)*0.475*44/12</f>
        <v>39.724139086128069</v>
      </c>
      <c r="EX187" s="21">
        <f>EXP(-LN(2)/2)*EX186+(1-EXP(-LN(2)/2))/(LN(2)/2)*ER187*EU187*VLOOKUP('Données projet'!$B$15,Paramètres!$A$1:$I$89,3,0)*0.475*44/12</f>
        <v>5.6327248255273458E-6</v>
      </c>
      <c r="EY187" s="22">
        <f t="shared" si="181"/>
        <v>139.90151869101311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239.26156489359892</v>
      </c>
      <c r="FK187" s="59">
        <f t="shared" si="156"/>
        <v>213.97034450798111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1.6807696726612078</v>
      </c>
      <c r="FR187" s="21">
        <f>EXP(-LN(2)/25)*FR186+(1-EXP(-LN(2)/25))/(LN(2)/25)*Calculateur!FM187*Calculateur!FO187*VLOOKUP('Données projet'!$B$16,Paramètres!$A$1:$I$89,3,0)*0.475*44/12</f>
        <v>4.7138535869054614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6.3946232595666697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2.5579538487363607E-13</v>
      </c>
      <c r="O188" s="13">
        <f>N188*VLOOKUP('Données projet'!$B$9,Paramètres!$A$1:$I$89,3,0)*VLOOKUP('Données projet'!$B$9,Paramètres!$A$1:$I$89,5,0)</f>
        <v>2.4341488824575211E-13</v>
      </c>
      <c r="P188" s="13">
        <f t="shared" si="141"/>
        <v>3.2970717324875541E-12</v>
      </c>
      <c r="Q188" s="20">
        <f t="shared" si="162"/>
        <v>6.1663475311105072E-12</v>
      </c>
      <c r="R188" s="59">
        <f t="shared" si="109"/>
        <v>293.33333333333945</v>
      </c>
      <c r="S188" s="59">
        <f ca="1">AVERAGE(OFFSET($R$3,0,0,'Données projet'!$E$9+1,1))-AVERAGE(OFFSET($H$3,0,0,'Données projet'!$E$9+1,1))</f>
        <v>449.28947235329758</v>
      </c>
      <c r="T188" s="59">
        <f t="shared" si="142"/>
        <v>289.36994109443964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39.976501732587963</v>
      </c>
      <c r="AA188" s="21">
        <f>EXP(-LN(2)/25)*AA187+(1-EXP(-LN(2)/25))/(LN(2)/25)*Calculateur!V188*Calculateur!X188*VLOOKUP('Données projet'!$B$9,Paramètres!$A$1:$I$89,3,0)*0.475*44/12</f>
        <v>5.3884185765859591</v>
      </c>
      <c r="AB188" s="21">
        <f>EXP(-LN(2)/2)*AB187+(1-EXP(-LN(2)/2))/(LN(2)/2)*V188*Y188*VLOOKUP('Données projet'!$B$9,Paramètres!$A$1:$I$89,3,0)*0.475*44/12</f>
        <v>3.7729036785625757E-8</v>
      </c>
      <c r="AC188" s="22">
        <f t="shared" si="163"/>
        <v>45.364920346902963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-1.3596945791505279E-13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349.71285006949597</v>
      </c>
      <c r="AO188" s="59">
        <f t="shared" si="144"/>
        <v>258.51550516456842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19.158433792206726</v>
      </c>
      <c r="AV188" s="21">
        <f>EXP(-LN(2)/25)*AV187+(1-EXP(-LN(2)/25))/(LN(2)/25)*Calculateur!AQ188*Calculateur!AS188*VLOOKUP('Données projet'!$B$10,Paramètres!$A$1:$I$89,3,0)*0.475*44/12</f>
        <v>2.8153808043469968</v>
      </c>
      <c r="AW188" s="21">
        <f>EXP(-LN(2)/2)*AW187+(1-EXP(-LN(2)/2))/(LN(2)/2)*AQ188*AT188*VLOOKUP('Données projet'!$B$10,Paramètres!$A$1:$I$89,3,0)*0.475*44/12</f>
        <v>1.1103166756561206E-14</v>
      </c>
      <c r="AX188" s="21">
        <f t="shared" si="166"/>
        <v>21.973814596553733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1.1368683772161603E-13</v>
      </c>
      <c r="BE188" s="13">
        <f>BD188*VLOOKUP('Données projet'!$B$11,Paramètres!$A$1:$I$89,3,0)*VLOOKUP('Données projet'!$B$11,Paramètres!$A$1:$I$89,5,0)</f>
        <v>6.7984728957526396E-14</v>
      </c>
      <c r="BF188" s="13">
        <f t="shared" si="167"/>
        <v>1.0682447123141398E-12</v>
      </c>
      <c r="BG188" s="20">
        <f t="shared" si="168"/>
        <v>1.978932943548152E-12</v>
      </c>
      <c r="BH188" s="59">
        <f t="shared" si="116"/>
        <v>293.3333333333353</v>
      </c>
      <c r="BI188" s="59">
        <f ca="1">AVERAGE(OFFSET($BH$3,0,0,'Données projet'!$E$11+1,1))-AVERAGE(OFFSET($H$3,0,0,'Données projet'!$E$11+1,1))</f>
        <v>302.00825291248458</v>
      </c>
      <c r="BJ188" s="59">
        <f t="shared" si="146"/>
        <v>307.35115839449355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11.681497527836909</v>
      </c>
      <c r="BQ188" s="21">
        <f>EXP(-LN(2)/25)*BQ187+(1-EXP(-LN(2)/25))/(LN(2)/25)*Calculateur!BL188*Calculateur!BN188*VLOOKUP('Données projet'!$B$11,Paramètres!$A$1:$I$89,3,0)*0.475*44/12</f>
        <v>1.5137661801203839</v>
      </c>
      <c r="BR188" s="21">
        <f>EXP(-LN(2)/2)*BR187+(1-EXP(-LN(2)/2))/(LN(2)/2)*BL188*BO188*VLOOKUP('Données projet'!$B$11,Paramètres!$A$1:$I$89,3,0)*0.475*44/12</f>
        <v>9.1938485535884458E-18</v>
      </c>
      <c r="BS188" s="22">
        <f t="shared" si="169"/>
        <v>13.195263707957292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1.7053025658242404E-13</v>
      </c>
      <c r="BZ188" s="13">
        <f>BY188*VLOOKUP('Données projet'!$B$12,Paramètres!$A$1:$I$89,3,0)*VLOOKUP('Données projet'!$B$12,Paramètres!$A$1:$I$89,5,0)</f>
        <v>7.9808160080574461E-14</v>
      </c>
      <c r="CA188" s="13">
        <f t="shared" si="170"/>
        <v>1.2308384591775343E-12</v>
      </c>
      <c r="CB188" s="20">
        <f t="shared" si="171"/>
        <v>2.282709528541206E-12</v>
      </c>
      <c r="CC188" s="59">
        <f t="shared" si="119"/>
        <v>293.33333333333559</v>
      </c>
      <c r="CD188" s="59">
        <f ca="1">AVERAGE(OFFSET($CC$3,0,0,'Données projet'!$E$12+1,1))-AVERAGE(OFFSET($H$3,0,0,'Données projet'!$E$12+1,1))</f>
        <v>337.10499990421835</v>
      </c>
      <c r="CE188" s="59">
        <f t="shared" si="148"/>
        <v>277.4254079562175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49.919772870786872</v>
      </c>
      <c r="CL188" s="21">
        <f>EXP(-LN(2)/25)*CL187+(1-EXP(-LN(2)/25))/(LN(2)/25)*Calculateur!CG188*Calculateur!CI188*VLOOKUP('Données projet'!$B$12,Paramètres!$A$1:$I$89,3,0)*0.475*44/12</f>
        <v>10.049587188176668</v>
      </c>
      <c r="CM188" s="21">
        <f>EXP(-LN(2)/2)*CM187+(1-EXP(-LN(2)/2))/(LN(2)/2)*CG188*CJ188*VLOOKUP('Données projet'!$B$12,Paramètres!$A$1:$I$89,3,0)*0.475*44/12</f>
        <v>2.4146328624024104E-7</v>
      </c>
      <c r="CN188" s="22">
        <f t="shared" si="172"/>
        <v>59.969360300426821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3.0825000000000031</v>
      </c>
      <c r="CT188" s="12">
        <f>IF('Données projet'!$A$140&gt;35,CT187+CS188-DB187,IF(A188&lt;'Données projet'!$A$140,$CQ$205^A188,IF(A188='Données projet'!$A$140,'Données projet'!$B$140,CT187+CS188-DB187)))</f>
        <v>202.0224999999997</v>
      </c>
      <c r="CU188" s="17">
        <f>CT188*VLOOKUP('Données projet'!$B$13,Paramètres!$A$1:$I$89,3,0)*VLOOKUP('Données projet'!$B$13,Paramètres!$A$1:$I$89,5,0)</f>
        <v>201.69926399999969</v>
      </c>
      <c r="CV188" s="13">
        <f t="shared" si="173"/>
        <v>50.117430438084995</v>
      </c>
      <c r="CW188" s="20">
        <f t="shared" si="174"/>
        <v>438.58074281299741</v>
      </c>
      <c r="CX188" s="59">
        <f t="shared" si="122"/>
        <v>731.91407614633067</v>
      </c>
      <c r="CY188" s="59">
        <f ca="1">AVERAGE(OFFSET($CX$3,0,0,'Données projet'!$E$13+1,1))-AVERAGE(OFFSET($H$3,0,0,'Données projet'!$E$13+1,1))</f>
        <v>525.74725170626471</v>
      </c>
      <c r="CZ188" s="59">
        <f t="shared" si="150"/>
        <v>259.19103598192197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96.701988205027405</v>
      </c>
      <c r="DG188" s="21">
        <f>EXP(-LN(2)/25)*DG187+(1-EXP(-LN(2)/25))/(LN(2)/25)*Calculateur!DB188*Calculateur!DD188*VLOOKUP('Données projet'!$B$13,Paramètres!$A$1:$I$89,3,0)*0.475*44/12</f>
        <v>38.043451484372895</v>
      </c>
      <c r="DH188" s="21">
        <f>EXP(-LN(2)/2)*DH187+(1-EXP(-LN(2)/2))/(LN(2)/2)*DB188*DE188*VLOOKUP('Données projet'!$B$13,Paramètres!$A$1:$I$89,3,0)*0.475*44/12</f>
        <v>3.9216619526776138E-6</v>
      </c>
      <c r="DI188" s="22">
        <f t="shared" si="175"/>
        <v>134.74544361106226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5.4001247917767614E-13</v>
      </c>
      <c r="DP188" s="17">
        <f>DO188*VLOOKUP('Données projet'!$B$14,Paramètres!$A$1:$I$89,3,0)*VLOOKUP('Données projet'!$B$14,Paramètres!$A$1:$I$89,5,0)</f>
        <v>4.8860329115996133E-13</v>
      </c>
      <c r="DQ188" s="13">
        <f t="shared" si="176"/>
        <v>6.1025862939685007E-12</v>
      </c>
      <c r="DR188" s="20">
        <f t="shared" si="177"/>
        <v>1.1479655194098737E-11</v>
      </c>
      <c r="DS188" s="59">
        <f t="shared" si="125"/>
        <v>293.3333333333448</v>
      </c>
      <c r="DT188" s="59">
        <f ca="1">AVERAGE(OFFSET($DS$3,0,0,'Données projet'!$E$14+1,1))-AVERAGE(OFFSET($H$3,0,0,'Données projet'!$E$14+1,1))</f>
        <v>490.06222615476065</v>
      </c>
      <c r="DU188" s="59">
        <f t="shared" si="152"/>
        <v>310.43914804089906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69.875155160010806</v>
      </c>
      <c r="EB188" s="21">
        <f>EXP(-LN(2)/25)*EB187+(1-EXP(-LN(2)/25))/(LN(2)/25)*Calculateur!DW188*Calculateur!DY188*VLOOKUP('Données projet'!$B$14,Paramètres!$A$1:$I$89,3,0)*0.475*44/12</f>
        <v>10.237885421706792</v>
      </c>
      <c r="EC188" s="21">
        <f>EXP(-LN(2)/2)*EC187+(1-EXP(-LN(2)/2))/(LN(2)/2)*DW188*DZ188*VLOOKUP('Données projet'!$B$14,Paramètres!$A$1:$I$89,3,0)*0.475*44/12</f>
        <v>1.6698232944266859E-3</v>
      </c>
      <c r="ED188" s="22">
        <f t="shared" si="178"/>
        <v>80.114710405012019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3.0825000000000031</v>
      </c>
      <c r="EJ188" s="12">
        <f>IF('Données projet'!$A$192&gt;35,EJ187+EI188-ER187,IF(A188&lt;'Données projet'!$A$192,$EG$205^A188,IF(A188='Données projet'!$A$192,'Données projet'!$B$192,EJ187+EI188-ER187)))</f>
        <v>202.0224999999997</v>
      </c>
      <c r="EK188" s="17">
        <f>EJ188*VLOOKUP('Données projet'!$B$15,Paramètres!$A$1:$I$89,3,0)*VLOOKUP('Données projet'!$B$15,Paramètres!$A$1:$I$89,5,0)</f>
        <v>204.8508149999997</v>
      </c>
      <c r="EL188" s="13">
        <f t="shared" si="179"/>
        <v>50.808738613533862</v>
      </c>
      <c r="EM188" s="20">
        <f t="shared" si="180"/>
        <v>445.27372254357095</v>
      </c>
      <c r="EN188" s="59">
        <f t="shared" si="128"/>
        <v>738.60705587690427</v>
      </c>
      <c r="EO188" s="59">
        <f ca="1">AVERAGE(OFFSET($EN$3,0,0,'Données projet'!$E$15+1,1))-AVERAGE(OFFSET($H$3,0,0,'Données projet'!$E$15+1,1))</f>
        <v>533.26035274112917</v>
      </c>
      <c r="EP188" s="59">
        <f t="shared" si="154"/>
        <v>262.58149402282521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98.212956770730955</v>
      </c>
      <c r="EW188" s="21">
        <f>EXP(-LN(2)/25)*EW187+(1-EXP(-LN(2)/25))/(LN(2)/25)*Calculateur!ER188*Calculateur!ET188*VLOOKUP('Données projet'!$B$15,Paramètres!$A$1:$I$89,3,0)*0.475*44/12</f>
        <v>38.637880413816212</v>
      </c>
      <c r="EX188" s="21">
        <f>EXP(-LN(2)/2)*EX187+(1-EXP(-LN(2)/2))/(LN(2)/2)*ER188*EU188*VLOOKUP('Données projet'!$B$15,Paramètres!$A$1:$I$89,3,0)*0.475*44/12</f>
        <v>3.982937920688199E-6</v>
      </c>
      <c r="EY188" s="22">
        <f t="shared" si="181"/>
        <v>136.8508411674851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239.26156489359892</v>
      </c>
      <c r="FK188" s="59">
        <f t="shared" si="156"/>
        <v>213.97034450798111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1.6478108045485949</v>
      </c>
      <c r="FR188" s="21">
        <f>EXP(-LN(2)/25)*FR187+(1-EXP(-LN(2)/25))/(LN(2)/25)*Calculateur!FM188*Calculateur!FO188*VLOOKUP('Données projet'!$B$16,Paramètres!$A$1:$I$89,3,0)*0.475*44/12</f>
        <v>4.584953012680745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6.2327638172293396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2.5579538487363607E-13</v>
      </c>
      <c r="O189" s="13">
        <f>N189*VLOOKUP('Données projet'!$B$9,Paramètres!$A$1:$I$89,3,0)*VLOOKUP('Données projet'!$B$9,Paramètres!$A$1:$I$89,5,0)</f>
        <v>2.4341488824575211E-13</v>
      </c>
      <c r="P189" s="13">
        <f t="shared" si="141"/>
        <v>3.2970717324875541E-12</v>
      </c>
      <c r="Q189" s="20">
        <f t="shared" si="162"/>
        <v>6.1663475311105072E-12</v>
      </c>
      <c r="R189" s="59">
        <f t="shared" si="109"/>
        <v>293.33333333333945</v>
      </c>
      <c r="S189" s="59">
        <f ca="1">AVERAGE(OFFSET($R$3,0,0,'Données projet'!$E$9+1,1))-AVERAGE(OFFSET($H$3,0,0,'Données projet'!$E$9+1,1))</f>
        <v>449.28947235329758</v>
      </c>
      <c r="T189" s="59">
        <f t="shared" si="142"/>
        <v>289.36994109443964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39.192586916870326</v>
      </c>
      <c r="AA189" s="21">
        <f>EXP(-LN(2)/25)*AA188+(1-EXP(-LN(2)/25))/(LN(2)/25)*Calculateur!V189*Calculateur!X189*VLOOKUP('Données projet'!$B$9,Paramètres!$A$1:$I$89,3,0)*0.475*44/12</f>
        <v>5.2410719872445988</v>
      </c>
      <c r="AB189" s="21">
        <f>EXP(-LN(2)/2)*AB188+(1-EXP(-LN(2)/2))/(LN(2)/2)*V189*Y189*VLOOKUP('Données projet'!$B$9,Paramètres!$A$1:$I$89,3,0)*0.475*44/12</f>
        <v>2.6678457758752675E-8</v>
      </c>
      <c r="AC189" s="22">
        <f t="shared" si="163"/>
        <v>44.433658930793378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-1.3596945791505279E-13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349.71285006949597</v>
      </c>
      <c r="AO189" s="59">
        <f t="shared" si="144"/>
        <v>258.51550516456842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18.78274859103232</v>
      </c>
      <c r="AV189" s="21">
        <f>EXP(-LN(2)/25)*AV188+(1-EXP(-LN(2)/25))/(LN(2)/25)*Calculateur!AQ189*Calculateur!AS189*VLOOKUP('Données projet'!$B$10,Paramètres!$A$1:$I$89,3,0)*0.475*44/12</f>
        <v>2.7383940681976862</v>
      </c>
      <c r="AW189" s="21">
        <f>EXP(-LN(2)/2)*AW188+(1-EXP(-LN(2)/2))/(LN(2)/2)*AQ189*AT189*VLOOKUP('Données projet'!$B$10,Paramètres!$A$1:$I$89,3,0)*0.475*44/12</f>
        <v>7.8511245062094733E-15</v>
      </c>
      <c r="AX189" s="21">
        <f t="shared" si="166"/>
        <v>21.521142659230012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1.1368683772161603E-13</v>
      </c>
      <c r="BE189" s="13">
        <f>BD189*VLOOKUP('Données projet'!$B$11,Paramètres!$A$1:$I$89,3,0)*VLOOKUP('Données projet'!$B$11,Paramètres!$A$1:$I$89,5,0)</f>
        <v>6.7984728957526396E-14</v>
      </c>
      <c r="BF189" s="13">
        <f t="shared" si="167"/>
        <v>1.0682447123141398E-12</v>
      </c>
      <c r="BG189" s="20">
        <f t="shared" si="168"/>
        <v>1.978932943548152E-12</v>
      </c>
      <c r="BH189" s="59">
        <f t="shared" si="116"/>
        <v>293.3333333333353</v>
      </c>
      <c r="BI189" s="59">
        <f ca="1">AVERAGE(OFFSET($BH$3,0,0,'Données projet'!$E$11+1,1))-AVERAGE(OFFSET($H$3,0,0,'Données projet'!$E$11+1,1))</f>
        <v>302.00825291248458</v>
      </c>
      <c r="BJ189" s="59">
        <f t="shared" si="146"/>
        <v>307.35115839449355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11.452430486325982</v>
      </c>
      <c r="BQ189" s="21">
        <f>EXP(-LN(2)/25)*BQ188+(1-EXP(-LN(2)/25))/(LN(2)/25)*Calculateur!BL189*Calculateur!BN189*VLOOKUP('Données projet'!$B$11,Paramètres!$A$1:$I$89,3,0)*0.475*44/12</f>
        <v>1.4723721643194883</v>
      </c>
      <c r="BR189" s="21">
        <f>EXP(-LN(2)/2)*BR188+(1-EXP(-LN(2)/2))/(LN(2)/2)*BL189*BO189*VLOOKUP('Données projet'!$B$11,Paramètres!$A$1:$I$89,3,0)*0.475*44/12</f>
        <v>6.5010326574445217E-18</v>
      </c>
      <c r="BS189" s="22">
        <f t="shared" si="169"/>
        <v>12.92480265064547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1.7053025658242404E-13</v>
      </c>
      <c r="BZ189" s="13">
        <f>BY189*VLOOKUP('Données projet'!$B$12,Paramètres!$A$1:$I$89,3,0)*VLOOKUP('Données projet'!$B$12,Paramètres!$A$1:$I$89,5,0)</f>
        <v>7.9808160080574461E-14</v>
      </c>
      <c r="CA189" s="13">
        <f t="shared" si="170"/>
        <v>1.2308384591775343E-12</v>
      </c>
      <c r="CB189" s="20">
        <f t="shared" si="171"/>
        <v>2.282709528541206E-12</v>
      </c>
      <c r="CC189" s="59">
        <f t="shared" si="119"/>
        <v>293.33333333333559</v>
      </c>
      <c r="CD189" s="59">
        <f ca="1">AVERAGE(OFFSET($CC$3,0,0,'Données projet'!$E$12+1,1))-AVERAGE(OFFSET($H$3,0,0,'Données projet'!$E$12+1,1))</f>
        <v>337.10499990421835</v>
      </c>
      <c r="CE189" s="59">
        <f t="shared" si="148"/>
        <v>277.4254079562175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48.940876572845696</v>
      </c>
      <c r="CL189" s="21">
        <f>EXP(-LN(2)/25)*CL188+(1-EXP(-LN(2)/25))/(LN(2)/25)*Calculateur!CG189*Calculateur!CI189*VLOOKUP('Données projet'!$B$12,Paramètres!$A$1:$I$89,3,0)*0.475*44/12</f>
        <v>9.7747806980311545</v>
      </c>
      <c r="CM189" s="21">
        <f>EXP(-LN(2)/2)*CM188+(1-EXP(-LN(2)/2))/(LN(2)/2)*CG189*CJ189*VLOOKUP('Données projet'!$B$12,Paramètres!$A$1:$I$89,3,0)*0.475*44/12</f>
        <v>1.7074032710806282E-7</v>
      </c>
      <c r="CN189" s="22">
        <f t="shared" si="172"/>
        <v>58.715657441617175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3.0825000000000031</v>
      </c>
      <c r="CT189" s="12">
        <f>IF('Données projet'!$A$140&gt;35,CT188+CS189-DB188,IF(A189&lt;'Données projet'!$A$140,$CQ$205^A189,IF(A189='Données projet'!$A$140,'Données projet'!$B$140,CT188+CS189-DB188)))</f>
        <v>205.10499999999971</v>
      </c>
      <c r="CU189" s="17">
        <f>CT189*VLOOKUP('Données projet'!$B$13,Paramètres!$A$1:$I$89,3,0)*VLOOKUP('Données projet'!$B$13,Paramètres!$A$1:$I$89,5,0)</f>
        <v>204.7768319999997</v>
      </c>
      <c r="CV189" s="13">
        <f t="shared" si="173"/>
        <v>50.792524340128267</v>
      </c>
      <c r="CW189" s="20">
        <f t="shared" si="174"/>
        <v>445.11662895905619</v>
      </c>
      <c r="CX189" s="59">
        <f t="shared" si="122"/>
        <v>738.4499622923895</v>
      </c>
      <c r="CY189" s="59">
        <f ca="1">AVERAGE(OFFSET($CX$3,0,0,'Données projet'!$E$13+1,1))-AVERAGE(OFFSET($H$3,0,0,'Données projet'!$E$13+1,1))</f>
        <v>525.74725170626471</v>
      </c>
      <c r="CZ189" s="59">
        <f t="shared" si="150"/>
        <v>259.19103598192197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94.805721198715602</v>
      </c>
      <c r="DG189" s="21">
        <f>EXP(-LN(2)/25)*DG188+(1-EXP(-LN(2)/25))/(LN(2)/25)*Calculateur!DB189*Calculateur!DD189*VLOOKUP('Données projet'!$B$13,Paramètres!$A$1:$I$89,3,0)*0.475*44/12</f>
        <v>37.003151302914553</v>
      </c>
      <c r="DH189" s="21">
        <f>EXP(-LN(2)/2)*DH188+(1-EXP(-LN(2)/2))/(LN(2)/2)*DB189*DE189*VLOOKUP('Données projet'!$B$13,Paramètres!$A$1:$I$89,3,0)*0.475*44/12</f>
        <v>2.7730337602596182E-6</v>
      </c>
      <c r="DI189" s="22">
        <f t="shared" si="175"/>
        <v>131.80887527466393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5.4001247917767614E-13</v>
      </c>
      <c r="DP189" s="17">
        <f>DO189*VLOOKUP('Données projet'!$B$14,Paramètres!$A$1:$I$89,3,0)*VLOOKUP('Données projet'!$B$14,Paramètres!$A$1:$I$89,5,0)</f>
        <v>4.8860329115996133E-13</v>
      </c>
      <c r="DQ189" s="13">
        <f t="shared" si="176"/>
        <v>6.1025862939685007E-12</v>
      </c>
      <c r="DR189" s="20">
        <f t="shared" si="177"/>
        <v>1.1479655194098737E-11</v>
      </c>
      <c r="DS189" s="59">
        <f t="shared" si="125"/>
        <v>293.3333333333448</v>
      </c>
      <c r="DT189" s="59">
        <f ca="1">AVERAGE(OFFSET($DS$3,0,0,'Données projet'!$E$14+1,1))-AVERAGE(OFFSET($H$3,0,0,'Données projet'!$E$14+1,1))</f>
        <v>490.06222615476065</v>
      </c>
      <c r="DU189" s="59">
        <f t="shared" si="152"/>
        <v>310.43914804089906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68.504945986959299</v>
      </c>
      <c r="EB189" s="21">
        <f>EXP(-LN(2)/25)*EB188+(1-EXP(-LN(2)/25))/(LN(2)/25)*Calculateur!DW189*Calculateur!DY189*VLOOKUP('Données projet'!$B$14,Paramètres!$A$1:$I$89,3,0)*0.475*44/12</f>
        <v>9.9579299064632245</v>
      </c>
      <c r="EC189" s="21">
        <f>EXP(-LN(2)/2)*EC188+(1-EXP(-LN(2)/2))/(LN(2)/2)*DW189*DZ189*VLOOKUP('Données projet'!$B$14,Paramètres!$A$1:$I$89,3,0)*0.475*44/12</f>
        <v>1.1807433748723705E-3</v>
      </c>
      <c r="ED189" s="22">
        <f t="shared" si="178"/>
        <v>78.464056636797395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3.0825000000000031</v>
      </c>
      <c r="EJ189" s="12">
        <f>IF('Données projet'!$A$192&gt;35,EJ188+EI189-ER188,IF(A189&lt;'Données projet'!$A$192,$EG$205^A189,IF(A189='Données projet'!$A$192,'Données projet'!$B$192,EJ188+EI189-ER188)))</f>
        <v>205.10499999999971</v>
      </c>
      <c r="EK189" s="17">
        <f>EJ189*VLOOKUP('Données projet'!$B$15,Paramètres!$A$1:$I$89,3,0)*VLOOKUP('Données projet'!$B$15,Paramètres!$A$1:$I$89,5,0)</f>
        <v>207.97646999999969</v>
      </c>
      <c r="EL189" s="13">
        <f t="shared" si="179"/>
        <v>51.493144603798712</v>
      </c>
      <c r="EM189" s="20">
        <f t="shared" si="180"/>
        <v>451.90957876828219</v>
      </c>
      <c r="EN189" s="59">
        <f t="shared" si="128"/>
        <v>745.2429121016155</v>
      </c>
      <c r="EO189" s="59">
        <f ca="1">AVERAGE(OFFSET($EN$3,0,0,'Données projet'!$E$15+1,1))-AVERAGE(OFFSET($H$3,0,0,'Données projet'!$E$15+1,1))</f>
        <v>533.26035274112917</v>
      </c>
      <c r="EP189" s="59">
        <f t="shared" si="154"/>
        <v>262.58149402282521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96.287060592445528</v>
      </c>
      <c r="EW189" s="21">
        <f>EXP(-LN(2)/25)*EW188+(1-EXP(-LN(2)/25))/(LN(2)/25)*Calculateur!ER189*Calculateur!ET189*VLOOKUP('Données projet'!$B$15,Paramètres!$A$1:$I$89,3,0)*0.475*44/12</f>
        <v>37.581325542022583</v>
      </c>
      <c r="EX189" s="21">
        <f>EXP(-LN(2)/2)*EX188+(1-EXP(-LN(2)/2))/(LN(2)/2)*ER189*EU189*VLOOKUP('Données projet'!$B$15,Paramètres!$A$1:$I$89,3,0)*0.475*44/12</f>
        <v>2.8163624127636729E-6</v>
      </c>
      <c r="EY189" s="22">
        <f t="shared" si="181"/>
        <v>133.86838895083051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239.26156489359892</v>
      </c>
      <c r="FK189" s="59">
        <f t="shared" si="156"/>
        <v>213.97034450798111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1.6154982397367457</v>
      </c>
      <c r="FR189" s="21">
        <f>EXP(-LN(2)/25)*FR188+(1-EXP(-LN(2)/25))/(LN(2)/25)*Calculateur!FM189*Calculateur!FO189*VLOOKUP('Données projet'!$B$16,Paramètres!$A$1:$I$89,3,0)*0.475*44/12</f>
        <v>4.4595772314367901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6.0750754711735357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2.5579538487363607E-13</v>
      </c>
      <c r="O190" s="13">
        <f>N190*VLOOKUP('Données projet'!$B$9,Paramètres!$A$1:$I$89,3,0)*VLOOKUP('Données projet'!$B$9,Paramètres!$A$1:$I$89,5,0)</f>
        <v>2.4341488824575211E-13</v>
      </c>
      <c r="P190" s="13">
        <f t="shared" si="141"/>
        <v>3.2970717324875541E-12</v>
      </c>
      <c r="Q190" s="20">
        <f t="shared" si="162"/>
        <v>6.1663475311105072E-12</v>
      </c>
      <c r="R190" s="59">
        <f t="shared" si="109"/>
        <v>293.33333333333945</v>
      </c>
      <c r="S190" s="59">
        <f ca="1">AVERAGE(OFFSET($R$3,0,0,'Données projet'!$E$9+1,1))-AVERAGE(OFFSET($H$3,0,0,'Données projet'!$E$9+1,1))</f>
        <v>449.28947235329758</v>
      </c>
      <c r="T190" s="59">
        <f t="shared" si="142"/>
        <v>289.36994109443964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38.424044192548081</v>
      </c>
      <c r="AA190" s="21">
        <f>EXP(-LN(2)/25)*AA189+(1-EXP(-LN(2)/25))/(LN(2)/25)*Calculateur!V190*Calculateur!X190*VLOOKUP('Données projet'!$B$9,Paramètres!$A$1:$I$89,3,0)*0.475*44/12</f>
        <v>5.0977545981373984</v>
      </c>
      <c r="AB190" s="21">
        <f>EXP(-LN(2)/2)*AB189+(1-EXP(-LN(2)/2))/(LN(2)/2)*V190*Y190*VLOOKUP('Données projet'!$B$9,Paramètres!$A$1:$I$89,3,0)*0.475*44/12</f>
        <v>1.8864518392812878E-8</v>
      </c>
      <c r="AC190" s="22">
        <f t="shared" si="163"/>
        <v>43.521798809549999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-1.3596945791505279E-13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349.71285006949597</v>
      </c>
      <c r="AO190" s="59">
        <f t="shared" si="144"/>
        <v>258.51550516456842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18.414430347507597</v>
      </c>
      <c r="AV190" s="21">
        <f>EXP(-LN(2)/25)*AV189+(1-EXP(-LN(2)/25))/(LN(2)/25)*Calculateur!AQ190*Calculateur!AS190*VLOOKUP('Données projet'!$B$10,Paramètres!$A$1:$I$89,3,0)*0.475*44/12</f>
        <v>2.6635125383969349</v>
      </c>
      <c r="AW190" s="21">
        <f>EXP(-LN(2)/2)*AW189+(1-EXP(-LN(2)/2))/(LN(2)/2)*AQ190*AT190*VLOOKUP('Données projet'!$B$10,Paramètres!$A$1:$I$89,3,0)*0.475*44/12</f>
        <v>5.5515833782806031E-15</v>
      </c>
      <c r="AX190" s="21">
        <f t="shared" si="166"/>
        <v>21.077942885904541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1.1368683772161603E-13</v>
      </c>
      <c r="BE190" s="13">
        <f>BD190*VLOOKUP('Données projet'!$B$11,Paramètres!$A$1:$I$89,3,0)*VLOOKUP('Données projet'!$B$11,Paramètres!$A$1:$I$89,5,0)</f>
        <v>6.7984728957526396E-14</v>
      </c>
      <c r="BF190" s="13">
        <f t="shared" si="167"/>
        <v>1.0682447123141398E-12</v>
      </c>
      <c r="BG190" s="20">
        <f t="shared" si="168"/>
        <v>1.978932943548152E-12</v>
      </c>
      <c r="BH190" s="59">
        <f t="shared" si="116"/>
        <v>293.3333333333353</v>
      </c>
      <c r="BI190" s="59">
        <f ca="1">AVERAGE(OFFSET($BH$3,0,0,'Données projet'!$E$11+1,1))-AVERAGE(OFFSET($H$3,0,0,'Données projet'!$E$11+1,1))</f>
        <v>302.00825291248458</v>
      </c>
      <c r="BJ190" s="59">
        <f t="shared" si="146"/>
        <v>307.35115839449355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11.227855309781985</v>
      </c>
      <c r="BQ190" s="21">
        <f>EXP(-LN(2)/25)*BQ189+(1-EXP(-LN(2)/25))/(LN(2)/25)*Calculateur!BL190*Calculateur!BN190*VLOOKUP('Données projet'!$B$11,Paramètres!$A$1:$I$89,3,0)*0.475*44/12</f>
        <v>1.4321100700574849</v>
      </c>
      <c r="BR190" s="21">
        <f>EXP(-LN(2)/2)*BR189+(1-EXP(-LN(2)/2))/(LN(2)/2)*BL190*BO190*VLOOKUP('Données projet'!$B$11,Paramètres!$A$1:$I$89,3,0)*0.475*44/12</f>
        <v>4.5969242767942229E-18</v>
      </c>
      <c r="BS190" s="22">
        <f t="shared" si="169"/>
        <v>12.65996537983947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1.7053025658242404E-13</v>
      </c>
      <c r="BZ190" s="13">
        <f>BY190*VLOOKUP('Données projet'!$B$12,Paramètres!$A$1:$I$89,3,0)*VLOOKUP('Données projet'!$B$12,Paramètres!$A$1:$I$89,5,0)</f>
        <v>7.9808160080574461E-14</v>
      </c>
      <c r="CA190" s="13">
        <f t="shared" si="170"/>
        <v>1.2308384591775343E-12</v>
      </c>
      <c r="CB190" s="20">
        <f t="shared" si="171"/>
        <v>2.282709528541206E-12</v>
      </c>
      <c r="CC190" s="59">
        <f t="shared" si="119"/>
        <v>293.33333333333559</v>
      </c>
      <c r="CD190" s="59">
        <f ca="1">AVERAGE(OFFSET($CC$3,0,0,'Données projet'!$E$12+1,1))-AVERAGE(OFFSET($H$3,0,0,'Données projet'!$E$12+1,1))</f>
        <v>337.10499990421835</v>
      </c>
      <c r="CE190" s="59">
        <f t="shared" si="148"/>
        <v>277.4254079562175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47.981175834239359</v>
      </c>
      <c r="CL190" s="21">
        <f>EXP(-LN(2)/25)*CL189+(1-EXP(-LN(2)/25))/(LN(2)/25)*Calculateur!CG190*Calculateur!CI190*VLOOKUP('Données projet'!$B$12,Paramètres!$A$1:$I$89,3,0)*0.475*44/12</f>
        <v>9.5074888058101159</v>
      </c>
      <c r="CM190" s="21">
        <f>EXP(-LN(2)/2)*CM189+(1-EXP(-LN(2)/2))/(LN(2)/2)*CG190*CJ190*VLOOKUP('Données projet'!$B$12,Paramètres!$A$1:$I$89,3,0)*0.475*44/12</f>
        <v>1.2073164312012052E-7</v>
      </c>
      <c r="CN190" s="22">
        <f t="shared" si="172"/>
        <v>57.48866476078112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3.0825000000000031</v>
      </c>
      <c r="CT190" s="12">
        <f>IF('Données projet'!$A$140&gt;35,CT189+CS190-DB189,IF(A190&lt;'Données projet'!$A$140,$CQ$205^A190,IF(A190='Données projet'!$A$140,'Données projet'!$B$140,CT189+CS190-DB189)))</f>
        <v>208.18749999999972</v>
      </c>
      <c r="CU190" s="17">
        <f>CT190*VLOOKUP('Données projet'!$B$13,Paramètres!$A$1:$I$89,3,0)*VLOOKUP('Données projet'!$B$13,Paramètres!$A$1:$I$89,5,0)</f>
        <v>207.85439999999971</v>
      </c>
      <c r="CV190" s="13">
        <f t="shared" si="173"/>
        <v>51.466438243615933</v>
      </c>
      <c r="CW190" s="20">
        <f t="shared" si="174"/>
        <v>451.65045994096386</v>
      </c>
      <c r="CX190" s="59">
        <f t="shared" si="122"/>
        <v>744.98379327429711</v>
      </c>
      <c r="CY190" s="59">
        <f ca="1">AVERAGE(OFFSET($CX$3,0,0,'Données projet'!$E$13+1,1))-AVERAGE(OFFSET($H$3,0,0,'Données projet'!$E$13+1,1))</f>
        <v>525.74725170626471</v>
      </c>
      <c r="CZ190" s="59">
        <f t="shared" si="150"/>
        <v>259.19103598192197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92.946638831788903</v>
      </c>
      <c r="DG190" s="21">
        <f>EXP(-LN(2)/25)*DG189+(1-EXP(-LN(2)/25))/(LN(2)/25)*Calculateur!DB190*Calculateur!DD190*VLOOKUP('Données projet'!$B$13,Paramètres!$A$1:$I$89,3,0)*0.475*44/12</f>
        <v>35.991298184625201</v>
      </c>
      <c r="DH190" s="21">
        <f>EXP(-LN(2)/2)*DH189+(1-EXP(-LN(2)/2))/(LN(2)/2)*DB190*DE190*VLOOKUP('Données projet'!$B$13,Paramètres!$A$1:$I$89,3,0)*0.475*44/12</f>
        <v>1.9608309763388069E-6</v>
      </c>
      <c r="DI190" s="22">
        <f t="shared" si="175"/>
        <v>128.9379389772451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5.4001247917767614E-13</v>
      </c>
      <c r="DP190" s="17">
        <f>DO190*VLOOKUP('Données projet'!$B$14,Paramètres!$A$1:$I$89,3,0)*VLOOKUP('Données projet'!$B$14,Paramètres!$A$1:$I$89,5,0)</f>
        <v>4.8860329115996133E-13</v>
      </c>
      <c r="DQ190" s="13">
        <f t="shared" si="176"/>
        <v>6.1025862939685007E-12</v>
      </c>
      <c r="DR190" s="20">
        <f t="shared" si="177"/>
        <v>1.1479655194098737E-11</v>
      </c>
      <c r="DS190" s="59">
        <f t="shared" si="125"/>
        <v>293.3333333333448</v>
      </c>
      <c r="DT190" s="59">
        <f ca="1">AVERAGE(OFFSET($DS$3,0,0,'Données projet'!$E$14+1,1))-AVERAGE(OFFSET($H$3,0,0,'Données projet'!$E$14+1,1))</f>
        <v>490.06222615476065</v>
      </c>
      <c r="DU190" s="59">
        <f t="shared" si="152"/>
        <v>310.43914804089906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67.161605780046258</v>
      </c>
      <c r="EB190" s="21">
        <f>EXP(-LN(2)/25)*EB189+(1-EXP(-LN(2)/25))/(LN(2)/25)*Calculateur!DW190*Calculateur!DY190*VLOOKUP('Données projet'!$B$14,Paramètres!$A$1:$I$89,3,0)*0.475*44/12</f>
        <v>9.6856297895062138</v>
      </c>
      <c r="EC190" s="21">
        <f>EXP(-LN(2)/2)*EC189+(1-EXP(-LN(2)/2))/(LN(2)/2)*DW190*DZ190*VLOOKUP('Données projet'!$B$14,Paramètres!$A$1:$I$89,3,0)*0.475*44/12</f>
        <v>8.3491164721334295E-4</v>
      </c>
      <c r="ED190" s="22">
        <f t="shared" si="178"/>
        <v>76.848070481199684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3.0825000000000031</v>
      </c>
      <c r="EJ190" s="12">
        <f>IF('Données projet'!$A$192&gt;35,EJ189+EI190-ER189,IF(A190&lt;'Données projet'!$A$192,$EG$205^A190,IF(A190='Données projet'!$A$192,'Données projet'!$B$192,EJ189+EI190-ER189)))</f>
        <v>208.18749999999972</v>
      </c>
      <c r="EK190" s="17">
        <f>EJ190*VLOOKUP('Données projet'!$B$15,Paramètres!$A$1:$I$89,3,0)*VLOOKUP('Données projet'!$B$15,Paramètres!$A$1:$I$89,5,0)</f>
        <v>211.10212499999972</v>
      </c>
      <c r="EL190" s="13">
        <f t="shared" si="179"/>
        <v>52.176354318882368</v>
      </c>
      <c r="EM190" s="20">
        <f t="shared" si="180"/>
        <v>458.54335148038626</v>
      </c>
      <c r="EN190" s="59">
        <f t="shared" si="128"/>
        <v>751.87668481371952</v>
      </c>
      <c r="EO190" s="59">
        <f ca="1">AVERAGE(OFFSET($EN$3,0,0,'Données projet'!$E$15+1,1))-AVERAGE(OFFSET($H$3,0,0,'Données projet'!$E$15+1,1))</f>
        <v>533.26035274112917</v>
      </c>
      <c r="EP190" s="59">
        <f t="shared" si="154"/>
        <v>262.58149402282521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94.398930063535602</v>
      </c>
      <c r="EW190" s="21">
        <f>EXP(-LN(2)/25)*EW189+(1-EXP(-LN(2)/25))/(LN(2)/25)*Calculateur!ER190*Calculateur!ET190*VLOOKUP('Données projet'!$B$15,Paramètres!$A$1:$I$89,3,0)*0.475*44/12</f>
        <v>36.55366221875996</v>
      </c>
      <c r="EX190" s="21">
        <f>EXP(-LN(2)/2)*EX189+(1-EXP(-LN(2)/2))/(LN(2)/2)*ER190*EU190*VLOOKUP('Données projet'!$B$15,Paramètres!$A$1:$I$89,3,0)*0.475*44/12</f>
        <v>1.9914689603440995E-6</v>
      </c>
      <c r="EY190" s="22">
        <f t="shared" si="181"/>
        <v>130.95259427376453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239.26156489359892</v>
      </c>
      <c r="FK190" s="59">
        <f t="shared" si="156"/>
        <v>213.97034450798111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1.5838193046121385</v>
      </c>
      <c r="FR190" s="21">
        <f>EXP(-LN(2)/25)*FR189+(1-EXP(-LN(2)/25))/(LN(2)/25)*Calculateur!FM190*Calculateur!FO190*VLOOKUP('Données projet'!$B$16,Paramètres!$A$1:$I$89,3,0)*0.475*44/12</f>
        <v>4.3376298575241767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5.921449162136315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2.5579538487363607E-13</v>
      </c>
      <c r="O191" s="13">
        <f>N191*VLOOKUP('Données projet'!$B$9,Paramètres!$A$1:$I$89,3,0)*VLOOKUP('Données projet'!$B$9,Paramètres!$A$1:$I$89,5,0)</f>
        <v>2.4341488824575211E-13</v>
      </c>
      <c r="P191" s="13">
        <f t="shared" si="141"/>
        <v>3.2970717324875541E-12</v>
      </c>
      <c r="Q191" s="20">
        <f t="shared" si="162"/>
        <v>6.1663475311105072E-12</v>
      </c>
      <c r="R191" s="59">
        <f t="shared" si="109"/>
        <v>293.33333333333945</v>
      </c>
      <c r="S191" s="59">
        <f ca="1">AVERAGE(OFFSET($R$3,0,0,'Données projet'!$E$9+1,1))-AVERAGE(OFFSET($H$3,0,0,'Données projet'!$E$9+1,1))</f>
        <v>449.28947235329758</v>
      </c>
      <c r="T191" s="59">
        <f t="shared" si="142"/>
        <v>289.36994109443964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37.670572122285023</v>
      </c>
      <c r="AA191" s="21">
        <f>EXP(-LN(2)/25)*AA190+(1-EXP(-LN(2)/25))/(LN(2)/25)*Calculateur!V191*Calculateur!X191*VLOOKUP('Données projet'!$B$9,Paramètres!$A$1:$I$89,3,0)*0.475*44/12</f>
        <v>4.9583562305720683</v>
      </c>
      <c r="AB191" s="21">
        <f>EXP(-LN(2)/2)*AB190+(1-EXP(-LN(2)/2))/(LN(2)/2)*V191*Y191*VLOOKUP('Données projet'!$B$9,Paramètres!$A$1:$I$89,3,0)*0.475*44/12</f>
        <v>1.3339228879376337E-8</v>
      </c>
      <c r="AC191" s="22">
        <f t="shared" si="163"/>
        <v>42.62892836619632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-1.3596945791505279E-13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349.71285006949597</v>
      </c>
      <c r="AO191" s="59">
        <f t="shared" si="144"/>
        <v>258.51550516456842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18.053334600086448</v>
      </c>
      <c r="AV191" s="21">
        <f>EXP(-LN(2)/25)*AV190+(1-EXP(-LN(2)/25))/(LN(2)/25)*Calculateur!AQ191*Calculateur!AS191*VLOOKUP('Données projet'!$B$10,Paramètres!$A$1:$I$89,3,0)*0.475*44/12</f>
        <v>2.5906786479664339</v>
      </c>
      <c r="AW191" s="21">
        <f>EXP(-LN(2)/2)*AW190+(1-EXP(-LN(2)/2))/(LN(2)/2)*AQ191*AT191*VLOOKUP('Données projet'!$B$10,Paramètres!$A$1:$I$89,3,0)*0.475*44/12</f>
        <v>3.9255622531047366E-15</v>
      </c>
      <c r="AX191" s="21">
        <f t="shared" si="166"/>
        <v>20.644013248052886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1.1368683772161603E-13</v>
      </c>
      <c r="BE191" s="13">
        <f>BD191*VLOOKUP('Données projet'!$B$11,Paramètres!$A$1:$I$89,3,0)*VLOOKUP('Données projet'!$B$11,Paramètres!$A$1:$I$89,5,0)</f>
        <v>6.7984728957526396E-14</v>
      </c>
      <c r="BF191" s="13">
        <f t="shared" si="167"/>
        <v>1.0682447123141398E-12</v>
      </c>
      <c r="BG191" s="20">
        <f t="shared" si="168"/>
        <v>1.978932943548152E-12</v>
      </c>
      <c r="BH191" s="59">
        <f t="shared" si="116"/>
        <v>293.3333333333353</v>
      </c>
      <c r="BI191" s="59">
        <f ca="1">AVERAGE(OFFSET($BH$3,0,0,'Données projet'!$E$11+1,1))-AVERAGE(OFFSET($H$3,0,0,'Données projet'!$E$11+1,1))</f>
        <v>302.00825291248458</v>
      </c>
      <c r="BJ191" s="59">
        <f t="shared" si="146"/>
        <v>307.35115839449355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11.007683915472684</v>
      </c>
      <c r="BQ191" s="21">
        <f>EXP(-LN(2)/25)*BQ190+(1-EXP(-LN(2)/25))/(LN(2)/25)*Calculateur!BL191*Calculateur!BN191*VLOOKUP('Données projet'!$B$11,Paramètres!$A$1:$I$89,3,0)*0.475*44/12</f>
        <v>1.3929489448803676</v>
      </c>
      <c r="BR191" s="21">
        <f>EXP(-LN(2)/2)*BR190+(1-EXP(-LN(2)/2))/(LN(2)/2)*BL191*BO191*VLOOKUP('Données projet'!$B$11,Paramètres!$A$1:$I$89,3,0)*0.475*44/12</f>
        <v>3.2505163287222608E-18</v>
      </c>
      <c r="BS191" s="22">
        <f t="shared" si="169"/>
        <v>12.400632860353053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1.7053025658242404E-13</v>
      </c>
      <c r="BZ191" s="13">
        <f>BY191*VLOOKUP('Données projet'!$B$12,Paramètres!$A$1:$I$89,3,0)*VLOOKUP('Données projet'!$B$12,Paramètres!$A$1:$I$89,5,0)</f>
        <v>7.9808160080574461E-14</v>
      </c>
      <c r="CA191" s="13">
        <f t="shared" si="170"/>
        <v>1.2308384591775343E-12</v>
      </c>
      <c r="CB191" s="20">
        <f t="shared" si="171"/>
        <v>2.282709528541206E-12</v>
      </c>
      <c r="CC191" s="59">
        <f t="shared" si="119"/>
        <v>293.33333333333559</v>
      </c>
      <c r="CD191" s="59">
        <f ca="1">AVERAGE(OFFSET($CC$3,0,0,'Données projet'!$E$12+1,1))-AVERAGE(OFFSET($H$3,0,0,'Données projet'!$E$12+1,1))</f>
        <v>337.10499990421835</v>
      </c>
      <c r="CE191" s="59">
        <f t="shared" si="148"/>
        <v>277.4254079562175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47.040294241757444</v>
      </c>
      <c r="CL191" s="21">
        <f>EXP(-LN(2)/25)*CL190+(1-EXP(-LN(2)/25))/(LN(2)/25)*Calculateur!CG191*Calculateur!CI191*VLOOKUP('Données projet'!$B$12,Paramètres!$A$1:$I$89,3,0)*0.475*44/12</f>
        <v>9.2475060244381311</v>
      </c>
      <c r="CM191" s="21">
        <f>EXP(-LN(2)/2)*CM190+(1-EXP(-LN(2)/2))/(LN(2)/2)*CG191*CJ191*VLOOKUP('Données projet'!$B$12,Paramètres!$A$1:$I$89,3,0)*0.475*44/12</f>
        <v>8.5370163554031411E-8</v>
      </c>
      <c r="CN191" s="22">
        <f t="shared" si="172"/>
        <v>56.287800351565735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>
        <f>VLOOKUP(A191,'Données projet'!$A$139:$I$159,2,0)</f>
        <v>211.27</v>
      </c>
      <c r="CR191" s="12">
        <f>VLOOKUP(A191,'Données projet'!$A$139:$I$159,9,0)</f>
        <v>3.0825000000000031</v>
      </c>
      <c r="CS191" s="12">
        <f t="array" ref="CS191">INDEX(CR:CR,MIN(IF(ISNUMBER(CR191:CR387),ROW(CR191:CR387),"")))</f>
        <v>3.0825000000000031</v>
      </c>
      <c r="CT191" s="12">
        <f>IF('Données projet'!$A$140&gt;35,CT190+CS191-DB190,IF(A191&lt;'Données projet'!$A$140,$CQ$205^A191,IF(A191='Données projet'!$A$140,'Données projet'!$B$140,CT190+CS191-DB190)))</f>
        <v>211.26999999999973</v>
      </c>
      <c r="CU191" s="17">
        <f>CT191*VLOOKUP('Données projet'!$B$13,Paramètres!$A$1:$I$89,3,0)*VLOOKUP('Données projet'!$B$13,Paramètres!$A$1:$I$89,5,0)</f>
        <v>210.93196799999973</v>
      </c>
      <c r="CV191" s="13">
        <f t="shared" si="173"/>
        <v>52.139191638353111</v>
      </c>
      <c r="CW191" s="20">
        <f t="shared" si="174"/>
        <v>458.18226970346444</v>
      </c>
      <c r="CX191" s="59">
        <f t="shared" si="122"/>
        <v>751.51560303679776</v>
      </c>
      <c r="CY191" s="59">
        <f ca="1">AVERAGE(OFFSET($CX$3,0,0,'Données projet'!$E$13+1,1))-AVERAGE(OFFSET($H$3,0,0,'Données projet'!$E$13+1,1))</f>
        <v>525.74725170626471</v>
      </c>
      <c r="CZ191" s="59">
        <f t="shared" si="150"/>
        <v>259.19103598192197</v>
      </c>
      <c r="DA191" s="15">
        <f>IF(ISNA(VLOOKUP(A191,'Données projet'!$A$139:$I$159,3,0)),0,VLOOKUP(A191,'Données projet'!$A$139:$I$159,3,0))</f>
        <v>15</v>
      </c>
      <c r="DB191" s="15">
        <f>IF(ISNA(VLOOKUP(A191,'Données projet'!$A$139:$I$159,4,0)),0,VLOOKUP(A191,'Données projet'!$A$139:$I$159,4,0))</f>
        <v>72.180000000000007</v>
      </c>
      <c r="DC191" s="16">
        <f>IF(ISNA(VLOOKUP(A191,'Données projet'!$A$139:$I$159,5,0)),0%,VLOOKUP(A191,'Données projet'!$A$139:$I$159,5,0)*VLOOKUP('Données projet'!$B$13,Paramètres!$A$1:$I$89,7,0))</f>
        <v>0.215</v>
      </c>
      <c r="DD191" s="16">
        <f>IF(ISNA(VLOOKUP(A191,'Données projet'!$A$139:$I$159,6,0)),0%,VLOOKUP(A191,'Données projet'!$A$139:$I$159,6,0)*VLOOKUP('Données projet'!$B$13,Paramètres!$A$1:$I$89,7,0))</f>
        <v>8.6000000000000007E-2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108.25202637392118</v>
      </c>
      <c r="DG191" s="21">
        <f>EXP(-LN(2)/25)*DG190+(1-EXP(-LN(2)/25))/(LN(2)/25)*Calculateur!DB191*Calculateur!DD191*VLOOKUP('Données projet'!$B$13,Paramètres!$A$1:$I$89,3,0)*0.475*44/12</f>
        <v>41.831344210524577</v>
      </c>
      <c r="DH191" s="21">
        <f>EXP(-LN(2)/2)*DH190+(1-EXP(-LN(2)/2))/(LN(2)/2)*DB191*DE191*VLOOKUP('Données projet'!$B$13,Paramètres!$A$1:$I$89,3,0)*0.475*44/12</f>
        <v>1.3865168801298091E-6</v>
      </c>
      <c r="DI191" s="22">
        <f t="shared" si="175"/>
        <v>150.08337197096265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5.4001247917767614E-13</v>
      </c>
      <c r="DP191" s="17">
        <f>DO191*VLOOKUP('Données projet'!$B$14,Paramètres!$A$1:$I$89,3,0)*VLOOKUP('Données projet'!$B$14,Paramètres!$A$1:$I$89,5,0)</f>
        <v>4.8860329115996133E-13</v>
      </c>
      <c r="DQ191" s="13">
        <f t="shared" si="176"/>
        <v>6.1025862939685007E-12</v>
      </c>
      <c r="DR191" s="20">
        <f t="shared" si="177"/>
        <v>1.1479655194098737E-11</v>
      </c>
      <c r="DS191" s="59">
        <f t="shared" si="125"/>
        <v>293.3333333333448</v>
      </c>
      <c r="DT191" s="59">
        <f ca="1">AVERAGE(OFFSET($DS$3,0,0,'Données projet'!$E$14+1,1))-AVERAGE(OFFSET($H$3,0,0,'Données projet'!$E$14+1,1))</f>
        <v>490.06222615476065</v>
      </c>
      <c r="DU191" s="59">
        <f t="shared" si="152"/>
        <v>310.43914804089906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65.844607655234171</v>
      </c>
      <c r="EB191" s="21">
        <f>EXP(-LN(2)/25)*EB190+(1-EXP(-LN(2)/25))/(LN(2)/25)*Calculateur!DW191*Calculateur!DY191*VLOOKUP('Données projet'!$B$14,Paramètres!$A$1:$I$89,3,0)*0.475*44/12</f>
        <v>9.4207757335670319</v>
      </c>
      <c r="EC191" s="21">
        <f>EXP(-LN(2)/2)*EC190+(1-EXP(-LN(2)/2))/(LN(2)/2)*DW191*DZ191*VLOOKUP('Données projet'!$B$14,Paramètres!$A$1:$I$89,3,0)*0.475*44/12</f>
        <v>5.9037168743618525E-4</v>
      </c>
      <c r="ED191" s="22">
        <f t="shared" si="178"/>
        <v>75.265973760488635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>
        <f>VLOOKUP(A191,'Données projet'!$A$191:$I$211,2,0)</f>
        <v>211.27</v>
      </c>
      <c r="EH191" s="12">
        <f>VLOOKUP(A191,'Données projet'!$A$191:$I$211,9,0)</f>
        <v>3.0825000000000031</v>
      </c>
      <c r="EI191" s="12">
        <f t="array" ref="EI191">INDEX(EH:EH,MIN(IF(ISNUMBER(EH191:EH387),ROW(EH191:EH387),"")))</f>
        <v>3.0825000000000031</v>
      </c>
      <c r="EJ191" s="12">
        <f>IF('Données projet'!$A$192&gt;35,EJ190+EI191-ER190,IF(A191&lt;'Données projet'!$A$192,$EG$205^A191,IF(A191='Données projet'!$A$192,'Données projet'!$B$192,EJ190+EI191-ER190)))</f>
        <v>211.26999999999973</v>
      </c>
      <c r="EK191" s="17">
        <f>EJ191*VLOOKUP('Données projet'!$B$15,Paramètres!$A$1:$I$89,3,0)*VLOOKUP('Données projet'!$B$15,Paramètres!$A$1:$I$89,5,0)</f>
        <v>214.22777999999974</v>
      </c>
      <c r="EL191" s="13">
        <f t="shared" si="179"/>
        <v>52.858387517427865</v>
      </c>
      <c r="EM191" s="20">
        <f t="shared" si="180"/>
        <v>465.17507509285309</v>
      </c>
      <c r="EN191" s="59">
        <f t="shared" si="128"/>
        <v>758.50840842618641</v>
      </c>
      <c r="EO191" s="59">
        <f ca="1">AVERAGE(OFFSET($EN$3,0,0,'Données projet'!$E$15+1,1))-AVERAGE(OFFSET($H$3,0,0,'Données projet'!$E$15+1,1))</f>
        <v>533.26035274112917</v>
      </c>
      <c r="EP191" s="59">
        <f t="shared" si="154"/>
        <v>262.58149402282521</v>
      </c>
      <c r="EQ191" s="15">
        <f>IF(ISNA(VLOOKUP(A191,'Données projet'!$A$191:$I$211,3,0)),0,VLOOKUP(A191,'Données projet'!$A$191:$I$211,3,0))</f>
        <v>15</v>
      </c>
      <c r="ER191" s="15">
        <f>IF(ISNA(VLOOKUP(A191,'Données projet'!$A$191:$I$211,4,0)),0,VLOOKUP(A191,'Données projet'!$A$191:$I$211,4,0))</f>
        <v>72.180000000000007</v>
      </c>
      <c r="ES191" s="16">
        <f>IF(ISNA(VLOOKUP(A191,'Données projet'!$A$191:$I$211,5,0)),0%,VLOOKUP(A191,'Données projet'!$A$191:$I$211,5,0)*VLOOKUP('Données projet'!$B$15,Paramètres!$A$1:$I$89,7,0))</f>
        <v>0.215</v>
      </c>
      <c r="ET191" s="16">
        <f>IF(ISNA(VLOOKUP(A191,'Données projet'!$A$191:$I$211,6,0)),0%,VLOOKUP(A191,'Données projet'!$A$191:$I$211,6,0)*VLOOKUP('Données projet'!$B$15,Paramètres!$A$1:$I$89,7,0))</f>
        <v>8.6000000000000007E-2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109.94346428601369</v>
      </c>
      <c r="EW191" s="21">
        <f>EXP(-LN(2)/25)*EW190+(1-EXP(-LN(2)/25))/(LN(2)/25)*Calculateur!ER191*Calculateur!ET191*VLOOKUP('Données projet'!$B$15,Paramètres!$A$1:$I$89,3,0)*0.475*44/12</f>
        <v>42.484958963814016</v>
      </c>
      <c r="EX191" s="21">
        <f>EXP(-LN(2)/2)*EX190+(1-EXP(-LN(2)/2))/(LN(2)/2)*ER191*EU191*VLOOKUP('Données projet'!$B$15,Paramètres!$A$1:$I$89,3,0)*0.475*44/12</f>
        <v>1.4081812063818365E-6</v>
      </c>
      <c r="EY191" s="22">
        <f t="shared" si="181"/>
        <v>152.42842465800894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239.26156489359892</v>
      </c>
      <c r="FK191" s="59">
        <f t="shared" si="156"/>
        <v>213.97034450798111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1.5527615740830822</v>
      </c>
      <c r="FR191" s="21">
        <f>EXP(-LN(2)/25)*FR190+(1-EXP(-LN(2)/25))/(LN(2)/25)*Calculateur!FM191*Calculateur!FO191*VLOOKUP('Données projet'!$B$16,Paramètres!$A$1:$I$89,3,0)*0.475*44/12</f>
        <v>4.2190171409641373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5.7717787150472191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2.5579538487363607E-13</v>
      </c>
      <c r="O192" s="13">
        <f>N192*VLOOKUP('Données projet'!$B$9,Paramètres!$A$1:$I$89,3,0)*VLOOKUP('Données projet'!$B$9,Paramètres!$A$1:$I$89,5,0)</f>
        <v>2.4341488824575211E-13</v>
      </c>
      <c r="P192" s="13">
        <f t="shared" si="141"/>
        <v>3.2970717324875541E-12</v>
      </c>
      <c r="Q192" s="20">
        <f t="shared" si="162"/>
        <v>6.1663475311105072E-12</v>
      </c>
      <c r="R192" s="59">
        <f t="shared" si="109"/>
        <v>293.33333333333945</v>
      </c>
      <c r="S192" s="59">
        <f ca="1">AVERAGE(OFFSET($R$3,0,0,'Données projet'!$E$9+1,1))-AVERAGE(OFFSET($H$3,0,0,'Données projet'!$E$9+1,1))</f>
        <v>449.28947235329758</v>
      </c>
      <c r="T192" s="59">
        <f t="shared" si="142"/>
        <v>289.36994109443964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36.931875179747237</v>
      </c>
      <c r="AA192" s="21">
        <f>EXP(-LN(2)/25)*AA191+(1-EXP(-LN(2)/25))/(LN(2)/25)*Calculateur!V192*Calculateur!X192*VLOOKUP('Données projet'!$B$9,Paramètres!$A$1:$I$89,3,0)*0.475*44/12</f>
        <v>4.8227697186984537</v>
      </c>
      <c r="AB192" s="21">
        <f>EXP(-LN(2)/2)*AB191+(1-EXP(-LN(2)/2))/(LN(2)/2)*V192*Y192*VLOOKUP('Données projet'!$B$9,Paramètres!$A$1:$I$89,3,0)*0.475*44/12</f>
        <v>9.4322591964064392E-9</v>
      </c>
      <c r="AC192" s="22">
        <f t="shared" si="163"/>
        <v>41.754644907877946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-1.3596945791505279E-13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349.71285006949597</v>
      </c>
      <c r="AO192" s="59">
        <f t="shared" si="144"/>
        <v>258.51550516456842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17.699319720025567</v>
      </c>
      <c r="AV192" s="21">
        <f>EXP(-LN(2)/25)*AV191+(1-EXP(-LN(2)/25))/(LN(2)/25)*Calculateur!AQ192*Calculateur!AS192*VLOOKUP('Données projet'!$B$10,Paramètres!$A$1:$I$89,3,0)*0.475*44/12</f>
        <v>2.5198364040999226</v>
      </c>
      <c r="AW192" s="21">
        <f>EXP(-LN(2)/2)*AW191+(1-EXP(-LN(2)/2))/(LN(2)/2)*AQ192*AT192*VLOOKUP('Données projet'!$B$10,Paramètres!$A$1:$I$89,3,0)*0.475*44/12</f>
        <v>2.7757916891403015E-15</v>
      </c>
      <c r="AX192" s="21">
        <f t="shared" si="166"/>
        <v>20.219156124125494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1.1368683772161603E-13</v>
      </c>
      <c r="BE192" s="13">
        <f>BD192*VLOOKUP('Données projet'!$B$11,Paramètres!$A$1:$I$89,3,0)*VLOOKUP('Données projet'!$B$11,Paramètres!$A$1:$I$89,5,0)</f>
        <v>6.7984728957526396E-14</v>
      </c>
      <c r="BF192" s="13">
        <f t="shared" si="167"/>
        <v>1.0682447123141398E-12</v>
      </c>
      <c r="BG192" s="20">
        <f t="shared" si="168"/>
        <v>1.978932943548152E-12</v>
      </c>
      <c r="BH192" s="59">
        <f t="shared" si="116"/>
        <v>293.3333333333353</v>
      </c>
      <c r="BI192" s="59">
        <f ca="1">AVERAGE(OFFSET($BH$3,0,0,'Données projet'!$E$11+1,1))-AVERAGE(OFFSET($H$3,0,0,'Données projet'!$E$11+1,1))</f>
        <v>302.00825291248458</v>
      </c>
      <c r="BJ192" s="59">
        <f t="shared" si="146"/>
        <v>307.35115839449355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10.791829947914499</v>
      </c>
      <c r="BQ192" s="21">
        <f>EXP(-LN(2)/25)*BQ191+(1-EXP(-LN(2)/25))/(LN(2)/25)*Calculateur!BL192*Calculateur!BN192*VLOOKUP('Données projet'!$B$11,Paramètres!$A$1:$I$89,3,0)*0.475*44/12</f>
        <v>1.3548586827306126</v>
      </c>
      <c r="BR192" s="21">
        <f>EXP(-LN(2)/2)*BR191+(1-EXP(-LN(2)/2))/(LN(2)/2)*BL192*BO192*VLOOKUP('Données projet'!$B$11,Paramètres!$A$1:$I$89,3,0)*0.475*44/12</f>
        <v>2.2984621383971115E-18</v>
      </c>
      <c r="BS192" s="22">
        <f t="shared" si="169"/>
        <v>12.146688630645112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1.7053025658242404E-13</v>
      </c>
      <c r="BZ192" s="13">
        <f>BY192*VLOOKUP('Données projet'!$B$12,Paramètres!$A$1:$I$89,3,0)*VLOOKUP('Données projet'!$B$12,Paramètres!$A$1:$I$89,5,0)</f>
        <v>7.9808160080574461E-14</v>
      </c>
      <c r="CA192" s="13">
        <f t="shared" si="170"/>
        <v>1.2308384591775343E-12</v>
      </c>
      <c r="CB192" s="20">
        <f t="shared" si="171"/>
        <v>2.282709528541206E-12</v>
      </c>
      <c r="CC192" s="59">
        <f t="shared" si="119"/>
        <v>293.33333333333559</v>
      </c>
      <c r="CD192" s="59">
        <f ca="1">AVERAGE(OFFSET($CC$3,0,0,'Données projet'!$E$12+1,1))-AVERAGE(OFFSET($H$3,0,0,'Données projet'!$E$12+1,1))</f>
        <v>337.10499990421835</v>
      </c>
      <c r="CE192" s="59">
        <f t="shared" si="148"/>
        <v>277.4254079562175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46.117862763422991</v>
      </c>
      <c r="CL192" s="21">
        <f>EXP(-LN(2)/25)*CL191+(1-EXP(-LN(2)/25))/(LN(2)/25)*Calculateur!CG192*Calculateur!CI192*VLOOKUP('Données projet'!$B$12,Paramètres!$A$1:$I$89,3,0)*0.475*44/12</f>
        <v>8.9946324858946642</v>
      </c>
      <c r="CM192" s="21">
        <f>EXP(-LN(2)/2)*CM191+(1-EXP(-LN(2)/2))/(LN(2)/2)*CG192*CJ192*VLOOKUP('Données projet'!$B$12,Paramètres!$A$1:$I$89,3,0)*0.475*44/12</f>
        <v>6.0365821560060261E-8</v>
      </c>
      <c r="CN192" s="22">
        <f t="shared" si="172"/>
        <v>55.112495309683474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1.9733333333333292</v>
      </c>
      <c r="CT192" s="12">
        <f>IF('Données projet'!$A$140&gt;35,CT191+CS192-DB191,IF(A192&lt;'Données projet'!$A$140,$CQ$205^A192,IF(A192='Données projet'!$A$140,'Données projet'!$B$140,CT191+CS192-DB191)))</f>
        <v>141.06333333333305</v>
      </c>
      <c r="CU192" s="17">
        <f>CT192*VLOOKUP('Données projet'!$B$13,Paramètres!$A$1:$I$89,3,0)*VLOOKUP('Données projet'!$B$13,Paramètres!$A$1:$I$89,5,0)</f>
        <v>140.83763199999973</v>
      </c>
      <c r="CV192" s="13">
        <f t="shared" si="173"/>
        <v>36.488828553101627</v>
      </c>
      <c r="CW192" s="20">
        <f t="shared" si="174"/>
        <v>308.84358546331816</v>
      </c>
      <c r="CX192" s="59">
        <f t="shared" si="122"/>
        <v>602.17691879665153</v>
      </c>
      <c r="CY192" s="59">
        <f ca="1">AVERAGE(OFFSET($CX$3,0,0,'Données projet'!$E$13+1,1))-AVERAGE(OFFSET($H$3,0,0,'Données projet'!$E$13+1,1))</f>
        <v>525.74725170626471</v>
      </c>
      <c r="CZ192" s="59">
        <f t="shared" si="150"/>
        <v>259.19103598192197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106.12927016394504</v>
      </c>
      <c r="DG192" s="21">
        <f>EXP(-LN(2)/25)*DG191+(1-EXP(-LN(2)/25))/(LN(2)/25)*Calculateur!DB192*Calculateur!DD192*VLOOKUP('Données projet'!$B$13,Paramètres!$A$1:$I$89,3,0)*0.475*44/12</f>
        <v>40.687463903272999</v>
      </c>
      <c r="DH192" s="21">
        <f>EXP(-LN(2)/2)*DH191+(1-EXP(-LN(2)/2))/(LN(2)/2)*DB192*DE192*VLOOKUP('Données projet'!$B$13,Paramètres!$A$1:$I$89,3,0)*0.475*44/12</f>
        <v>9.8041548816940344E-7</v>
      </c>
      <c r="DI192" s="22">
        <f t="shared" si="175"/>
        <v>146.8167350476335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5.4001247917767614E-13</v>
      </c>
      <c r="DP192" s="17">
        <f>DO192*VLOOKUP('Données projet'!$B$14,Paramètres!$A$1:$I$89,3,0)*VLOOKUP('Données projet'!$B$14,Paramètres!$A$1:$I$89,5,0)</f>
        <v>4.8860329115996133E-13</v>
      </c>
      <c r="DQ192" s="13">
        <f t="shared" si="176"/>
        <v>6.1025862939685007E-12</v>
      </c>
      <c r="DR192" s="20">
        <f t="shared" si="177"/>
        <v>1.1479655194098737E-11</v>
      </c>
      <c r="DS192" s="59">
        <f t="shared" si="125"/>
        <v>293.3333333333448</v>
      </c>
      <c r="DT192" s="59">
        <f ca="1">AVERAGE(OFFSET($DS$3,0,0,'Données projet'!$E$14+1,1))-AVERAGE(OFFSET($H$3,0,0,'Données projet'!$E$14+1,1))</f>
        <v>490.06222615476065</v>
      </c>
      <c r="DU192" s="59">
        <f t="shared" si="152"/>
        <v>310.43914804089906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64.553435060360101</v>
      </c>
      <c r="EB192" s="21">
        <f>EXP(-LN(2)/25)*EB191+(1-EXP(-LN(2)/25))/(LN(2)/25)*Calculateur!DW192*Calculateur!DY192*VLOOKUP('Données projet'!$B$14,Paramètres!$A$1:$I$89,3,0)*0.475*44/12</f>
        <v>9.1631641257155767</v>
      </c>
      <c r="EC192" s="21">
        <f>EXP(-LN(2)/2)*EC191+(1-EXP(-LN(2)/2))/(LN(2)/2)*DW192*DZ192*VLOOKUP('Données projet'!$B$14,Paramètres!$A$1:$I$89,3,0)*0.475*44/12</f>
        <v>4.1745582360667148E-4</v>
      </c>
      <c r="ED192" s="22">
        <f t="shared" si="178"/>
        <v>73.717016641899292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1.9733333333333292</v>
      </c>
      <c r="EJ192" s="12">
        <f>IF('Données projet'!$A$192&gt;35,EJ191+EI192-ER191,IF(A192&lt;'Données projet'!$A$192,$EG$205^A192,IF(A192='Données projet'!$A$192,'Données projet'!$B$192,EJ191+EI192-ER191)))</f>
        <v>141.06333333333305</v>
      </c>
      <c r="EK192" s="17">
        <f>EJ192*VLOOKUP('Données projet'!$B$15,Paramètres!$A$1:$I$89,3,0)*VLOOKUP('Données projet'!$B$15,Paramètres!$A$1:$I$89,5,0)</f>
        <v>143.03821999999974</v>
      </c>
      <c r="EL192" s="13">
        <f t="shared" si="179"/>
        <v>36.992146964895987</v>
      </c>
      <c r="EM192" s="20">
        <f t="shared" si="180"/>
        <v>313.55288913052675</v>
      </c>
      <c r="EN192" s="59">
        <f t="shared" si="128"/>
        <v>606.88622246386012</v>
      </c>
      <c r="EO192" s="59">
        <f ca="1">AVERAGE(OFFSET($EN$3,0,0,'Données projet'!$E$15+1,1))-AVERAGE(OFFSET($H$3,0,0,'Données projet'!$E$15+1,1))</f>
        <v>533.26035274112917</v>
      </c>
      <c r="EP192" s="59">
        <f t="shared" si="154"/>
        <v>262.58149402282521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107.78754001025666</v>
      </c>
      <c r="EW192" s="21">
        <f>EXP(-LN(2)/25)*EW191+(1-EXP(-LN(2)/25))/(LN(2)/25)*Calculateur!ER192*Calculateur!ET192*VLOOKUP('Données projet'!$B$15,Paramètres!$A$1:$I$89,3,0)*0.475*44/12</f>
        <v>41.323205526761633</v>
      </c>
      <c r="EX192" s="21">
        <f>EXP(-LN(2)/2)*EX191+(1-EXP(-LN(2)/2))/(LN(2)/2)*ER192*EU192*VLOOKUP('Données projet'!$B$15,Paramètres!$A$1:$I$89,3,0)*0.475*44/12</f>
        <v>9.9573448017204974E-7</v>
      </c>
      <c r="EY192" s="22">
        <f t="shared" si="181"/>
        <v>149.11074653275276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239.26156489359892</v>
      </c>
      <c r="FK192" s="59">
        <f t="shared" si="156"/>
        <v>213.97034450798111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1.5223128667063557</v>
      </c>
      <c r="FR192" s="21">
        <f>EXP(-LN(2)/25)*FR191+(1-EXP(-LN(2)/25))/(LN(2)/25)*Calculateur!FM192*Calculateur!FO192*VLOOKUP('Données projet'!$B$16,Paramètres!$A$1:$I$89,3,0)*0.475*44/12</f>
        <v>4.1036478953760041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5.62596076208236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2.5579538487363607E-13</v>
      </c>
      <c r="O193" s="13">
        <f>N193*VLOOKUP('Données projet'!$B$9,Paramètres!$A$1:$I$89,3,0)*VLOOKUP('Données projet'!$B$9,Paramètres!$A$1:$I$89,5,0)</f>
        <v>2.4341488824575211E-13</v>
      </c>
      <c r="P193" s="13">
        <f t="shared" si="141"/>
        <v>3.2970717324875541E-12</v>
      </c>
      <c r="Q193" s="20">
        <f t="shared" si="162"/>
        <v>6.1663475311105072E-12</v>
      </c>
      <c r="R193" s="59">
        <f t="shared" si="109"/>
        <v>293.33333333333945</v>
      </c>
      <c r="S193" s="59">
        <f ca="1">AVERAGE(OFFSET($R$3,0,0,'Données projet'!$E$9+1,1))-AVERAGE(OFFSET($H$3,0,0,'Données projet'!$E$9+1,1))</f>
        <v>449.28947235329758</v>
      </c>
      <c r="T193" s="59">
        <f t="shared" si="142"/>
        <v>289.36994109443964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36.207663633691972</v>
      </c>
      <c r="AA193" s="21">
        <f>EXP(-LN(2)/25)*AA192+(1-EXP(-LN(2)/25))/(LN(2)/25)*Calculateur!V193*Calculateur!X193*VLOOKUP('Données projet'!$B$9,Paramètres!$A$1:$I$89,3,0)*0.475*44/12</f>
        <v>4.6908908271222076</v>
      </c>
      <c r="AB193" s="21">
        <f>EXP(-LN(2)/2)*AB192+(1-EXP(-LN(2)/2))/(LN(2)/2)*V193*Y193*VLOOKUP('Données projet'!$B$9,Paramètres!$A$1:$I$89,3,0)*0.475*44/12</f>
        <v>6.6696144396881686E-9</v>
      </c>
      <c r="AC193" s="22">
        <f t="shared" si="163"/>
        <v>40.898554467483798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-1.3596945791505279E-13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349.71285006949597</v>
      </c>
      <c r="AO193" s="59">
        <f t="shared" si="144"/>
        <v>258.51550516456842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17.352246855834927</v>
      </c>
      <c r="AV193" s="21">
        <f>EXP(-LN(2)/25)*AV192+(1-EXP(-LN(2)/25))/(LN(2)/25)*Calculateur!AQ193*Calculateur!AS193*VLOOKUP('Données projet'!$B$10,Paramètres!$A$1:$I$89,3,0)*0.475*44/12</f>
        <v>2.4509313451173731</v>
      </c>
      <c r="AW193" s="21">
        <f>EXP(-LN(2)/2)*AW192+(1-EXP(-LN(2)/2))/(LN(2)/2)*AQ193*AT193*VLOOKUP('Données projet'!$B$10,Paramètres!$A$1:$I$89,3,0)*0.475*44/12</f>
        <v>1.9627811265523683E-15</v>
      </c>
      <c r="AX193" s="21">
        <f t="shared" si="166"/>
        <v>19.803178200952303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1.1368683772161603E-13</v>
      </c>
      <c r="BE193" s="13">
        <f>BD193*VLOOKUP('Données projet'!$B$11,Paramètres!$A$1:$I$89,3,0)*VLOOKUP('Données projet'!$B$11,Paramètres!$A$1:$I$89,5,0)</f>
        <v>6.7984728957526396E-14</v>
      </c>
      <c r="BF193" s="13">
        <f t="shared" si="167"/>
        <v>1.0682447123141398E-12</v>
      </c>
      <c r="BG193" s="20">
        <f t="shared" si="168"/>
        <v>1.978932943548152E-12</v>
      </c>
      <c r="BH193" s="59">
        <f t="shared" si="116"/>
        <v>293.3333333333353</v>
      </c>
      <c r="BI193" s="59">
        <f ca="1">AVERAGE(OFFSET($BH$3,0,0,'Données projet'!$E$11+1,1))-AVERAGE(OFFSET($H$3,0,0,'Données projet'!$E$11+1,1))</f>
        <v>302.00825291248458</v>
      </c>
      <c r="BJ193" s="59">
        <f t="shared" si="146"/>
        <v>307.35115839449355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10.580208745002208</v>
      </c>
      <c r="BQ193" s="21">
        <f>EXP(-LN(2)/25)*BQ192+(1-EXP(-LN(2)/25))/(LN(2)/25)*Calculateur!BL193*Calculateur!BN193*VLOOKUP('Données projet'!$B$11,Paramètres!$A$1:$I$89,3,0)*0.475*44/12</f>
        <v>1.3178100008024225</v>
      </c>
      <c r="BR193" s="21">
        <f>EXP(-LN(2)/2)*BR192+(1-EXP(-LN(2)/2))/(LN(2)/2)*BL193*BO193*VLOOKUP('Données projet'!$B$11,Paramètres!$A$1:$I$89,3,0)*0.475*44/12</f>
        <v>1.6252581643611304E-18</v>
      </c>
      <c r="BS193" s="22">
        <f t="shared" si="169"/>
        <v>11.898018745804631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1.7053025658242404E-13</v>
      </c>
      <c r="BZ193" s="13">
        <f>BY193*VLOOKUP('Données projet'!$B$12,Paramètres!$A$1:$I$89,3,0)*VLOOKUP('Données projet'!$B$12,Paramètres!$A$1:$I$89,5,0)</f>
        <v>7.9808160080574461E-14</v>
      </c>
      <c r="CA193" s="13">
        <f t="shared" si="170"/>
        <v>1.2308384591775343E-12</v>
      </c>
      <c r="CB193" s="20">
        <f t="shared" si="171"/>
        <v>2.282709528541206E-12</v>
      </c>
      <c r="CC193" s="59">
        <f t="shared" si="119"/>
        <v>293.33333333333559</v>
      </c>
      <c r="CD193" s="59">
        <f ca="1">AVERAGE(OFFSET($CC$3,0,0,'Données projet'!$E$12+1,1))-AVERAGE(OFFSET($H$3,0,0,'Données projet'!$E$12+1,1))</f>
        <v>337.10499990421835</v>
      </c>
      <c r="CE193" s="59">
        <f t="shared" si="148"/>
        <v>277.4254079562175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45.213519603751031</v>
      </c>
      <c r="CL193" s="21">
        <f>EXP(-LN(2)/25)*CL192+(1-EXP(-LN(2)/25))/(LN(2)/25)*Calculateur!CG193*Calculateur!CI193*VLOOKUP('Données projet'!$B$12,Paramètres!$A$1:$I$89,3,0)*0.475*44/12</f>
        <v>8.7486737875607101</v>
      </c>
      <c r="CM193" s="21">
        <f>EXP(-LN(2)/2)*CM192+(1-EXP(-LN(2)/2))/(LN(2)/2)*CG193*CJ193*VLOOKUP('Données projet'!$B$12,Paramètres!$A$1:$I$89,3,0)*0.475*44/12</f>
        <v>4.2685081777015706E-8</v>
      </c>
      <c r="CN193" s="22">
        <f t="shared" si="172"/>
        <v>53.962193433996823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1.9733333333333292</v>
      </c>
      <c r="CT193" s="12">
        <f>IF('Données projet'!$A$140&gt;35,CT192+CS193-DB192,IF(A193&lt;'Données projet'!$A$140,$CQ$205^A193,IF(A193='Données projet'!$A$140,'Données projet'!$B$140,CT192+CS193-DB192)))</f>
        <v>143.03666666666638</v>
      </c>
      <c r="CU193" s="17">
        <f>CT193*VLOOKUP('Données projet'!$B$13,Paramètres!$A$1:$I$89,3,0)*VLOOKUP('Données projet'!$B$13,Paramètres!$A$1:$I$89,5,0)</f>
        <v>142.80780799999974</v>
      </c>
      <c r="CV193" s="13">
        <f t="shared" si="173"/>
        <v>36.939489617270922</v>
      </c>
      <c r="CW193" s="20">
        <f t="shared" si="174"/>
        <v>313.05987668341305</v>
      </c>
      <c r="CX193" s="59">
        <f t="shared" si="122"/>
        <v>606.39321001674637</v>
      </c>
      <c r="CY193" s="59">
        <f ca="1">AVERAGE(OFFSET($CX$3,0,0,'Données projet'!$E$13+1,1))-AVERAGE(OFFSET($H$3,0,0,'Données projet'!$E$13+1,1))</f>
        <v>525.74725170626471</v>
      </c>
      <c r="CZ193" s="59">
        <f t="shared" si="150"/>
        <v>259.19103598192197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104.04813990849307</v>
      </c>
      <c r="DG193" s="21">
        <f>EXP(-LN(2)/25)*DG192+(1-EXP(-LN(2)/25))/(LN(2)/25)*Calculateur!DB193*Calculateur!DD193*VLOOKUP('Données projet'!$B$13,Paramètres!$A$1:$I$89,3,0)*0.475*44/12</f>
        <v>39.574863063177261</v>
      </c>
      <c r="DH193" s="21">
        <f>EXP(-LN(2)/2)*DH192+(1-EXP(-LN(2)/2))/(LN(2)/2)*DB193*DE193*VLOOKUP('Données projet'!$B$13,Paramètres!$A$1:$I$89,3,0)*0.475*44/12</f>
        <v>6.9325844006490454E-7</v>
      </c>
      <c r="DI193" s="22">
        <f t="shared" si="175"/>
        <v>143.62300366492877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5.4001247917767614E-13</v>
      </c>
      <c r="DP193" s="17">
        <f>DO193*VLOOKUP('Données projet'!$B$14,Paramètres!$A$1:$I$89,3,0)*VLOOKUP('Données projet'!$B$14,Paramètres!$A$1:$I$89,5,0)</f>
        <v>4.8860329115996133E-13</v>
      </c>
      <c r="DQ193" s="13">
        <f t="shared" si="176"/>
        <v>6.1025862939685007E-12</v>
      </c>
      <c r="DR193" s="20">
        <f t="shared" si="177"/>
        <v>1.1479655194098737E-11</v>
      </c>
      <c r="DS193" s="59">
        <f t="shared" si="125"/>
        <v>293.3333333333448</v>
      </c>
      <c r="DT193" s="59">
        <f ca="1">AVERAGE(OFFSET($DS$3,0,0,'Données projet'!$E$14+1,1))-AVERAGE(OFFSET($H$3,0,0,'Données projet'!$E$14+1,1))</f>
        <v>490.06222615476065</v>
      </c>
      <c r="DU193" s="59">
        <f t="shared" si="152"/>
        <v>310.43914804089906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63.287581572533995</v>
      </c>
      <c r="EB193" s="21">
        <f>EXP(-LN(2)/25)*EB192+(1-EXP(-LN(2)/25))/(LN(2)/25)*Calculateur!DW193*Calculateur!DY193*VLOOKUP('Données projet'!$B$14,Paramètres!$A$1:$I$89,3,0)*0.475*44/12</f>
        <v>8.912596920828026</v>
      </c>
      <c r="EC193" s="21">
        <f>EXP(-LN(2)/2)*EC192+(1-EXP(-LN(2)/2))/(LN(2)/2)*DW193*DZ193*VLOOKUP('Données projet'!$B$14,Paramètres!$A$1:$I$89,3,0)*0.475*44/12</f>
        <v>2.9518584371809262E-4</v>
      </c>
      <c r="ED193" s="22">
        <f t="shared" si="178"/>
        <v>72.200473679205729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1.9733333333333292</v>
      </c>
      <c r="EJ193" s="12">
        <f>IF('Données projet'!$A$192&gt;35,EJ192+EI193-ER192,IF(A193&lt;'Données projet'!$A$192,$EG$205^A193,IF(A193='Données projet'!$A$192,'Données projet'!$B$192,EJ192+EI193-ER192)))</f>
        <v>143.03666666666638</v>
      </c>
      <c r="EK193" s="17">
        <f>EJ193*VLOOKUP('Données projet'!$B$15,Paramètres!$A$1:$I$89,3,0)*VLOOKUP('Données projet'!$B$15,Paramètres!$A$1:$I$89,5,0)</f>
        <v>145.0391799999997</v>
      </c>
      <c r="EL193" s="13">
        <f t="shared" si="179"/>
        <v>37.449024342936362</v>
      </c>
      <c r="EM193" s="20">
        <f t="shared" si="180"/>
        <v>317.8336225639469</v>
      </c>
      <c r="EN193" s="59">
        <f t="shared" si="128"/>
        <v>611.16695589728022</v>
      </c>
      <c r="EO193" s="59">
        <f ca="1">AVERAGE(OFFSET($EN$3,0,0,'Données projet'!$E$15+1,1))-AVERAGE(OFFSET($H$3,0,0,'Données projet'!$E$15+1,1))</f>
        <v>533.26035274112917</v>
      </c>
      <c r="EP193" s="59">
        <f t="shared" si="154"/>
        <v>262.58149402282521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105.67389209456327</v>
      </c>
      <c r="EW193" s="21">
        <f>EXP(-LN(2)/25)*EW192+(1-EXP(-LN(2)/25))/(LN(2)/25)*Calculateur!ER193*Calculateur!ET193*VLOOKUP('Données projet'!$B$15,Paramètres!$A$1:$I$89,3,0)*0.475*44/12</f>
        <v>40.193220298539401</v>
      </c>
      <c r="EX193" s="21">
        <f>EXP(-LN(2)/2)*EX192+(1-EXP(-LN(2)/2))/(LN(2)/2)*ER193*EU193*VLOOKUP('Données projet'!$B$15,Paramètres!$A$1:$I$89,3,0)*0.475*44/12</f>
        <v>7.0409060319091823E-7</v>
      </c>
      <c r="EY193" s="22">
        <f t="shared" si="181"/>
        <v>145.86711309719328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239.26156489359892</v>
      </c>
      <c r="FK193" s="59">
        <f t="shared" si="156"/>
        <v>213.97034450798111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1.492461239909409</v>
      </c>
      <c r="FR193" s="21">
        <f>EXP(-LN(2)/25)*FR192+(1-EXP(-LN(2)/25))/(LN(2)/25)*Calculateur!FM193*Calculateur!FO193*VLOOKUP('Données projet'!$B$16,Paramètres!$A$1:$I$89,3,0)*0.475*44/12</f>
        <v>3.9914334278754833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5.4838946677848925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2.5579538487363607E-13</v>
      </c>
      <c r="O194" s="13">
        <f>N194*VLOOKUP('Données projet'!$B$9,Paramètres!$A$1:$I$89,3,0)*VLOOKUP('Données projet'!$B$9,Paramètres!$A$1:$I$89,5,0)</f>
        <v>2.4341488824575211E-13</v>
      </c>
      <c r="P194" s="13">
        <f t="shared" si="141"/>
        <v>3.2970717324875541E-12</v>
      </c>
      <c r="Q194" s="20">
        <f t="shared" si="162"/>
        <v>6.1663475311105072E-12</v>
      </c>
      <c r="R194" s="59">
        <f t="shared" si="109"/>
        <v>293.33333333333945</v>
      </c>
      <c r="S194" s="59">
        <f ca="1">AVERAGE(OFFSET($R$3,0,0,'Données projet'!$E$9+1,1))-AVERAGE(OFFSET($H$3,0,0,'Données projet'!$E$9+1,1))</f>
        <v>449.28947235329758</v>
      </c>
      <c r="T194" s="59">
        <f t="shared" si="142"/>
        <v>289.36994109443964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35.497653434329429</v>
      </c>
      <c r="AA194" s="21">
        <f>EXP(-LN(2)/25)*AA193+(1-EXP(-LN(2)/25))/(LN(2)/25)*Calculateur!V194*Calculateur!X194*VLOOKUP('Données projet'!$B$9,Paramètres!$A$1:$I$89,3,0)*0.475*44/12</f>
        <v>4.5626181707713238</v>
      </c>
      <c r="AB194" s="21">
        <f>EXP(-LN(2)/2)*AB193+(1-EXP(-LN(2)/2))/(LN(2)/2)*V194*Y194*VLOOKUP('Données projet'!$B$9,Paramètres!$A$1:$I$89,3,0)*0.475*44/12</f>
        <v>4.7161295982032196E-9</v>
      </c>
      <c r="AC194" s="22">
        <f t="shared" si="163"/>
        <v>40.06027160981688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-1.3596945791505279E-13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349.71285006949597</v>
      </c>
      <c r="AO194" s="59">
        <f t="shared" si="144"/>
        <v>258.51550516456842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17.01197987881752</v>
      </c>
      <c r="AV194" s="21">
        <f>EXP(-LN(2)/25)*AV193+(1-EXP(-LN(2)/25))/(LN(2)/25)*Calculateur!AQ194*Calculateur!AS194*VLOOKUP('Données projet'!$B$10,Paramètres!$A$1:$I$89,3,0)*0.475*44/12</f>
        <v>2.3839104985962609</v>
      </c>
      <c r="AW194" s="21">
        <f>EXP(-LN(2)/2)*AW193+(1-EXP(-LN(2)/2))/(LN(2)/2)*AQ194*AT194*VLOOKUP('Données projet'!$B$10,Paramètres!$A$1:$I$89,3,0)*0.475*44/12</f>
        <v>1.3878958445701508E-15</v>
      </c>
      <c r="AX194" s="21">
        <f t="shared" si="166"/>
        <v>19.395890377413782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1.1368683772161603E-13</v>
      </c>
      <c r="BE194" s="13">
        <f>BD194*VLOOKUP('Données projet'!$B$11,Paramètres!$A$1:$I$89,3,0)*VLOOKUP('Données projet'!$B$11,Paramètres!$A$1:$I$89,5,0)</f>
        <v>6.7984728957526396E-14</v>
      </c>
      <c r="BF194" s="13">
        <f t="shared" si="167"/>
        <v>1.0682447123141398E-12</v>
      </c>
      <c r="BG194" s="20">
        <f t="shared" si="168"/>
        <v>1.978932943548152E-12</v>
      </c>
      <c r="BH194" s="59">
        <f t="shared" si="116"/>
        <v>293.3333333333353</v>
      </c>
      <c r="BI194" s="59">
        <f ca="1">AVERAGE(OFFSET($BH$3,0,0,'Données projet'!$E$11+1,1))-AVERAGE(OFFSET($H$3,0,0,'Données projet'!$E$11+1,1))</f>
        <v>302.00825291248458</v>
      </c>
      <c r="BJ194" s="59">
        <f t="shared" si="146"/>
        <v>307.35115839449355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10.37273730480284</v>
      </c>
      <c r="BQ194" s="21">
        <f>EXP(-LN(2)/25)*BQ193+(1-EXP(-LN(2)/25))/(LN(2)/25)*Calculateur!BL194*Calculateur!BN194*VLOOKUP('Données projet'!$B$11,Paramètres!$A$1:$I$89,3,0)*0.475*44/12</f>
        <v>1.2817744170298642</v>
      </c>
      <c r="BR194" s="21">
        <f>EXP(-LN(2)/2)*BR193+(1-EXP(-LN(2)/2))/(LN(2)/2)*BL194*BO194*VLOOKUP('Données projet'!$B$11,Paramètres!$A$1:$I$89,3,0)*0.475*44/12</f>
        <v>1.1492310691985557E-18</v>
      </c>
      <c r="BS194" s="22">
        <f t="shared" si="169"/>
        <v>11.654511721832703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1.7053025658242404E-13</v>
      </c>
      <c r="BZ194" s="13">
        <f>BY194*VLOOKUP('Données projet'!$B$12,Paramètres!$A$1:$I$89,3,0)*VLOOKUP('Données projet'!$B$12,Paramètres!$A$1:$I$89,5,0)</f>
        <v>7.9808160080574461E-14</v>
      </c>
      <c r="CA194" s="13">
        <f t="shared" si="170"/>
        <v>1.2308384591775343E-12</v>
      </c>
      <c r="CB194" s="20">
        <f t="shared" si="171"/>
        <v>2.282709528541206E-12</v>
      </c>
      <c r="CC194" s="59">
        <f t="shared" si="119"/>
        <v>293.33333333333559</v>
      </c>
      <c r="CD194" s="59">
        <f ca="1">AVERAGE(OFFSET($CC$3,0,0,'Données projet'!$E$12+1,1))-AVERAGE(OFFSET($H$3,0,0,'Données projet'!$E$12+1,1))</f>
        <v>337.10499990421835</v>
      </c>
      <c r="CE194" s="59">
        <f t="shared" si="148"/>
        <v>277.4254079562175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44.326910061845375</v>
      </c>
      <c r="CL194" s="21">
        <f>EXP(-LN(2)/25)*CL193+(1-EXP(-LN(2)/25))/(LN(2)/25)*Calculateur!CG194*Calculateur!CI194*VLOOKUP('Données projet'!$B$12,Paramètres!$A$1:$I$89,3,0)*0.475*44/12</f>
        <v>8.5094408427671038</v>
      </c>
      <c r="CM194" s="21">
        <f>EXP(-LN(2)/2)*CM193+(1-EXP(-LN(2)/2))/(LN(2)/2)*CG194*CJ194*VLOOKUP('Données projet'!$B$12,Paramètres!$A$1:$I$89,3,0)*0.475*44/12</f>
        <v>3.0182910780030131E-8</v>
      </c>
      <c r="CN194" s="22">
        <f t="shared" si="172"/>
        <v>52.836350934795391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>
        <f>VLOOKUP(A194,'Données projet'!$A$139:$I$159,2,0)</f>
        <v>145.01</v>
      </c>
      <c r="CR194" s="12">
        <f>VLOOKUP(A194,'Données projet'!$A$139:$I$159,9,0)</f>
        <v>1.9733333333333292</v>
      </c>
      <c r="CS194" s="12">
        <f t="array" ref="CS194">INDEX(CR:CR,MIN(IF(ISNUMBER(CR194:CR390),ROW(CR194:CR390),"")))</f>
        <v>1.9733333333333292</v>
      </c>
      <c r="CT194" s="12">
        <f>IF('Données projet'!$A$140&gt;35,CT193+CS194-DB193,IF(A194&lt;'Données projet'!$A$140,$CQ$205^A194,IF(A194='Données projet'!$A$140,'Données projet'!$B$140,CT193+CS194-DB193)))</f>
        <v>145.00999999999971</v>
      </c>
      <c r="CU194" s="17">
        <f>CT194*VLOOKUP('Données projet'!$B$13,Paramètres!$A$1:$I$89,3,0)*VLOOKUP('Données projet'!$B$13,Paramètres!$A$1:$I$89,5,0)</f>
        <v>144.77798399999972</v>
      </c>
      <c r="CV194" s="13">
        <f t="shared" si="173"/>
        <v>37.389427542086295</v>
      </c>
      <c r="CW194" s="20">
        <f t="shared" si="174"/>
        <v>317.27490843579983</v>
      </c>
      <c r="CX194" s="59">
        <f t="shared" si="122"/>
        <v>610.6082417691332</v>
      </c>
      <c r="CY194" s="59">
        <f ca="1">AVERAGE(OFFSET($CX$3,0,0,'Données projet'!$E$13+1,1))-AVERAGE(OFFSET($H$3,0,0,'Données projet'!$E$13+1,1))</f>
        <v>525.74725170626471</v>
      </c>
      <c r="CZ194" s="59">
        <f t="shared" si="150"/>
        <v>259.19103598192197</v>
      </c>
      <c r="DA194" s="15">
        <f>IF(ISNA(VLOOKUP(A194,'Données projet'!$A$139:$I$159,3,0)),0,VLOOKUP(A194,'Données projet'!$A$139:$I$159,3,0))</f>
        <v>16</v>
      </c>
      <c r="DB194" s="15">
        <f>IF(ISNA(VLOOKUP(A194,'Données projet'!$A$139:$I$159,4,0)),0,VLOOKUP(A194,'Données projet'!$A$139:$I$159,4,0))</f>
        <v>145.01</v>
      </c>
      <c r="DC194" s="16">
        <f>IF(ISNA(VLOOKUP(A194,'Données projet'!$A$139:$I$159,5,0)),0%,VLOOKUP(A194,'Données projet'!$A$139:$I$159,5,0)*VLOOKUP('Données projet'!$B$13,Paramètres!$A$1:$I$89,7,0))</f>
        <v>0.19350000000000001</v>
      </c>
      <c r="DD194" s="16">
        <f>IF(ISNA(VLOOKUP(A194,'Données projet'!$A$139:$I$159,6,0)),0%,VLOOKUP(A194,'Données projet'!$A$139:$I$159,6,0)*VLOOKUP('Données projet'!$B$13,Paramètres!$A$1:$I$89,7,0))</f>
        <v>2.1500000000000002E-2</v>
      </c>
      <c r="DE194" s="16">
        <f>IF(ISNA(VLOOKUP(A194,'Données projet'!$A$139:$I$159,7,0)),0%,VLOOKUP(A194,'Données projet'!$A$139:$I$159,7,0))</f>
        <v>0.05</v>
      </c>
      <c r="DF194" s="21">
        <f>EXP(-LN(2)/35)*DF193+(1-EXP(-LN(2)/35))/(LN(2)/35)*DB194*DC194*VLOOKUP('Données projet'!$B$13,Paramètres!$A$1:$I$89,3,0)*0.475*44/12</f>
        <v>132.97706340810225</v>
      </c>
      <c r="DG194" s="21">
        <f>EXP(-LN(2)/25)*DG193+(1-EXP(-LN(2)/25))/(LN(2)/25)*Calculateur!DB194*Calculateur!DD194*VLOOKUP('Données projet'!$B$13,Paramètres!$A$1:$I$89,3,0)*0.475*44/12</f>
        <v>41.92016483445687</v>
      </c>
      <c r="DH194" s="21">
        <f>EXP(-LN(2)/2)*DH193+(1-EXP(-LN(2)/2))/(LN(2)/2)*DB194*DE194*VLOOKUP('Données projet'!$B$13,Paramètres!$A$1:$I$89,3,0)*0.475*44/12</f>
        <v>6.8300967175231566</v>
      </c>
      <c r="DI194" s="22">
        <f t="shared" si="175"/>
        <v>181.72732496008229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5.4001247917767614E-13</v>
      </c>
      <c r="DP194" s="17">
        <f>DO194*VLOOKUP('Données projet'!$B$14,Paramètres!$A$1:$I$89,3,0)*VLOOKUP('Données projet'!$B$14,Paramètres!$A$1:$I$89,5,0)</f>
        <v>4.8860329115996133E-13</v>
      </c>
      <c r="DQ194" s="13">
        <f t="shared" si="176"/>
        <v>6.1025862939685007E-12</v>
      </c>
      <c r="DR194" s="20">
        <f t="shared" si="177"/>
        <v>1.1479655194098737E-11</v>
      </c>
      <c r="DS194" s="59">
        <f t="shared" si="125"/>
        <v>293.3333333333448</v>
      </c>
      <c r="DT194" s="59">
        <f ca="1">AVERAGE(OFFSET($DS$3,0,0,'Données projet'!$E$14+1,1))-AVERAGE(OFFSET($H$3,0,0,'Données projet'!$E$14+1,1))</f>
        <v>490.06222615476065</v>
      </c>
      <c r="DU194" s="59">
        <f t="shared" si="152"/>
        <v>310.43914804089906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62.046550699509773</v>
      </c>
      <c r="EB194" s="21">
        <f>EXP(-LN(2)/25)*EB193+(1-EXP(-LN(2)/25))/(LN(2)/25)*Calculateur!DW194*Calculateur!DY194*VLOOKUP('Données projet'!$B$14,Paramètres!$A$1:$I$89,3,0)*0.475*44/12</f>
        <v>8.6688814893348809</v>
      </c>
      <c r="EC194" s="21">
        <f>EXP(-LN(2)/2)*EC193+(1-EXP(-LN(2)/2))/(LN(2)/2)*DW194*DZ194*VLOOKUP('Données projet'!$B$14,Paramètres!$A$1:$I$89,3,0)*0.475*44/12</f>
        <v>2.0872791180333574E-4</v>
      </c>
      <c r="ED194" s="22">
        <f t="shared" si="178"/>
        <v>70.715640916756456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>
        <f>VLOOKUP(A194,'Données projet'!$A$191:$I$211,2,0)</f>
        <v>145.01</v>
      </c>
      <c r="EH194" s="12">
        <f>VLOOKUP(A194,'Données projet'!$A$191:$I$211,9,0)</f>
        <v>1.9733333333333292</v>
      </c>
      <c r="EI194" s="12">
        <f t="array" ref="EI194">INDEX(EH:EH,MIN(IF(ISNUMBER(EH194:EH390),ROW(EH194:EH390),"")))</f>
        <v>1.9733333333333292</v>
      </c>
      <c r="EJ194" s="12">
        <f>IF('Données projet'!$A$192&gt;35,EJ193+EI194-ER193,IF(A194&lt;'Données projet'!$A$192,$EG$205^A194,IF(A194='Données projet'!$A$192,'Données projet'!$B$192,EJ193+EI194-ER193)))</f>
        <v>145.00999999999971</v>
      </c>
      <c r="EK194" s="17">
        <f>EJ194*VLOOKUP('Données projet'!$B$15,Paramètres!$A$1:$I$89,3,0)*VLOOKUP('Données projet'!$B$15,Paramètres!$A$1:$I$89,5,0)</f>
        <v>147.04013999999972</v>
      </c>
      <c r="EL194" s="13">
        <f t="shared" si="179"/>
        <v>37.905168606806875</v>
      </c>
      <c r="EM194" s="20">
        <f t="shared" si="180"/>
        <v>322.11307915685478</v>
      </c>
      <c r="EN194" s="59">
        <f t="shared" si="128"/>
        <v>615.4464124901881</v>
      </c>
      <c r="EO194" s="59">
        <f ca="1">AVERAGE(OFFSET($EN$3,0,0,'Données projet'!$E$15+1,1))-AVERAGE(OFFSET($H$3,0,0,'Données projet'!$E$15+1,1))</f>
        <v>533.26035274112917</v>
      </c>
      <c r="EP194" s="59">
        <f t="shared" si="154"/>
        <v>262.58149402282521</v>
      </c>
      <c r="EQ194" s="15">
        <f>IF(ISNA(VLOOKUP(A194,'Données projet'!$A$191:$I$211,3,0)),0,VLOOKUP(A194,'Données projet'!$A$191:$I$211,3,0))</f>
        <v>16</v>
      </c>
      <c r="ER194" s="15">
        <f>IF(ISNA(VLOOKUP(A194,'Données projet'!$A$191:$I$211,4,0)),0,VLOOKUP(A194,'Données projet'!$A$191:$I$211,4,0))</f>
        <v>145.01</v>
      </c>
      <c r="ES194" s="16">
        <f>IF(ISNA(VLOOKUP(A194,'Données projet'!$A$191:$I$211,5,0)),0%,VLOOKUP(A194,'Données projet'!$A$191:$I$211,5,0)*VLOOKUP('Données projet'!$B$15,Paramètres!$A$1:$I$89,7,0))</f>
        <v>0.19350000000000001</v>
      </c>
      <c r="ET194" s="16">
        <f>IF(ISNA(VLOOKUP(A194,'Données projet'!$A$191:$I$211,6,0)),0%,VLOOKUP(A194,'Données projet'!$A$191:$I$211,6,0)*VLOOKUP('Données projet'!$B$15,Paramètres!$A$1:$I$89,7,0))</f>
        <v>2.1500000000000002E-2</v>
      </c>
      <c r="EU194" s="16">
        <f>IF(ISNA(VLOOKUP(A194,'Données projet'!$A$191:$I$211,7,0)),0%,VLOOKUP(A194,'Données projet'!$A$191:$I$211,7,0))</f>
        <v>0.05</v>
      </c>
      <c r="EV194" s="21">
        <f>EXP(-LN(2)/35)*EV193+(1-EXP(-LN(2)/35))/(LN(2)/35)*ER194*ES194*VLOOKUP('Données projet'!$B$15,Paramètres!$A$1:$I$89,3,0)*0.475*44/12</f>
        <v>135.05483002385387</v>
      </c>
      <c r="EW194" s="21">
        <f>EXP(-LN(2)/25)*EW193+(1-EXP(-LN(2)/25))/(LN(2)/25)*Calculateur!ER194*Calculateur!ET194*VLOOKUP('Données projet'!$B$15,Paramètres!$A$1:$I$89,3,0)*0.475*44/12</f>
        <v>42.575167409995252</v>
      </c>
      <c r="EX194" s="21">
        <f>EXP(-LN(2)/2)*EX193+(1-EXP(-LN(2)/2))/(LN(2)/2)*ER194*EU194*VLOOKUP('Données projet'!$B$15,Paramètres!$A$1:$I$89,3,0)*0.475*44/12</f>
        <v>6.9368169787344574</v>
      </c>
      <c r="EY194" s="22">
        <f t="shared" si="181"/>
        <v>184.5668144125836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239.26156489359892</v>
      </c>
      <c r="FK194" s="59">
        <f t="shared" si="156"/>
        <v>213.97034450798111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1.463194985306256</v>
      </c>
      <c r="FR194" s="21">
        <f>EXP(-LN(2)/25)*FR193+(1-EXP(-LN(2)/25))/(LN(2)/25)*Calculateur!FM194*Calculateur!FO194*VLOOKUP('Données projet'!$B$16,Paramètres!$A$1:$I$89,3,0)*0.475*44/12</f>
        <v>3.8822874708898669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5.3454824561961232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2.5579538487363607E-13</v>
      </c>
      <c r="O195" s="13">
        <f>N195*VLOOKUP('Données projet'!$B$9,Paramètres!$A$1:$I$89,3,0)*VLOOKUP('Données projet'!$B$9,Paramètres!$A$1:$I$89,5,0)</f>
        <v>2.4341488824575211E-13</v>
      </c>
      <c r="P195" s="13">
        <f t="shared" si="141"/>
        <v>3.2970717324875541E-12</v>
      </c>
      <c r="Q195" s="20">
        <f t="shared" si="162"/>
        <v>6.1663475311105072E-12</v>
      </c>
      <c r="R195" s="59">
        <f t="shared" ref="R195:R203" si="191">Q195+(I195+J195)*44/12</f>
        <v>293.33333333333945</v>
      </c>
      <c r="S195" s="59">
        <f ca="1">AVERAGE(OFFSET($R$3,0,0,'Données projet'!$E$9+1,1))-AVERAGE(OFFSET($H$3,0,0,'Données projet'!$E$9+1,1))</f>
        <v>449.28947235329758</v>
      </c>
      <c r="T195" s="59">
        <f t="shared" si="142"/>
        <v>289.36994109443964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34.801566101912925</v>
      </c>
      <c r="AA195" s="21">
        <f>EXP(-LN(2)/25)*AA194+(1-EXP(-LN(2)/25))/(LN(2)/25)*Calculateur!V195*Calculateur!X195*VLOOKUP('Données projet'!$B$9,Paramètres!$A$1:$I$89,3,0)*0.475*44/12</f>
        <v>4.4378531369539207</v>
      </c>
      <c r="AB195" s="21">
        <f>EXP(-LN(2)/2)*AB194+(1-EXP(-LN(2)/2))/(LN(2)/2)*V195*Y195*VLOOKUP('Données projet'!$B$9,Paramètres!$A$1:$I$89,3,0)*0.475*44/12</f>
        <v>3.3348072198440843E-9</v>
      </c>
      <c r="AC195" s="22">
        <f t="shared" si="163"/>
        <v>39.239419242201649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-1.3596945791505279E-13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349.71285006949597</v>
      </c>
      <c r="AO195" s="59">
        <f t="shared" si="144"/>
        <v>258.51550516456842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16.678385329677063</v>
      </c>
      <c r="AV195" s="21">
        <f>EXP(-LN(2)/25)*AV194+(1-EXP(-LN(2)/25))/(LN(2)/25)*Calculateur!AQ195*Calculateur!AS195*VLOOKUP('Données projet'!$B$10,Paramètres!$A$1:$I$89,3,0)*0.475*44/12</f>
        <v>2.3187223406477417</v>
      </c>
      <c r="AW195" s="21">
        <f>EXP(-LN(2)/2)*AW194+(1-EXP(-LN(2)/2))/(LN(2)/2)*AQ195*AT195*VLOOKUP('Données projet'!$B$10,Paramètres!$A$1:$I$89,3,0)*0.475*44/12</f>
        <v>9.8139056327618416E-16</v>
      </c>
      <c r="AX195" s="21">
        <f t="shared" si="166"/>
        <v>18.997107670324805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1.1368683772161603E-13</v>
      </c>
      <c r="BE195" s="13">
        <f>BD195*VLOOKUP('Données projet'!$B$11,Paramètres!$A$1:$I$89,3,0)*VLOOKUP('Données projet'!$B$11,Paramètres!$A$1:$I$89,5,0)</f>
        <v>6.7984728957526396E-14</v>
      </c>
      <c r="BF195" s="13">
        <f t="shared" si="167"/>
        <v>1.0682447123141398E-12</v>
      </c>
      <c r="BG195" s="20">
        <f t="shared" si="168"/>
        <v>1.978932943548152E-12</v>
      </c>
      <c r="BH195" s="59">
        <f t="shared" si="116"/>
        <v>293.3333333333353</v>
      </c>
      <c r="BI195" s="59">
        <f ca="1">AVERAGE(OFFSET($BH$3,0,0,'Données projet'!$E$11+1,1))-AVERAGE(OFFSET($H$3,0,0,'Données projet'!$E$11+1,1))</f>
        <v>302.00825291248458</v>
      </c>
      <c r="BJ195" s="59">
        <f t="shared" si="146"/>
        <v>307.35115839449355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10.169334253000697</v>
      </c>
      <c r="BQ195" s="21">
        <f>EXP(-LN(2)/25)*BQ194+(1-EXP(-LN(2)/25))/(LN(2)/25)*Calculateur!BL195*Calculateur!BN195*VLOOKUP('Données projet'!$B$11,Paramètres!$A$1:$I$89,3,0)*0.475*44/12</f>
        <v>1.2467242281905955</v>
      </c>
      <c r="BR195" s="21">
        <f>EXP(-LN(2)/2)*BR194+(1-EXP(-LN(2)/2))/(LN(2)/2)*BL195*BO195*VLOOKUP('Données projet'!$B$11,Paramètres!$A$1:$I$89,3,0)*0.475*44/12</f>
        <v>8.1262908218056521E-19</v>
      </c>
      <c r="BS195" s="22">
        <f t="shared" si="169"/>
        <v>11.416058481191293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1.7053025658242404E-13</v>
      </c>
      <c r="BZ195" s="13">
        <f>BY195*VLOOKUP('Données projet'!$B$12,Paramètres!$A$1:$I$89,3,0)*VLOOKUP('Données projet'!$B$12,Paramètres!$A$1:$I$89,5,0)</f>
        <v>7.9808160080574461E-14</v>
      </c>
      <c r="CA195" s="13">
        <f t="shared" si="170"/>
        <v>1.2308384591775343E-12</v>
      </c>
      <c r="CB195" s="20">
        <f t="shared" si="171"/>
        <v>2.282709528541206E-12</v>
      </c>
      <c r="CC195" s="59">
        <f t="shared" si="119"/>
        <v>293.33333333333559</v>
      </c>
      <c r="CD195" s="59">
        <f ca="1">AVERAGE(OFFSET($CC$3,0,0,'Données projet'!$E$12+1,1))-AVERAGE(OFFSET($H$3,0,0,'Données projet'!$E$12+1,1))</f>
        <v>337.10499990421835</v>
      </c>
      <c r="CE195" s="59">
        <f t="shared" si="148"/>
        <v>277.4254079562175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43.45768639227807</v>
      </c>
      <c r="CL195" s="21">
        <f>EXP(-LN(2)/25)*CL194+(1-EXP(-LN(2)/25))/(LN(2)/25)*Calculateur!CG195*Calculateur!CI195*VLOOKUP('Données projet'!$B$12,Paramètres!$A$1:$I$89,3,0)*0.475*44/12</f>
        <v>8.2767497354295916</v>
      </c>
      <c r="CM195" s="21">
        <f>EXP(-LN(2)/2)*CM194+(1-EXP(-LN(2)/2))/(LN(2)/2)*CG195*CJ195*VLOOKUP('Données projet'!$B$12,Paramètres!$A$1:$I$89,3,0)*0.475*44/12</f>
        <v>2.1342540888507853E-8</v>
      </c>
      <c r="CN195" s="22">
        <f t="shared" si="172"/>
        <v>51.734436149050204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-2.8421709430404007E-13</v>
      </c>
      <c r="CU195" s="17">
        <f>CT195*VLOOKUP('Données projet'!$B$13,Paramètres!$A$1:$I$89,3,0)*VLOOKUP('Données projet'!$B$13,Paramètres!$A$1:$I$89,5,0)</f>
        <v>-2.8376234695315366E-13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525.74725170626471</v>
      </c>
      <c r="CZ195" s="59">
        <f t="shared" si="150"/>
        <v>259.19103598192197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130.36946430266929</v>
      </c>
      <c r="DG195" s="21">
        <f>EXP(-LN(2)/25)*DG194+(1-EXP(-LN(2)/25))/(LN(2)/25)*Calculateur!DB195*Calculateur!DD195*VLOOKUP('Données projet'!$B$13,Paramètres!$A$1:$I$89,3,0)*0.475*44/12</f>
        <v>40.773855722572989</v>
      </c>
      <c r="DH195" s="21">
        <f>EXP(-LN(2)/2)*DH194+(1-EXP(-LN(2)/2))/(LN(2)/2)*DB195*DE195*VLOOKUP('Données projet'!$B$13,Paramètres!$A$1:$I$89,3,0)*0.475*44/12</f>
        <v>4.8296077051206039</v>
      </c>
      <c r="DI195" s="22">
        <f t="shared" si="175"/>
        <v>175.97292773036287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5.4001247917767614E-13</v>
      </c>
      <c r="DP195" s="17">
        <f>DO195*VLOOKUP('Données projet'!$B$14,Paramètres!$A$1:$I$89,3,0)*VLOOKUP('Données projet'!$B$14,Paramètres!$A$1:$I$89,5,0)</f>
        <v>4.8860329115996133E-13</v>
      </c>
      <c r="DQ195" s="13">
        <f t="shared" si="176"/>
        <v>6.1025862939685007E-12</v>
      </c>
      <c r="DR195" s="20">
        <f t="shared" si="177"/>
        <v>1.1479655194098737E-11</v>
      </c>
      <c r="DS195" s="59">
        <f t="shared" si="125"/>
        <v>293.3333333333448</v>
      </c>
      <c r="DT195" s="59">
        <f ca="1">AVERAGE(OFFSET($DS$3,0,0,'Données projet'!$E$14+1,1))-AVERAGE(OFFSET($H$3,0,0,'Données projet'!$E$14+1,1))</f>
        <v>490.06222615476065</v>
      </c>
      <c r="DU195" s="59">
        <f t="shared" si="152"/>
        <v>310.43914804089906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60.829855684951461</v>
      </c>
      <c r="EB195" s="21">
        <f>EXP(-LN(2)/25)*EB194+(1-EXP(-LN(2)/25))/(LN(2)/25)*Calculateur!DW195*Calculateur!DY195*VLOOKUP('Données projet'!$B$14,Paramètres!$A$1:$I$89,3,0)*0.475*44/12</f>
        <v>8.431830469132354</v>
      </c>
      <c r="EC195" s="21">
        <f>EXP(-LN(2)/2)*EC194+(1-EXP(-LN(2)/2))/(LN(2)/2)*DW195*DZ195*VLOOKUP('Données projet'!$B$14,Paramètres!$A$1:$I$89,3,0)*0.475*44/12</f>
        <v>1.4759292185904631E-4</v>
      </c>
      <c r="ED195" s="22">
        <f t="shared" si="178"/>
        <v>69.261833747005682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-2.8421709430404007E-13</v>
      </c>
      <c r="EK195" s="17">
        <f>EJ195*VLOOKUP('Données projet'!$B$15,Paramètres!$A$1:$I$89,3,0)*VLOOKUP('Données projet'!$B$15,Paramètres!$A$1:$I$89,5,0)</f>
        <v>-2.8819613362429665E-13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533.26035274112917</v>
      </c>
      <c r="EP195" s="59">
        <f t="shared" si="154"/>
        <v>262.58149402282521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132.40648718239851</v>
      </c>
      <c r="EW195" s="21">
        <f>EXP(-LN(2)/25)*EW194+(1-EXP(-LN(2)/25))/(LN(2)/25)*Calculateur!ER195*Calculateur!ET195*VLOOKUP('Données projet'!$B$15,Paramètres!$A$1:$I$89,3,0)*0.475*44/12</f>
        <v>41.410947218238185</v>
      </c>
      <c r="EX195" s="21">
        <f>EXP(-LN(2)/2)*EX194+(1-EXP(-LN(2)/2))/(LN(2)/2)*ER195*EU195*VLOOKUP('Données projet'!$B$15,Paramètres!$A$1:$I$89,3,0)*0.475*44/12</f>
        <v>4.9050703255131136</v>
      </c>
      <c r="EY195" s="22">
        <f t="shared" si="181"/>
        <v>178.72250472614982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239.26156489359892</v>
      </c>
      <c r="FK195" s="59">
        <f t="shared" si="156"/>
        <v>213.97034450798111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1.4345026241052181</v>
      </c>
      <c r="FR195" s="21">
        <f>EXP(-LN(2)/25)*FR194+(1-EXP(-LN(2)/25))/(LN(2)/25)*Calculateur!FM195*Calculateur!FO195*VLOOKUP('Données projet'!$B$16,Paramètres!$A$1:$I$89,3,0)*0.475*44/12</f>
        <v>3.7761261158377586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5.2106287399429769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2.5579538487363607E-13</v>
      </c>
      <c r="O196" s="13">
        <f>N196*VLOOKUP('Données projet'!$B$9,Paramètres!$A$1:$I$89,3,0)*VLOOKUP('Données projet'!$B$9,Paramètres!$A$1:$I$89,5,0)</f>
        <v>2.4341488824575211E-13</v>
      </c>
      <c r="P196" s="13">
        <f t="shared" si="141"/>
        <v>3.2970717324875541E-12</v>
      </c>
      <c r="Q196" s="20">
        <f t="shared" si="162"/>
        <v>6.1663475311105072E-12</v>
      </c>
      <c r="R196" s="59">
        <f t="shared" si="191"/>
        <v>293.33333333333945</v>
      </c>
      <c r="S196" s="59">
        <f ca="1">AVERAGE(OFFSET($R$3,0,0,'Données projet'!$E$9+1,1))-AVERAGE(OFFSET($H$3,0,0,'Données projet'!$E$9+1,1))</f>
        <v>449.28947235329758</v>
      </c>
      <c r="T196" s="59">
        <f t="shared" si="142"/>
        <v>289.36994109443964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34.119128617513759</v>
      </c>
      <c r="AA196" s="21">
        <f>EXP(-LN(2)/25)*AA195+(1-EXP(-LN(2)/25))/(LN(2)/25)*Calculateur!V196*Calculateur!X196*VLOOKUP('Données projet'!$B$9,Paramètres!$A$1:$I$89,3,0)*0.475*44/12</f>
        <v>4.3164998095473619</v>
      </c>
      <c r="AB196" s="21">
        <f>EXP(-LN(2)/2)*AB195+(1-EXP(-LN(2)/2))/(LN(2)/2)*V196*Y196*VLOOKUP('Données projet'!$B$9,Paramètres!$A$1:$I$89,3,0)*0.475*44/12</f>
        <v>2.3580647991016098E-9</v>
      </c>
      <c r="AC196" s="22">
        <f t="shared" si="163"/>
        <v>38.435628429419182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-1.3596945791505279E-13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349.71285006949597</v>
      </c>
      <c r="AO196" s="59">
        <f t="shared" si="144"/>
        <v>258.51550516456842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16.351332366172667</v>
      </c>
      <c r="AV196" s="21">
        <f>EXP(-LN(2)/25)*AV195+(1-EXP(-LN(2)/25))/(LN(2)/25)*Calculateur!AQ196*Calculateur!AS196*VLOOKUP('Données projet'!$B$10,Paramètres!$A$1:$I$89,3,0)*0.475*44/12</f>
        <v>2.2553167563064207</v>
      </c>
      <c r="AW196" s="21">
        <f>EXP(-LN(2)/2)*AW195+(1-EXP(-LN(2)/2))/(LN(2)/2)*AQ196*AT196*VLOOKUP('Données projet'!$B$10,Paramètres!$A$1:$I$89,3,0)*0.475*44/12</f>
        <v>6.9394792228507538E-16</v>
      </c>
      <c r="AX196" s="21">
        <f t="shared" si="166"/>
        <v>18.606649122479087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1.1368683772161603E-13</v>
      </c>
      <c r="BE196" s="13">
        <f>BD196*VLOOKUP('Données projet'!$B$11,Paramètres!$A$1:$I$89,3,0)*VLOOKUP('Données projet'!$B$11,Paramètres!$A$1:$I$89,5,0)</f>
        <v>6.7984728957526396E-14</v>
      </c>
      <c r="BF196" s="13">
        <f t="shared" si="167"/>
        <v>1.0682447123141398E-12</v>
      </c>
      <c r="BG196" s="20">
        <f t="shared" si="168"/>
        <v>1.978932943548152E-12</v>
      </c>
      <c r="BH196" s="59">
        <f t="shared" ref="BH196:BH203" si="194">BG196+(AY196+AZ196)*44/12</f>
        <v>293.3333333333353</v>
      </c>
      <c r="BI196" s="59">
        <f ca="1">AVERAGE(OFFSET($BH$3,0,0,'Données projet'!$E$11+1,1))-AVERAGE(OFFSET($H$3,0,0,'Données projet'!$E$11+1,1))</f>
        <v>302.00825291248458</v>
      </c>
      <c r="BJ196" s="59">
        <f t="shared" si="146"/>
        <v>307.35115839449355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9.9699198109807838</v>
      </c>
      <c r="BQ196" s="21">
        <f>EXP(-LN(2)/25)*BQ195+(1-EXP(-LN(2)/25))/(LN(2)/25)*Calculateur!BL196*Calculateur!BN196*VLOOKUP('Données projet'!$B$11,Paramètres!$A$1:$I$89,3,0)*0.475*44/12</f>
        <v>1.2126324886083459</v>
      </c>
      <c r="BR196" s="21">
        <f>EXP(-LN(2)/2)*BR195+(1-EXP(-LN(2)/2))/(LN(2)/2)*BL196*BO196*VLOOKUP('Données projet'!$B$11,Paramètres!$A$1:$I$89,3,0)*0.475*44/12</f>
        <v>5.7461553459927786E-19</v>
      </c>
      <c r="BS196" s="22">
        <f t="shared" si="169"/>
        <v>11.18255229958913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1.7053025658242404E-13</v>
      </c>
      <c r="BZ196" s="13">
        <f>BY196*VLOOKUP('Données projet'!$B$12,Paramètres!$A$1:$I$89,3,0)*VLOOKUP('Données projet'!$B$12,Paramètres!$A$1:$I$89,5,0)</f>
        <v>7.9808160080574461E-14</v>
      </c>
      <c r="CA196" s="13">
        <f t="shared" si="170"/>
        <v>1.2308384591775343E-12</v>
      </c>
      <c r="CB196" s="20">
        <f t="shared" si="171"/>
        <v>2.282709528541206E-12</v>
      </c>
      <c r="CC196" s="59">
        <f t="shared" ref="CC196:CC203" si="195">CB196+(BT196+BU196)*44/12</f>
        <v>293.33333333333559</v>
      </c>
      <c r="CD196" s="59">
        <f ca="1">AVERAGE(OFFSET($CC$3,0,0,'Données projet'!$E$12+1,1))-AVERAGE(OFFSET($H$3,0,0,'Données projet'!$E$12+1,1))</f>
        <v>337.10499990421835</v>
      </c>
      <c r="CE196" s="59">
        <f t="shared" si="148"/>
        <v>277.4254079562175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42.605507668696887</v>
      </c>
      <c r="CL196" s="21">
        <f>EXP(-LN(2)/25)*CL195+(1-EXP(-LN(2)/25))/(LN(2)/25)*Calculateur!CG196*Calculateur!CI196*VLOOKUP('Données projet'!$B$12,Paramètres!$A$1:$I$89,3,0)*0.475*44/12</f>
        <v>8.0504215786589182</v>
      </c>
      <c r="CM196" s="21">
        <f>EXP(-LN(2)/2)*CM195+(1-EXP(-LN(2)/2))/(LN(2)/2)*CG196*CJ196*VLOOKUP('Données projet'!$B$12,Paramètres!$A$1:$I$89,3,0)*0.475*44/12</f>
        <v>1.5091455390015065E-8</v>
      </c>
      <c r="CN196" s="22">
        <f t="shared" si="172"/>
        <v>50.655929262447266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-2.8421709430404007E-13</v>
      </c>
      <c r="CU196" s="17">
        <f>CT196*VLOOKUP('Données projet'!$B$13,Paramètres!$A$1:$I$89,3,0)*VLOOKUP('Données projet'!$B$13,Paramètres!$A$1:$I$89,5,0)</f>
        <v>-2.8376234695315366E-13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525.74725170626471</v>
      </c>
      <c r="CZ196" s="59">
        <f t="shared" si="150"/>
        <v>259.19103598192197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127.81299862521546</v>
      </c>
      <c r="DG196" s="21">
        <f>EXP(-LN(2)/25)*DG195+(1-EXP(-LN(2)/25))/(LN(2)/25)*Calculateur!DB196*Calculateur!DD196*VLOOKUP('Données projet'!$B$13,Paramètres!$A$1:$I$89,3,0)*0.475*44/12</f>
        <v>39.658892493635349</v>
      </c>
      <c r="DH196" s="21">
        <f>EXP(-LN(2)/2)*DH195+(1-EXP(-LN(2)/2))/(LN(2)/2)*DB196*DE196*VLOOKUP('Données projet'!$B$13,Paramètres!$A$1:$I$89,3,0)*0.475*44/12</f>
        <v>3.4150483587615792</v>
      </c>
      <c r="DI196" s="22">
        <f t="shared" si="175"/>
        <v>170.88693947761237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5.4001247917767614E-13</v>
      </c>
      <c r="DP196" s="17">
        <f>DO196*VLOOKUP('Données projet'!$B$14,Paramètres!$A$1:$I$89,3,0)*VLOOKUP('Données projet'!$B$14,Paramètres!$A$1:$I$89,5,0)</f>
        <v>4.8860329115996133E-13</v>
      </c>
      <c r="DQ196" s="13">
        <f t="shared" si="176"/>
        <v>6.1025862939685007E-12</v>
      </c>
      <c r="DR196" s="20">
        <f t="shared" si="177"/>
        <v>1.1479655194098737E-11</v>
      </c>
      <c r="DS196" s="59">
        <f t="shared" ref="DS196:DS203" si="197">DR196+(DJ196+DK196)*44/12</f>
        <v>293.3333333333448</v>
      </c>
      <c r="DT196" s="59">
        <f ca="1">AVERAGE(OFFSET($DS$3,0,0,'Données projet'!$E$14+1,1))-AVERAGE(OFFSET($H$3,0,0,'Données projet'!$E$14+1,1))</f>
        <v>490.06222615476065</v>
      </c>
      <c r="DU196" s="59">
        <f t="shared" si="152"/>
        <v>310.43914804089906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59.637019317517961</v>
      </c>
      <c r="EB196" s="21">
        <f>EXP(-LN(2)/25)*EB195+(1-EXP(-LN(2)/25))/(LN(2)/25)*Calculateur!DW196*Calculateur!DY196*VLOOKUP('Données projet'!$B$14,Paramètres!$A$1:$I$89,3,0)*0.475*44/12</f>
        <v>8.201261621543237</v>
      </c>
      <c r="EC196" s="21">
        <f>EXP(-LN(2)/2)*EC195+(1-EXP(-LN(2)/2))/(LN(2)/2)*DW196*DZ196*VLOOKUP('Données projet'!$B$14,Paramètres!$A$1:$I$89,3,0)*0.475*44/12</f>
        <v>1.0436395590166787E-4</v>
      </c>
      <c r="ED196" s="22">
        <f t="shared" si="178"/>
        <v>67.838385303017091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-2.8421709430404007E-13</v>
      </c>
      <c r="EK196" s="17">
        <f>EJ196*VLOOKUP('Données projet'!$B$15,Paramètres!$A$1:$I$89,3,0)*VLOOKUP('Données projet'!$B$15,Paramètres!$A$1:$I$89,5,0)</f>
        <v>-2.8819613362429665E-13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533.26035274112917</v>
      </c>
      <c r="EP196" s="59">
        <f t="shared" si="154"/>
        <v>262.58149402282521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129.81007672873446</v>
      </c>
      <c r="EW196" s="21">
        <f>EXP(-LN(2)/25)*EW195+(1-EXP(-LN(2)/25))/(LN(2)/25)*Calculateur!ER196*Calculateur!ET196*VLOOKUP('Données projet'!$B$15,Paramètres!$A$1:$I$89,3,0)*0.475*44/12</f>
        <v>40.278562688848396</v>
      </c>
      <c r="EX196" s="21">
        <f>EXP(-LN(2)/2)*EX195+(1-EXP(-LN(2)/2))/(LN(2)/2)*ER196*EU196*VLOOKUP('Données projet'!$B$15,Paramètres!$A$1:$I$89,3,0)*0.475*44/12</f>
        <v>3.4684084893672291</v>
      </c>
      <c r="EY196" s="22">
        <f t="shared" si="181"/>
        <v>173.55704790695006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239.26156489359892</v>
      </c>
      <c r="FK196" s="59">
        <f t="shared" si="156"/>
        <v>213.97034450798111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1.4063729026067204</v>
      </c>
      <c r="FR196" s="21">
        <f>EXP(-LN(2)/25)*FR195+(1-EXP(-LN(2)/25))/(LN(2)/25)*Calculateur!FM196*Calculateur!FO196*VLOOKUP('Données projet'!$B$16,Paramètres!$A$1:$I$89,3,0)*0.475*44/12</f>
        <v>3.6728677486223331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5.0792406512290533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2.5579538487363607E-13</v>
      </c>
      <c r="O197" s="13">
        <f>N197*VLOOKUP('Données projet'!$B$9,Paramètres!$A$1:$I$89,3,0)*VLOOKUP('Données projet'!$B$9,Paramètres!$A$1:$I$89,5,0)</f>
        <v>2.4341488824575211E-13</v>
      </c>
      <c r="P197" s="13">
        <f t="shared" ref="P197:P203" si="203">EXP(-1.0587+0.8836*LN(O197)+0.284)</f>
        <v>3.2970717324875541E-12</v>
      </c>
      <c r="Q197" s="20">
        <f t="shared" si="162"/>
        <v>6.1663475311105072E-12</v>
      </c>
      <c r="R197" s="59">
        <f t="shared" si="191"/>
        <v>293.33333333333945</v>
      </c>
      <c r="S197" s="59">
        <f ca="1">AVERAGE(OFFSET($R$3,0,0,'Données projet'!$E$9+1,1))-AVERAGE(OFFSET($H$3,0,0,'Données projet'!$E$9+1,1))</f>
        <v>449.28947235329758</v>
      </c>
      <c r="T197" s="59">
        <f t="shared" ref="T197:T203" si="204">$T$3</f>
        <v>289.36994109443964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33.450073315937892</v>
      </c>
      <c r="AA197" s="21">
        <f>EXP(-LN(2)/25)*AA196+(1-EXP(-LN(2)/25))/(LN(2)/25)*Calculateur!V197*Calculateur!X197*VLOOKUP('Données projet'!$B$9,Paramètres!$A$1:$I$89,3,0)*0.475*44/12</f>
        <v>4.1984648952604298</v>
      </c>
      <c r="AB197" s="21">
        <f>EXP(-LN(2)/2)*AB196+(1-EXP(-LN(2)/2))/(LN(2)/2)*V197*Y197*VLOOKUP('Données projet'!$B$9,Paramètres!$A$1:$I$89,3,0)*0.475*44/12</f>
        <v>1.6674036099220422E-9</v>
      </c>
      <c r="AC197" s="22">
        <f t="shared" si="163"/>
        <v>37.648538212865724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-1.3596945791505279E-13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349.71285006949597</v>
      </c>
      <c r="AO197" s="59">
        <f t="shared" ref="AO197:AO203" si="205">$AO$3</f>
        <v>258.51550516456842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16.030692711799979</v>
      </c>
      <c r="AV197" s="21">
        <f>EXP(-LN(2)/25)*AV196+(1-EXP(-LN(2)/25))/(LN(2)/25)*Calculateur!AQ197*Calculateur!AS197*VLOOKUP('Données projet'!$B$10,Paramètres!$A$1:$I$89,3,0)*0.475*44/12</f>
        <v>2.1936450010032682</v>
      </c>
      <c r="AW197" s="21">
        <f>EXP(-LN(2)/2)*AW196+(1-EXP(-LN(2)/2))/(LN(2)/2)*AQ197*AT197*VLOOKUP('Données projet'!$B$10,Paramètres!$A$1:$I$89,3,0)*0.475*44/12</f>
        <v>4.9069528163809208E-16</v>
      </c>
      <c r="AX197" s="21">
        <f t="shared" si="166"/>
        <v>18.224337712803248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1.1368683772161603E-13</v>
      </c>
      <c r="BE197" s="13">
        <f>BD197*VLOOKUP('Données projet'!$B$11,Paramètres!$A$1:$I$89,3,0)*VLOOKUP('Données projet'!$B$11,Paramètres!$A$1:$I$89,5,0)</f>
        <v>6.7984728957526396E-14</v>
      </c>
      <c r="BF197" s="13">
        <f t="shared" si="167"/>
        <v>1.0682447123141398E-12</v>
      </c>
      <c r="BG197" s="20">
        <f t="shared" si="168"/>
        <v>1.978932943548152E-12</v>
      </c>
      <c r="BH197" s="59">
        <f t="shared" si="194"/>
        <v>293.3333333333353</v>
      </c>
      <c r="BI197" s="59">
        <f ca="1">AVERAGE(OFFSET($BH$3,0,0,'Données projet'!$E$11+1,1))-AVERAGE(OFFSET($H$3,0,0,'Données projet'!$E$11+1,1))</f>
        <v>302.00825291248458</v>
      </c>
      <c r="BJ197" s="59">
        <f t="shared" ref="BJ197:BJ203" si="206">$BJ$3</f>
        <v>307.35115839449355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9.774415764538082</v>
      </c>
      <c r="BQ197" s="21">
        <f>EXP(-LN(2)/25)*BQ196+(1-EXP(-LN(2)/25))/(LN(2)/25)*Calculateur!BL197*Calculateur!BN197*VLOOKUP('Données projet'!$B$11,Paramètres!$A$1:$I$89,3,0)*0.475*44/12</f>
        <v>1.1794729894377796</v>
      </c>
      <c r="BR197" s="21">
        <f>EXP(-LN(2)/2)*BR196+(1-EXP(-LN(2)/2))/(LN(2)/2)*BL197*BO197*VLOOKUP('Données projet'!$B$11,Paramètres!$A$1:$I$89,3,0)*0.475*44/12</f>
        <v>4.063145410902826E-19</v>
      </c>
      <c r="BS197" s="22">
        <f t="shared" si="169"/>
        <v>10.953888753975862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1.7053025658242404E-13</v>
      </c>
      <c r="BZ197" s="13">
        <f>BY197*VLOOKUP('Données projet'!$B$12,Paramètres!$A$1:$I$89,3,0)*VLOOKUP('Données projet'!$B$12,Paramètres!$A$1:$I$89,5,0)</f>
        <v>7.9808160080574461E-14</v>
      </c>
      <c r="CA197" s="13">
        <f t="shared" si="170"/>
        <v>1.2308384591775343E-12</v>
      </c>
      <c r="CB197" s="20">
        <f t="shared" si="171"/>
        <v>2.282709528541206E-12</v>
      </c>
      <c r="CC197" s="59">
        <f t="shared" si="195"/>
        <v>293.33333333333559</v>
      </c>
      <c r="CD197" s="59">
        <f ca="1">AVERAGE(OFFSET($CC$3,0,0,'Données projet'!$E$12+1,1))-AVERAGE(OFFSET($H$3,0,0,'Données projet'!$E$12+1,1))</f>
        <v>337.10499990421835</v>
      </c>
      <c r="CE197" s="59">
        <f t="shared" ref="CE197:CE203" si="207">$CE$3</f>
        <v>277.4254079562175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41.770039650107435</v>
      </c>
      <c r="CL197" s="21">
        <f>EXP(-LN(2)/25)*CL196+(1-EXP(-LN(2)/25))/(LN(2)/25)*Calculateur!CG197*Calculateur!CI197*VLOOKUP('Données projet'!$B$12,Paramètres!$A$1:$I$89,3,0)*0.475*44/12</f>
        <v>7.8302823772372188</v>
      </c>
      <c r="CM197" s="21">
        <f>EXP(-LN(2)/2)*CM196+(1-EXP(-LN(2)/2))/(LN(2)/2)*CG197*CJ197*VLOOKUP('Données projet'!$B$12,Paramètres!$A$1:$I$89,3,0)*0.475*44/12</f>
        <v>1.0671270444253926E-8</v>
      </c>
      <c r="CN197" s="22">
        <f t="shared" si="172"/>
        <v>49.600322038015925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-2.8421709430404007E-13</v>
      </c>
      <c r="CU197" s="17">
        <f>CT197*VLOOKUP('Données projet'!$B$13,Paramètres!$A$1:$I$89,3,0)*VLOOKUP('Données projet'!$B$13,Paramètres!$A$1:$I$89,5,0)</f>
        <v>-2.8376234695315366E-13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525.74725170626471</v>
      </c>
      <c r="CZ197" s="59">
        <f t="shared" ref="CZ197:CZ203" si="208">$CZ$3</f>
        <v>259.19103598192197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125.3066636804064</v>
      </c>
      <c r="DG197" s="21">
        <f>EXP(-LN(2)/25)*DG196+(1-EXP(-LN(2)/25))/(LN(2)/25)*Calculateur!DB197*Calculateur!DD197*VLOOKUP('Données projet'!$B$13,Paramètres!$A$1:$I$89,3,0)*0.475*44/12</f>
        <v>38.574417992826376</v>
      </c>
      <c r="DH197" s="21">
        <f>EXP(-LN(2)/2)*DH196+(1-EXP(-LN(2)/2))/(LN(2)/2)*DB197*DE197*VLOOKUP('Données projet'!$B$13,Paramètres!$A$1:$I$89,3,0)*0.475*44/12</f>
        <v>2.4148038525603024</v>
      </c>
      <c r="DI197" s="22">
        <f t="shared" si="175"/>
        <v>166.2958855257931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5.4001247917767614E-13</v>
      </c>
      <c r="DP197" s="17">
        <f>DO197*VLOOKUP('Données projet'!$B$14,Paramètres!$A$1:$I$89,3,0)*VLOOKUP('Données projet'!$B$14,Paramètres!$A$1:$I$89,5,0)</f>
        <v>4.8860329115996133E-13</v>
      </c>
      <c r="DQ197" s="13">
        <f t="shared" si="176"/>
        <v>6.1025862939685007E-12</v>
      </c>
      <c r="DR197" s="20">
        <f t="shared" si="177"/>
        <v>1.1479655194098737E-11</v>
      </c>
      <c r="DS197" s="59">
        <f t="shared" si="197"/>
        <v>293.3333333333448</v>
      </c>
      <c r="DT197" s="59">
        <f ca="1">AVERAGE(OFFSET($DS$3,0,0,'Données projet'!$E$14+1,1))-AVERAGE(OFFSET($H$3,0,0,'Données projet'!$E$14+1,1))</f>
        <v>490.06222615476065</v>
      </c>
      <c r="DU197" s="59">
        <f t="shared" ref="DU197:DU203" si="209">$DU$3</f>
        <v>310.43914804089906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58.467573743691489</v>
      </c>
      <c r="EB197" s="21">
        <f>EXP(-LN(2)/25)*EB196+(1-EXP(-LN(2)/25))/(LN(2)/25)*Calculateur!DW197*Calculateur!DY197*VLOOKUP('Données projet'!$B$14,Paramètres!$A$1:$I$89,3,0)*0.475*44/12</f>
        <v>7.9769976912165328</v>
      </c>
      <c r="EC197" s="21">
        <f>EXP(-LN(2)/2)*EC196+(1-EXP(-LN(2)/2))/(LN(2)/2)*DW197*DZ197*VLOOKUP('Données projet'!$B$14,Paramètres!$A$1:$I$89,3,0)*0.475*44/12</f>
        <v>7.3796460929523156E-5</v>
      </c>
      <c r="ED197" s="22">
        <f t="shared" si="178"/>
        <v>66.444645231368952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-2.8421709430404007E-13</v>
      </c>
      <c r="EK197" s="17">
        <f>EJ197*VLOOKUP('Données projet'!$B$15,Paramètres!$A$1:$I$89,3,0)*VLOOKUP('Données projet'!$B$15,Paramètres!$A$1:$I$89,5,0)</f>
        <v>-2.8819613362429665E-13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533.26035274112917</v>
      </c>
      <c r="EP197" s="59">
        <f t="shared" ref="EP197:EP203" si="210">$EP$3</f>
        <v>262.58149402282521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127.26458030041276</v>
      </c>
      <c r="EW197" s="21">
        <f>EXP(-LN(2)/25)*EW196+(1-EXP(-LN(2)/25))/(LN(2)/25)*Calculateur!ER197*Calculateur!ET197*VLOOKUP('Données projet'!$B$15,Paramètres!$A$1:$I$89,3,0)*0.475*44/12</f>
        <v>39.177143273964283</v>
      </c>
      <c r="EX197" s="21">
        <f>EXP(-LN(2)/2)*EX196+(1-EXP(-LN(2)/2))/(LN(2)/2)*ER197*EU197*VLOOKUP('Données projet'!$B$15,Paramètres!$A$1:$I$89,3,0)*0.475*44/12</f>
        <v>2.4525351627565573</v>
      </c>
      <c r="EY197" s="22">
        <f t="shared" si="181"/>
        <v>168.89425873713361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239.26156489359892</v>
      </c>
      <c r="FK197" s="59">
        <f t="shared" ref="FK197:FK203" si="211">$FK$3</f>
        <v>213.97034450798111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1.3787947877893723</v>
      </c>
      <c r="FR197" s="21">
        <f>EXP(-LN(2)/25)*FR196+(1-EXP(-LN(2)/25))/(LN(2)/25)*Calculateur!FM197*Calculateur!FO197*VLOOKUP('Données projet'!$B$16,Paramètres!$A$1:$I$89,3,0)*0.475*44/12</f>
        <v>3.5724329868885349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4.951227774677907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2.5579538487363607E-13</v>
      </c>
      <c r="O198" s="13">
        <f>N198*VLOOKUP('Données projet'!$B$9,Paramètres!$A$1:$I$89,3,0)*VLOOKUP('Données projet'!$B$9,Paramètres!$A$1:$I$89,5,0)</f>
        <v>2.4341488824575211E-13</v>
      </c>
      <c r="P198" s="13">
        <f t="shared" si="203"/>
        <v>3.2970717324875541E-12</v>
      </c>
      <c r="Q198" s="20">
        <f t="shared" si="162"/>
        <v>6.1663475311105072E-12</v>
      </c>
      <c r="R198" s="59">
        <f t="shared" si="191"/>
        <v>293.33333333333945</v>
      </c>
      <c r="S198" s="59">
        <f ca="1">AVERAGE(OFFSET($R$3,0,0,'Données projet'!$E$9+1,1))-AVERAGE(OFFSET($H$3,0,0,'Données projet'!$E$9+1,1))</f>
        <v>449.28947235329758</v>
      </c>
      <c r="T198" s="59">
        <f t="shared" si="204"/>
        <v>289.36994109443964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32.794137780742489</v>
      </c>
      <c r="AA198" s="21">
        <f>EXP(-LN(2)/25)*AA197+(1-EXP(-LN(2)/25))/(LN(2)/25)*Calculateur!V198*Calculateur!X198*VLOOKUP('Données projet'!$B$9,Paramètres!$A$1:$I$89,3,0)*0.475*44/12</f>
        <v>4.0836576519118601</v>
      </c>
      <c r="AB198" s="21">
        <f>EXP(-LN(2)/2)*AB197+(1-EXP(-LN(2)/2))/(LN(2)/2)*V198*Y198*VLOOKUP('Données projet'!$B$9,Paramètres!$A$1:$I$89,3,0)*0.475*44/12</f>
        <v>1.1790323995508049E-9</v>
      </c>
      <c r="AC198" s="22">
        <f t="shared" si="163"/>
        <v>36.877795433833384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-1.3596945791505279E-13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349.71285006949597</v>
      </c>
      <c r="AO198" s="59">
        <f t="shared" si="205"/>
        <v>258.51550516456842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15.716340605478662</v>
      </c>
      <c r="AV198" s="21">
        <f>EXP(-LN(2)/25)*AV197+(1-EXP(-LN(2)/25))/(LN(2)/25)*Calculateur!AQ198*Calculateur!AS198*VLOOKUP('Données projet'!$B$10,Paramètres!$A$1:$I$89,3,0)*0.475*44/12</f>
        <v>2.133659663092057</v>
      </c>
      <c r="AW198" s="21">
        <f>EXP(-LN(2)/2)*AW197+(1-EXP(-LN(2)/2))/(LN(2)/2)*AQ198*AT198*VLOOKUP('Données projet'!$B$10,Paramètres!$A$1:$I$89,3,0)*0.475*44/12</f>
        <v>3.4697396114253769E-16</v>
      </c>
      <c r="AX198" s="21">
        <f t="shared" si="166"/>
        <v>17.850000268570717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1.1368683772161603E-13</v>
      </c>
      <c r="BE198" s="13">
        <f>BD198*VLOOKUP('Données projet'!$B$11,Paramètres!$A$1:$I$89,3,0)*VLOOKUP('Données projet'!$B$11,Paramètres!$A$1:$I$89,5,0)</f>
        <v>6.7984728957526396E-14</v>
      </c>
      <c r="BF198" s="13">
        <f t="shared" si="167"/>
        <v>1.0682447123141398E-12</v>
      </c>
      <c r="BG198" s="20">
        <f t="shared" si="168"/>
        <v>1.978932943548152E-12</v>
      </c>
      <c r="BH198" s="59">
        <f t="shared" si="194"/>
        <v>293.3333333333353</v>
      </c>
      <c r="BI198" s="59">
        <f ca="1">AVERAGE(OFFSET($BH$3,0,0,'Données projet'!$E$11+1,1))-AVERAGE(OFFSET($H$3,0,0,'Données projet'!$E$11+1,1))</f>
        <v>302.00825291248458</v>
      </c>
      <c r="BJ198" s="59">
        <f t="shared" si="206"/>
        <v>307.35115839449355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9.5827454332004276</v>
      </c>
      <c r="BQ198" s="21">
        <f>EXP(-LN(2)/25)*BQ197+(1-EXP(-LN(2)/25))/(LN(2)/25)*Calculateur!BL198*Calculateur!BN198*VLOOKUP('Données projet'!$B$11,Paramètres!$A$1:$I$89,3,0)*0.475*44/12</f>
        <v>1.1472202385158148</v>
      </c>
      <c r="BR198" s="21">
        <f>EXP(-LN(2)/2)*BR197+(1-EXP(-LN(2)/2))/(LN(2)/2)*BL198*BO198*VLOOKUP('Données projet'!$B$11,Paramètres!$A$1:$I$89,3,0)*0.475*44/12</f>
        <v>2.8730776729963893E-19</v>
      </c>
      <c r="BS198" s="22">
        <f t="shared" si="169"/>
        <v>10.729965671716242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1.7053025658242404E-13</v>
      </c>
      <c r="BZ198" s="13">
        <f>BY198*VLOOKUP('Données projet'!$B$12,Paramètres!$A$1:$I$89,3,0)*VLOOKUP('Données projet'!$B$12,Paramètres!$A$1:$I$89,5,0)</f>
        <v>7.9808160080574461E-14</v>
      </c>
      <c r="CA198" s="13">
        <f t="shared" si="170"/>
        <v>1.2308384591775343E-12</v>
      </c>
      <c r="CB198" s="20">
        <f t="shared" si="171"/>
        <v>2.282709528541206E-12</v>
      </c>
      <c r="CC198" s="59">
        <f t="shared" si="195"/>
        <v>293.33333333333559</v>
      </c>
      <c r="CD198" s="59">
        <f ca="1">AVERAGE(OFFSET($CC$3,0,0,'Données projet'!$E$12+1,1))-AVERAGE(OFFSET($H$3,0,0,'Données projet'!$E$12+1,1))</f>
        <v>337.10499990421835</v>
      </c>
      <c r="CE198" s="59">
        <f t="shared" si="207"/>
        <v>277.4254079562175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40.950954649777351</v>
      </c>
      <c r="CL198" s="21">
        <f>EXP(-LN(2)/25)*CL197+(1-EXP(-LN(2)/25))/(LN(2)/25)*Calculateur!CG198*Calculateur!CI198*VLOOKUP('Données projet'!$B$12,Paramètres!$A$1:$I$89,3,0)*0.475*44/12</f>
        <v>7.6161628938550132</v>
      </c>
      <c r="CM198" s="21">
        <f>EXP(-LN(2)/2)*CM197+(1-EXP(-LN(2)/2))/(LN(2)/2)*CG198*CJ198*VLOOKUP('Données projet'!$B$12,Paramètres!$A$1:$I$89,3,0)*0.475*44/12</f>
        <v>7.5457276950075326E-9</v>
      </c>
      <c r="CN198" s="22">
        <f t="shared" si="172"/>
        <v>48.567117551178093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-2.8421709430404007E-13</v>
      </c>
      <c r="CU198" s="17">
        <f>CT198*VLOOKUP('Données projet'!$B$13,Paramètres!$A$1:$I$89,3,0)*VLOOKUP('Données projet'!$B$13,Paramètres!$A$1:$I$89,5,0)</f>
        <v>-2.8376234695315366E-13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525.74725170626471</v>
      </c>
      <c r="CZ198" s="59">
        <f t="shared" si="208"/>
        <v>259.19103598192197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122.84947643515169</v>
      </c>
      <c r="DG198" s="21">
        <f>EXP(-LN(2)/25)*DG197+(1-EXP(-LN(2)/25))/(LN(2)/25)*Calculateur!DB198*Calculateur!DD198*VLOOKUP('Données projet'!$B$13,Paramètres!$A$1:$I$89,3,0)*0.475*44/12</f>
        <v>37.519598504272061</v>
      </c>
      <c r="DH198" s="21">
        <f>EXP(-LN(2)/2)*DH197+(1-EXP(-LN(2)/2))/(LN(2)/2)*DB198*DE198*VLOOKUP('Données projet'!$B$13,Paramètres!$A$1:$I$89,3,0)*0.475*44/12</f>
        <v>1.7075241793807898</v>
      </c>
      <c r="DI198" s="22">
        <f t="shared" si="175"/>
        <v>162.07659911880452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5.4001247917767614E-13</v>
      </c>
      <c r="DP198" s="17">
        <f>DO198*VLOOKUP('Données projet'!$B$14,Paramètres!$A$1:$I$89,3,0)*VLOOKUP('Données projet'!$B$14,Paramètres!$A$1:$I$89,5,0)</f>
        <v>4.8860329115996133E-13</v>
      </c>
      <c r="DQ198" s="13">
        <f t="shared" si="176"/>
        <v>6.1025862939685007E-12</v>
      </c>
      <c r="DR198" s="20">
        <f t="shared" si="177"/>
        <v>1.1479655194098737E-11</v>
      </c>
      <c r="DS198" s="59">
        <f t="shared" si="197"/>
        <v>293.3333333333448</v>
      </c>
      <c r="DT198" s="59">
        <f ca="1">AVERAGE(OFFSET($DS$3,0,0,'Données projet'!$E$14+1,1))-AVERAGE(OFFSET($H$3,0,0,'Données projet'!$E$14+1,1))</f>
        <v>490.06222615476065</v>
      </c>
      <c r="DU198" s="59">
        <f t="shared" si="209"/>
        <v>310.43914804089906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57.321060284276385</v>
      </c>
      <c r="EB198" s="21">
        <f>EXP(-LN(2)/25)*EB197+(1-EXP(-LN(2)/25))/(LN(2)/25)*Calculateur!DW198*Calculateur!DY198*VLOOKUP('Données projet'!$B$14,Paramètres!$A$1:$I$89,3,0)*0.475*44/12</f>
        <v>7.7588662698581397</v>
      </c>
      <c r="EC198" s="21">
        <f>EXP(-LN(2)/2)*EC197+(1-EXP(-LN(2)/2))/(LN(2)/2)*DW198*DZ198*VLOOKUP('Données projet'!$B$14,Paramètres!$A$1:$I$89,3,0)*0.475*44/12</f>
        <v>5.2181977950833935E-5</v>
      </c>
      <c r="ED198" s="22">
        <f t="shared" si="178"/>
        <v>65.07997873611248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-2.8421709430404007E-13</v>
      </c>
      <c r="EK198" s="17">
        <f>EJ198*VLOOKUP('Données projet'!$B$15,Paramètres!$A$1:$I$89,3,0)*VLOOKUP('Données projet'!$B$15,Paramètres!$A$1:$I$89,5,0)</f>
        <v>-2.8819613362429665E-13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533.26035274112917</v>
      </c>
      <c r="EP198" s="59">
        <f t="shared" si="210"/>
        <v>262.58149402282521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124.76899950445095</v>
      </c>
      <c r="EW198" s="21">
        <f>EXP(-LN(2)/25)*EW197+(1-EXP(-LN(2)/25))/(LN(2)/25)*Calculateur!ER198*Calculateur!ET198*VLOOKUP('Données projet'!$B$15,Paramètres!$A$1:$I$89,3,0)*0.475*44/12</f>
        <v>38.105842230901303</v>
      </c>
      <c r="EX198" s="21">
        <f>EXP(-LN(2)/2)*EX197+(1-EXP(-LN(2)/2))/(LN(2)/2)*ER198*EU198*VLOOKUP('Données projet'!$B$15,Paramètres!$A$1:$I$89,3,0)*0.475*44/12</f>
        <v>1.7342042446836148</v>
      </c>
      <c r="EY198" s="22">
        <f t="shared" si="181"/>
        <v>164.60904598003586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239.26156489359892</v>
      </c>
      <c r="FK198" s="59">
        <f t="shared" si="211"/>
        <v>213.97034450798111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1.3517574629826032</v>
      </c>
      <c r="FR198" s="21">
        <f>EXP(-LN(2)/25)*FR197+(1-EXP(-LN(2)/25))/(LN(2)/25)*Calculateur!FM198*Calculateur!FO198*VLOOKUP('Données projet'!$B$16,Paramètres!$A$1:$I$89,3,0)*0.475*44/12</f>
        <v>3.4747446189959823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4.8265020819785853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2.5579538487363607E-13</v>
      </c>
      <c r="O199" s="13">
        <f>N199*VLOOKUP('Données projet'!$B$9,Paramètres!$A$1:$I$89,3,0)*VLOOKUP('Données projet'!$B$9,Paramètres!$A$1:$I$89,5,0)</f>
        <v>2.4341488824575211E-13</v>
      </c>
      <c r="P199" s="13">
        <f t="shared" si="203"/>
        <v>3.2970717324875541E-12</v>
      </c>
      <c r="Q199" s="20">
        <f t="shared" si="162"/>
        <v>6.1663475311105072E-12</v>
      </c>
      <c r="R199" s="59">
        <f t="shared" si="191"/>
        <v>293.33333333333945</v>
      </c>
      <c r="S199" s="59">
        <f ca="1">AVERAGE(OFFSET($R$3,0,0,'Données projet'!$E$9+1,1))-AVERAGE(OFFSET($H$3,0,0,'Données projet'!$E$9+1,1))</f>
        <v>449.28947235329758</v>
      </c>
      <c r="T199" s="59">
        <f t="shared" si="204"/>
        <v>289.36994109443964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32.151064741311096</v>
      </c>
      <c r="AA199" s="21">
        <f>EXP(-LN(2)/25)*AA198+(1-EXP(-LN(2)/25))/(LN(2)/25)*Calculateur!V199*Calculateur!X199*VLOOKUP('Données projet'!$B$9,Paramètres!$A$1:$I$89,3,0)*0.475*44/12</f>
        <v>3.9719898186701079</v>
      </c>
      <c r="AB199" s="21">
        <f>EXP(-LN(2)/2)*AB198+(1-EXP(-LN(2)/2))/(LN(2)/2)*V199*Y199*VLOOKUP('Données projet'!$B$9,Paramètres!$A$1:$I$89,3,0)*0.475*44/12</f>
        <v>8.3370180496102108E-10</v>
      </c>
      <c r="AC199" s="22">
        <f t="shared" si="163"/>
        <v>36.123054560814907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-1.3596945791505279E-13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349.71285006949597</v>
      </c>
      <c r="AO199" s="59">
        <f t="shared" si="205"/>
        <v>258.51550516456842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15.408152752226453</v>
      </c>
      <c r="AV199" s="21">
        <f>EXP(-LN(2)/25)*AV198+(1-EXP(-LN(2)/25))/(LN(2)/25)*Calculateur!AQ199*Calculateur!AS199*VLOOKUP('Données projet'!$B$10,Paramètres!$A$1:$I$89,3,0)*0.475*44/12</f>
        <v>2.0753146274005196</v>
      </c>
      <c r="AW199" s="21">
        <f>EXP(-LN(2)/2)*AW198+(1-EXP(-LN(2)/2))/(LN(2)/2)*AQ199*AT199*VLOOKUP('Données projet'!$B$10,Paramètres!$A$1:$I$89,3,0)*0.475*44/12</f>
        <v>2.4534764081904604E-16</v>
      </c>
      <c r="AX199" s="21">
        <f t="shared" si="166"/>
        <v>17.483467379626973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1.1368683772161603E-13</v>
      </c>
      <c r="BE199" s="13">
        <f>BD199*VLOOKUP('Données projet'!$B$11,Paramètres!$A$1:$I$89,3,0)*VLOOKUP('Données projet'!$B$11,Paramètres!$A$1:$I$89,5,0)</f>
        <v>6.7984728957526396E-14</v>
      </c>
      <c r="BF199" s="13">
        <f t="shared" si="167"/>
        <v>1.0682447123141398E-12</v>
      </c>
      <c r="BG199" s="20">
        <f t="shared" si="168"/>
        <v>1.978932943548152E-12</v>
      </c>
      <c r="BH199" s="59">
        <f t="shared" si="194"/>
        <v>293.3333333333353</v>
      </c>
      <c r="BI199" s="59">
        <f ca="1">AVERAGE(OFFSET($BH$3,0,0,'Données projet'!$E$11+1,1))-AVERAGE(OFFSET($H$3,0,0,'Données projet'!$E$11+1,1))</f>
        <v>302.00825291248458</v>
      </c>
      <c r="BJ199" s="59">
        <f t="shared" si="206"/>
        <v>307.35115839449355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9.394833640152946</v>
      </c>
      <c r="BQ199" s="21">
        <f>EXP(-LN(2)/25)*BQ198+(1-EXP(-LN(2)/25))/(LN(2)/25)*Calculateur!BL199*Calculateur!BN199*VLOOKUP('Données projet'!$B$11,Paramètres!$A$1:$I$89,3,0)*0.475*44/12</f>
        <v>1.1158494407639095</v>
      </c>
      <c r="BR199" s="21">
        <f>EXP(-LN(2)/2)*BR198+(1-EXP(-LN(2)/2))/(LN(2)/2)*BL199*BO199*VLOOKUP('Données projet'!$B$11,Paramètres!$A$1:$I$89,3,0)*0.475*44/12</f>
        <v>2.031572705451413E-19</v>
      </c>
      <c r="BS199" s="22">
        <f t="shared" si="169"/>
        <v>10.510683080916856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1.7053025658242404E-13</v>
      </c>
      <c r="BZ199" s="13">
        <f>BY199*VLOOKUP('Données projet'!$B$12,Paramètres!$A$1:$I$89,3,0)*VLOOKUP('Données projet'!$B$12,Paramètres!$A$1:$I$89,5,0)</f>
        <v>7.9808160080574461E-14</v>
      </c>
      <c r="CA199" s="13">
        <f t="shared" si="170"/>
        <v>1.2308384591775343E-12</v>
      </c>
      <c r="CB199" s="20">
        <f t="shared" si="171"/>
        <v>2.282709528541206E-12</v>
      </c>
      <c r="CC199" s="59">
        <f t="shared" si="195"/>
        <v>293.33333333333559</v>
      </c>
      <c r="CD199" s="59">
        <f ca="1">AVERAGE(OFFSET($CC$3,0,0,'Données projet'!$E$12+1,1))-AVERAGE(OFFSET($H$3,0,0,'Données projet'!$E$12+1,1))</f>
        <v>337.10499990421835</v>
      </c>
      <c r="CE199" s="59">
        <f t="shared" si="207"/>
        <v>277.4254079562175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40.147931406711216</v>
      </c>
      <c r="CL199" s="21">
        <f>EXP(-LN(2)/25)*CL198+(1-EXP(-LN(2)/25))/(LN(2)/25)*Calculateur!CG199*Calculateur!CI199*VLOOKUP('Données projet'!$B$12,Paramètres!$A$1:$I$89,3,0)*0.475*44/12</f>
        <v>7.4078985190059479</v>
      </c>
      <c r="CM199" s="21">
        <f>EXP(-LN(2)/2)*CM198+(1-EXP(-LN(2)/2))/(LN(2)/2)*CG199*CJ199*VLOOKUP('Données projet'!$B$12,Paramètres!$A$1:$I$89,3,0)*0.475*44/12</f>
        <v>5.3356352221269632E-9</v>
      </c>
      <c r="CN199" s="22">
        <f t="shared" si="172"/>
        <v>47.555829931052799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-2.8421709430404007E-13</v>
      </c>
      <c r="CU199" s="17">
        <f>CT199*VLOOKUP('Données projet'!$B$13,Paramètres!$A$1:$I$89,3,0)*VLOOKUP('Données projet'!$B$13,Paramètres!$A$1:$I$89,5,0)</f>
        <v>-2.8376234695315366E-13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525.74725170626471</v>
      </c>
      <c r="CZ199" s="59">
        <f t="shared" si="208"/>
        <v>259.19103598192197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120.44047313304019</v>
      </c>
      <c r="DG199" s="21">
        <f>EXP(-LN(2)/25)*DG198+(1-EXP(-LN(2)/25))/(LN(2)/25)*Calculateur!DB199*Calculateur!DD199*VLOOKUP('Données projet'!$B$13,Paramètres!$A$1:$I$89,3,0)*0.475*44/12</f>
        <v>36.49362311010281</v>
      </c>
      <c r="DH199" s="21">
        <f>EXP(-LN(2)/2)*DH198+(1-EXP(-LN(2)/2))/(LN(2)/2)*DB199*DE199*VLOOKUP('Données projet'!$B$13,Paramètres!$A$1:$I$89,3,0)*0.475*44/12</f>
        <v>1.2074019262801514</v>
      </c>
      <c r="DI199" s="22">
        <f t="shared" si="175"/>
        <v>158.14149816942313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5.4001247917767614E-13</v>
      </c>
      <c r="DP199" s="17">
        <f>DO199*VLOOKUP('Données projet'!$B$14,Paramètres!$A$1:$I$89,3,0)*VLOOKUP('Données projet'!$B$14,Paramètres!$A$1:$I$89,5,0)</f>
        <v>4.8860329115996133E-13</v>
      </c>
      <c r="DQ199" s="13">
        <f t="shared" si="176"/>
        <v>6.1025862939685007E-12</v>
      </c>
      <c r="DR199" s="20">
        <f t="shared" si="177"/>
        <v>1.1479655194098737E-11</v>
      </c>
      <c r="DS199" s="59">
        <f t="shared" si="197"/>
        <v>293.3333333333448</v>
      </c>
      <c r="DT199" s="59">
        <f ca="1">AVERAGE(OFFSET($DS$3,0,0,'Données projet'!$E$14+1,1))-AVERAGE(OFFSET($H$3,0,0,'Données projet'!$E$14+1,1))</f>
        <v>490.06222615476065</v>
      </c>
      <c r="DU199" s="59">
        <f t="shared" si="209"/>
        <v>310.43914804089906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56.19702925449625</v>
      </c>
      <c r="EB199" s="21">
        <f>EXP(-LN(2)/25)*EB198+(1-EXP(-LN(2)/25))/(LN(2)/25)*Calculateur!DW199*Calculateur!DY199*VLOOKUP('Données projet'!$B$14,Paramètres!$A$1:$I$89,3,0)*0.475*44/12</f>
        <v>7.546699663687825</v>
      </c>
      <c r="EC199" s="21">
        <f>EXP(-LN(2)/2)*EC198+(1-EXP(-LN(2)/2))/(LN(2)/2)*DW199*DZ199*VLOOKUP('Données projet'!$B$14,Paramètres!$A$1:$I$89,3,0)*0.475*44/12</f>
        <v>3.6898230464761578E-5</v>
      </c>
      <c r="ED199" s="22">
        <f t="shared" si="178"/>
        <v>63.743765816414538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-2.8421709430404007E-13</v>
      </c>
      <c r="EK199" s="17">
        <f>EJ199*VLOOKUP('Données projet'!$B$15,Paramètres!$A$1:$I$89,3,0)*VLOOKUP('Données projet'!$B$15,Paramètres!$A$1:$I$89,5,0)</f>
        <v>-2.8819613362429665E-13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533.26035274112917</v>
      </c>
      <c r="EP199" s="59">
        <f t="shared" si="210"/>
        <v>262.58149402282521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122.32235552574396</v>
      </c>
      <c r="EW199" s="21">
        <f>EXP(-LN(2)/25)*EW198+(1-EXP(-LN(2)/25))/(LN(2)/25)*Calculateur!ER199*Calculateur!ET199*VLOOKUP('Données projet'!$B$15,Paramètres!$A$1:$I$89,3,0)*0.475*44/12</f>
        <v>37.063835971198152</v>
      </c>
      <c r="EX199" s="21">
        <f>EXP(-LN(2)/2)*EX198+(1-EXP(-LN(2)/2))/(LN(2)/2)*ER199*EU199*VLOOKUP('Données projet'!$B$15,Paramètres!$A$1:$I$89,3,0)*0.475*44/12</f>
        <v>1.2262675813782788</v>
      </c>
      <c r="EY199" s="22">
        <f t="shared" si="181"/>
        <v>160.61245907832037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239.26156489359892</v>
      </c>
      <c r="FK199" s="59">
        <f t="shared" si="211"/>
        <v>213.97034450798111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1.3252503236241551</v>
      </c>
      <c r="FR199" s="21">
        <f>EXP(-LN(2)/25)*FR198+(1-EXP(-LN(2)/25))/(LN(2)/25)*Calculateur!FM199*Calculateur!FO199*VLOOKUP('Données projet'!$B$16,Paramètres!$A$1:$I$89,3,0)*0.475*44/12</f>
        <v>3.3797275446606592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4.7049778682848142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2.5579538487363607E-13</v>
      </c>
      <c r="O200" s="13">
        <f>N200*VLOOKUP('Données projet'!$B$9,Paramètres!$A$1:$I$89,3,0)*VLOOKUP('Données projet'!$B$9,Paramètres!$A$1:$I$89,5,0)</f>
        <v>2.4341488824575211E-13</v>
      </c>
      <c r="P200" s="13">
        <f t="shared" si="203"/>
        <v>3.2970717324875541E-12</v>
      </c>
      <c r="Q200" s="20">
        <f t="shared" si="162"/>
        <v>6.1663475311105072E-12</v>
      </c>
      <c r="R200" s="59">
        <f t="shared" si="191"/>
        <v>293.33333333333945</v>
      </c>
      <c r="S200" s="59">
        <f ca="1">AVERAGE(OFFSET($R$3,0,0,'Données projet'!$E$9+1,1))-AVERAGE(OFFSET($H$3,0,0,'Données projet'!$E$9+1,1))</f>
        <v>449.28947235329758</v>
      </c>
      <c r="T200" s="59">
        <f t="shared" si="204"/>
        <v>289.36994109443964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31.52060197194713</v>
      </c>
      <c r="AA200" s="21">
        <f>EXP(-LN(2)/25)*AA199+(1-EXP(-LN(2)/25))/(LN(2)/25)*Calculateur!V200*Calculateur!X200*VLOOKUP('Données projet'!$B$9,Paramètres!$A$1:$I$89,3,0)*0.475*44/12</f>
        <v>3.8633755482007075</v>
      </c>
      <c r="AB200" s="21">
        <f>EXP(-LN(2)/2)*AB199+(1-EXP(-LN(2)/2))/(LN(2)/2)*V200*Y200*VLOOKUP('Données projet'!$B$9,Paramètres!$A$1:$I$89,3,0)*0.475*44/12</f>
        <v>5.8951619977540245E-10</v>
      </c>
      <c r="AC200" s="22">
        <f t="shared" si="163"/>
        <v>35.383977520737353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-1.3596945791505279E-13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349.71285006949597</v>
      </c>
      <c r="AO200" s="59">
        <f t="shared" si="205"/>
        <v>258.51550516456842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15.106008274800491</v>
      </c>
      <c r="AV200" s="21">
        <f>EXP(-LN(2)/25)*AV199+(1-EXP(-LN(2)/25))/(LN(2)/25)*Calculateur!AQ200*Calculateur!AS200*VLOOKUP('Données projet'!$B$10,Paramètres!$A$1:$I$89,3,0)*0.475*44/12</f>
        <v>2.0185650397781996</v>
      </c>
      <c r="AW200" s="21">
        <f>EXP(-LN(2)/2)*AW199+(1-EXP(-LN(2)/2))/(LN(2)/2)*AQ200*AT200*VLOOKUP('Données projet'!$B$10,Paramètres!$A$1:$I$89,3,0)*0.475*44/12</f>
        <v>1.7348698057126885E-16</v>
      </c>
      <c r="AX200" s="21">
        <f t="shared" si="166"/>
        <v>17.12457331457869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1.1368683772161603E-13</v>
      </c>
      <c r="BE200" s="13">
        <f>BD200*VLOOKUP('Données projet'!$B$11,Paramètres!$A$1:$I$89,3,0)*VLOOKUP('Données projet'!$B$11,Paramètres!$A$1:$I$89,5,0)</f>
        <v>6.7984728957526396E-14</v>
      </c>
      <c r="BF200" s="13">
        <f t="shared" si="167"/>
        <v>1.0682447123141398E-12</v>
      </c>
      <c r="BG200" s="20">
        <f t="shared" si="168"/>
        <v>1.978932943548152E-12</v>
      </c>
      <c r="BH200" s="59">
        <f t="shared" si="194"/>
        <v>293.3333333333353</v>
      </c>
      <c r="BI200" s="59">
        <f ca="1">AVERAGE(OFFSET($BH$3,0,0,'Données projet'!$E$11+1,1))-AVERAGE(OFFSET($H$3,0,0,'Données projet'!$E$11+1,1))</f>
        <v>302.00825291248458</v>
      </c>
      <c r="BJ200" s="59">
        <f t="shared" si="206"/>
        <v>307.35115839449355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9.2106066827522479</v>
      </c>
      <c r="BQ200" s="21">
        <f>EXP(-LN(2)/25)*BQ199+(1-EXP(-LN(2)/25))/(LN(2)/25)*Calculateur!BL200*Calculateur!BN200*VLOOKUP('Données projet'!$B$11,Paramètres!$A$1:$I$89,3,0)*0.475*44/12</f>
        <v>1.0853364791262485</v>
      </c>
      <c r="BR200" s="21">
        <f>EXP(-LN(2)/2)*BR199+(1-EXP(-LN(2)/2))/(LN(2)/2)*BL200*BO200*VLOOKUP('Données projet'!$B$11,Paramètres!$A$1:$I$89,3,0)*0.475*44/12</f>
        <v>1.4365388364981947E-19</v>
      </c>
      <c r="BS200" s="22">
        <f t="shared" si="169"/>
        <v>10.295943161878496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1.7053025658242404E-13</v>
      </c>
      <c r="BZ200" s="13">
        <f>BY200*VLOOKUP('Données projet'!$B$12,Paramètres!$A$1:$I$89,3,0)*VLOOKUP('Données projet'!$B$12,Paramètres!$A$1:$I$89,5,0)</f>
        <v>7.9808160080574461E-14</v>
      </c>
      <c r="CA200" s="13">
        <f t="shared" si="170"/>
        <v>1.2308384591775343E-12</v>
      </c>
      <c r="CB200" s="20">
        <f t="shared" si="171"/>
        <v>2.282709528541206E-12</v>
      </c>
      <c r="CC200" s="59">
        <f t="shared" si="195"/>
        <v>293.33333333333559</v>
      </c>
      <c r="CD200" s="59">
        <f ca="1">AVERAGE(OFFSET($CC$3,0,0,'Données projet'!$E$12+1,1))-AVERAGE(OFFSET($H$3,0,0,'Données projet'!$E$12+1,1))</f>
        <v>337.10499990421835</v>
      </c>
      <c r="CE200" s="59">
        <f t="shared" si="207"/>
        <v>277.4254079562175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39.360654959645792</v>
      </c>
      <c r="CL200" s="21">
        <f>EXP(-LN(2)/25)*CL199+(1-EXP(-LN(2)/25))/(LN(2)/25)*Calculateur!CG200*Calculateur!CI200*VLOOKUP('Données projet'!$B$12,Paramètres!$A$1:$I$89,3,0)*0.475*44/12</f>
        <v>7.2053291444392782</v>
      </c>
      <c r="CM200" s="21">
        <f>EXP(-LN(2)/2)*CM199+(1-EXP(-LN(2)/2))/(LN(2)/2)*CG200*CJ200*VLOOKUP('Données projet'!$B$12,Paramètres!$A$1:$I$89,3,0)*0.475*44/12</f>
        <v>3.7728638475037663E-9</v>
      </c>
      <c r="CN200" s="22">
        <f t="shared" si="172"/>
        <v>46.565984107857929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-2.8421709430404007E-13</v>
      </c>
      <c r="CU200" s="17">
        <f>CT200*VLOOKUP('Données projet'!$B$13,Paramètres!$A$1:$I$89,3,0)*VLOOKUP('Données projet'!$B$13,Paramètres!$A$1:$I$89,5,0)</f>
        <v>-2.8376234695315366E-13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525.74725170626471</v>
      </c>
      <c r="CZ200" s="59">
        <f t="shared" si="208"/>
        <v>259.19103598192197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118.07870891633617</v>
      </c>
      <c r="DG200" s="21">
        <f>EXP(-LN(2)/25)*DG199+(1-EXP(-LN(2)/25))/(LN(2)/25)*Calculateur!DB200*Calculateur!DD200*VLOOKUP('Données projet'!$B$13,Paramètres!$A$1:$I$89,3,0)*0.475*44/12</f>
        <v>35.495703067040814</v>
      </c>
      <c r="DH200" s="21">
        <f>EXP(-LN(2)/2)*DH199+(1-EXP(-LN(2)/2))/(LN(2)/2)*DB200*DE200*VLOOKUP('Données projet'!$B$13,Paramètres!$A$1:$I$89,3,0)*0.475*44/12</f>
        <v>0.85376208969039502</v>
      </c>
      <c r="DI200" s="22">
        <f t="shared" si="175"/>
        <v>154.4281740730674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5.4001247917767614E-13</v>
      </c>
      <c r="DP200" s="17">
        <f>DO200*VLOOKUP('Données projet'!$B$14,Paramètres!$A$1:$I$89,3,0)*VLOOKUP('Données projet'!$B$14,Paramètres!$A$1:$I$89,5,0)</f>
        <v>4.8860329115996133E-13</v>
      </c>
      <c r="DQ200" s="13">
        <f t="shared" si="176"/>
        <v>6.1025862939685007E-12</v>
      </c>
      <c r="DR200" s="20">
        <f t="shared" si="177"/>
        <v>1.1479655194098737E-11</v>
      </c>
      <c r="DS200" s="59">
        <f t="shared" si="197"/>
        <v>293.3333333333448</v>
      </c>
      <c r="DT200" s="59">
        <f ca="1">AVERAGE(OFFSET($DS$3,0,0,'Données projet'!$E$14+1,1))-AVERAGE(OFFSET($H$3,0,0,'Données projet'!$E$14+1,1))</f>
        <v>490.06222615476065</v>
      </c>
      <c r="DU200" s="59">
        <f t="shared" si="209"/>
        <v>310.43914804089906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55.095039787618873</v>
      </c>
      <c r="EB200" s="21">
        <f>EXP(-LN(2)/25)*EB199+(1-EXP(-LN(2)/25))/(LN(2)/25)*Calculateur!DW200*Calculateur!DY200*VLOOKUP('Données projet'!$B$14,Paramètres!$A$1:$I$89,3,0)*0.475*44/12</f>
        <v>7.3403347645205939</v>
      </c>
      <c r="EC200" s="21">
        <f>EXP(-LN(2)/2)*EC199+(1-EXP(-LN(2)/2))/(LN(2)/2)*DW200*DZ200*VLOOKUP('Données projet'!$B$14,Paramètres!$A$1:$I$89,3,0)*0.475*44/12</f>
        <v>2.6090988975416967E-5</v>
      </c>
      <c r="ED200" s="22">
        <f t="shared" si="178"/>
        <v>62.435400643128439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-2.8421709430404007E-13</v>
      </c>
      <c r="EK200" s="17">
        <f>EJ200*VLOOKUP('Données projet'!$B$15,Paramètres!$A$1:$I$89,3,0)*VLOOKUP('Données projet'!$B$15,Paramètres!$A$1:$I$89,5,0)</f>
        <v>-2.8819613362429665E-13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533.26035274112917</v>
      </c>
      <c r="EP200" s="59">
        <f t="shared" si="210"/>
        <v>262.58149402282521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119.92368874315393</v>
      </c>
      <c r="EW200" s="21">
        <f>EXP(-LN(2)/25)*EW199+(1-EXP(-LN(2)/25))/(LN(2)/25)*Calculateur!ER200*Calculateur!ET200*VLOOKUP('Données projet'!$B$15,Paramètres!$A$1:$I$89,3,0)*0.475*44/12</f>
        <v>36.050323427463319</v>
      </c>
      <c r="EX200" s="21">
        <f>EXP(-LN(2)/2)*EX199+(1-EXP(-LN(2)/2))/(LN(2)/2)*ER200*EU200*VLOOKUP('Données projet'!$B$15,Paramètres!$A$1:$I$89,3,0)*0.475*44/12</f>
        <v>0.8671021223418075</v>
      </c>
      <c r="EY200" s="22">
        <f t="shared" si="181"/>
        <v>156.84111429295905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239.26156489359892</v>
      </c>
      <c r="FK200" s="59">
        <f t="shared" si="211"/>
        <v>213.97034450798111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1.2992629731007674</v>
      </c>
      <c r="FR200" s="21">
        <f>EXP(-LN(2)/25)*FR199+(1-EXP(-LN(2)/25))/(LN(2)/25)*Calculateur!FM200*Calculateur!FO200*VLOOKUP('Données projet'!$B$16,Paramètres!$A$1:$I$89,3,0)*0.475*44/12</f>
        <v>3.2873087172197661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4.5865716903205334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2.5579538487363607E-13</v>
      </c>
      <c r="O201" s="13">
        <f>N201*VLOOKUP('Données projet'!$B$9,Paramètres!$A$1:$I$89,3,0)*VLOOKUP('Données projet'!$B$9,Paramètres!$A$1:$I$89,5,0)</f>
        <v>2.4341488824575211E-13</v>
      </c>
      <c r="P201" s="13">
        <f t="shared" si="203"/>
        <v>3.2970717324875541E-12</v>
      </c>
      <c r="Q201" s="20">
        <f t="shared" si="162"/>
        <v>6.1663475311105072E-12</v>
      </c>
      <c r="R201" s="59">
        <f t="shared" si="191"/>
        <v>293.33333333333945</v>
      </c>
      <c r="S201" s="59">
        <f ca="1">AVERAGE(OFFSET($R$3,0,0,'Données projet'!$E$9+1,1))-AVERAGE(OFFSET($H$3,0,0,'Données projet'!$E$9+1,1))</f>
        <v>449.28947235329758</v>
      </c>
      <c r="T201" s="59">
        <f t="shared" si="204"/>
        <v>289.36994109443964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30.902502192946073</v>
      </c>
      <c r="AA201" s="21">
        <f>EXP(-LN(2)/25)*AA200+(1-EXP(-LN(2)/25))/(LN(2)/25)*Calculateur!V201*Calculateur!X201*VLOOKUP('Données projet'!$B$9,Paramètres!$A$1:$I$89,3,0)*0.475*44/12</f>
        <v>3.7577313406690691</v>
      </c>
      <c r="AB201" s="21">
        <f>EXP(-LN(2)/2)*AB200+(1-EXP(-LN(2)/2))/(LN(2)/2)*V201*Y201*VLOOKUP('Données projet'!$B$9,Paramètres!$A$1:$I$89,3,0)*0.475*44/12</f>
        <v>4.1685090248051054E-10</v>
      </c>
      <c r="AC201" s="22">
        <f t="shared" si="163"/>
        <v>34.660233534031995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-1.3596945791505279E-13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349.71285006949597</v>
      </c>
      <c r="AO201" s="59">
        <f t="shared" si="205"/>
        <v>258.51550516456842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14.809788666286918</v>
      </c>
      <c r="AV201" s="21">
        <f>EXP(-LN(2)/25)*AV200+(1-EXP(-LN(2)/25))/(LN(2)/25)*Calculateur!AQ201*Calculateur!AS201*VLOOKUP('Données projet'!$B$10,Paramètres!$A$1:$I$89,3,0)*0.475*44/12</f>
        <v>1.9633672726137428</v>
      </c>
      <c r="AW201" s="21">
        <f>EXP(-LN(2)/2)*AW200+(1-EXP(-LN(2)/2))/(LN(2)/2)*AQ201*AT201*VLOOKUP('Données projet'!$B$10,Paramètres!$A$1:$I$89,3,0)*0.475*44/12</f>
        <v>1.2267382040952302E-16</v>
      </c>
      <c r="AX201" s="21">
        <f t="shared" si="166"/>
        <v>16.773155938900661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1.1368683772161603E-13</v>
      </c>
      <c r="BE201" s="13">
        <f>BD201*VLOOKUP('Données projet'!$B$11,Paramètres!$A$1:$I$89,3,0)*VLOOKUP('Données projet'!$B$11,Paramètres!$A$1:$I$89,5,0)</f>
        <v>6.7984728957526396E-14</v>
      </c>
      <c r="BF201" s="13">
        <f t="shared" si="167"/>
        <v>1.0682447123141398E-12</v>
      </c>
      <c r="BG201" s="20">
        <f t="shared" si="168"/>
        <v>1.978932943548152E-12</v>
      </c>
      <c r="BH201" s="59">
        <f t="shared" si="194"/>
        <v>293.3333333333353</v>
      </c>
      <c r="BI201" s="59">
        <f ca="1">AVERAGE(OFFSET($BH$3,0,0,'Données projet'!$E$11+1,1))-AVERAGE(OFFSET($H$3,0,0,'Données projet'!$E$11+1,1))</f>
        <v>302.00825291248458</v>
      </c>
      <c r="BJ201" s="59">
        <f t="shared" si="206"/>
        <v>307.35115839449355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9.0299923036188297</v>
      </c>
      <c r="BQ201" s="21">
        <f>EXP(-LN(2)/25)*BQ200+(1-EXP(-LN(2)/25))/(LN(2)/25)*Calculateur!BL201*Calculateur!BN201*VLOOKUP('Données projet'!$B$11,Paramètres!$A$1:$I$89,3,0)*0.475*44/12</f>
        <v>1.0556578960291765</v>
      </c>
      <c r="BR201" s="21">
        <f>EXP(-LN(2)/2)*BR200+(1-EXP(-LN(2)/2))/(LN(2)/2)*BL201*BO201*VLOOKUP('Données projet'!$B$11,Paramètres!$A$1:$I$89,3,0)*0.475*44/12</f>
        <v>1.0157863527257065E-19</v>
      </c>
      <c r="BS201" s="22">
        <f t="shared" si="169"/>
        <v>10.085650199648006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1.7053025658242404E-13</v>
      </c>
      <c r="BZ201" s="13">
        <f>BY201*VLOOKUP('Données projet'!$B$12,Paramètres!$A$1:$I$89,3,0)*VLOOKUP('Données projet'!$B$12,Paramètres!$A$1:$I$89,5,0)</f>
        <v>7.9808160080574461E-14</v>
      </c>
      <c r="CA201" s="13">
        <f t="shared" si="170"/>
        <v>1.2308384591775343E-12</v>
      </c>
      <c r="CB201" s="20">
        <f t="shared" si="171"/>
        <v>2.282709528541206E-12</v>
      </c>
      <c r="CC201" s="59">
        <f t="shared" si="195"/>
        <v>293.33333333333559</v>
      </c>
      <c r="CD201" s="59">
        <f ca="1">AVERAGE(OFFSET($CC$3,0,0,'Données projet'!$E$12+1,1))-AVERAGE(OFFSET($H$3,0,0,'Données projet'!$E$12+1,1))</f>
        <v>337.10499990421835</v>
      </c>
      <c r="CE201" s="59">
        <f t="shared" si="207"/>
        <v>277.4254079562175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38.588816523516108</v>
      </c>
      <c r="CL201" s="21">
        <f>EXP(-LN(2)/25)*CL200+(1-EXP(-LN(2)/25))/(LN(2)/25)*Calculateur!CG201*Calculateur!CI201*VLOOKUP('Données projet'!$B$12,Paramètres!$A$1:$I$89,3,0)*0.475*44/12</f>
        <v>7.008299040072794</v>
      </c>
      <c r="CM201" s="21">
        <f>EXP(-LN(2)/2)*CM200+(1-EXP(-LN(2)/2))/(LN(2)/2)*CG201*CJ201*VLOOKUP('Données projet'!$B$12,Paramètres!$A$1:$I$89,3,0)*0.475*44/12</f>
        <v>2.6678176110634816E-9</v>
      </c>
      <c r="CN201" s="22">
        <f t="shared" si="172"/>
        <v>45.597115566256718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-2.8421709430404007E-13</v>
      </c>
      <c r="CU201" s="17">
        <f>CT201*VLOOKUP('Données projet'!$B$13,Paramètres!$A$1:$I$89,3,0)*VLOOKUP('Données projet'!$B$13,Paramètres!$A$1:$I$89,5,0)</f>
        <v>-2.8376234695315366E-13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525.74725170626471</v>
      </c>
      <c r="CZ201" s="59">
        <f t="shared" si="208"/>
        <v>259.19103598192197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115.76325745538779</v>
      </c>
      <c r="DG201" s="21">
        <f>EXP(-LN(2)/25)*DG200+(1-EXP(-LN(2)/25))/(LN(2)/25)*Calculateur!DB201*Calculateur!DD201*VLOOKUP('Données projet'!$B$13,Paramètres!$A$1:$I$89,3,0)*0.475*44/12</f>
        <v>34.525071200034688</v>
      </c>
      <c r="DH201" s="21">
        <f>EXP(-LN(2)/2)*DH200+(1-EXP(-LN(2)/2))/(LN(2)/2)*DB201*DE201*VLOOKUP('Données projet'!$B$13,Paramètres!$A$1:$I$89,3,0)*0.475*44/12</f>
        <v>0.60370096314007571</v>
      </c>
      <c r="DI201" s="22">
        <f t="shared" si="175"/>
        <v>150.89202961856256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5.4001247917767614E-13</v>
      </c>
      <c r="DP201" s="17">
        <f>DO201*VLOOKUP('Données projet'!$B$14,Paramètres!$A$1:$I$89,3,0)*VLOOKUP('Données projet'!$B$14,Paramètres!$A$1:$I$89,5,0)</f>
        <v>4.8860329115996133E-13</v>
      </c>
      <c r="DQ201" s="13">
        <f t="shared" si="176"/>
        <v>6.1025862939685007E-12</v>
      </c>
      <c r="DR201" s="20">
        <f t="shared" si="177"/>
        <v>1.1479655194098737E-11</v>
      </c>
      <c r="DS201" s="59">
        <f t="shared" si="197"/>
        <v>293.3333333333448</v>
      </c>
      <c r="DT201" s="59">
        <f ca="1">AVERAGE(OFFSET($DS$3,0,0,'Données projet'!$E$14+1,1))-AVERAGE(OFFSET($H$3,0,0,'Données projet'!$E$14+1,1))</f>
        <v>490.06222615476065</v>
      </c>
      <c r="DU201" s="59">
        <f t="shared" si="209"/>
        <v>310.43914804089906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54.014659662039755</v>
      </c>
      <c r="EB201" s="21">
        <f>EXP(-LN(2)/25)*EB200+(1-EXP(-LN(2)/25))/(LN(2)/25)*Calculateur!DW201*Calculateur!DY201*VLOOKUP('Données projet'!$B$14,Paramètres!$A$1:$I$89,3,0)*0.475*44/12</f>
        <v>7.1396129243733499</v>
      </c>
      <c r="EC201" s="21">
        <f>EXP(-LN(2)/2)*EC200+(1-EXP(-LN(2)/2))/(LN(2)/2)*DW201*DZ201*VLOOKUP('Données projet'!$B$14,Paramètres!$A$1:$I$89,3,0)*0.475*44/12</f>
        <v>1.8449115232380789E-5</v>
      </c>
      <c r="ED201" s="22">
        <f t="shared" si="178"/>
        <v>61.154291035528338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-2.8421709430404007E-13</v>
      </c>
      <c r="EK201" s="17">
        <f>EJ201*VLOOKUP('Données projet'!$B$15,Paramètres!$A$1:$I$89,3,0)*VLOOKUP('Données projet'!$B$15,Paramètres!$A$1:$I$89,5,0)</f>
        <v>-2.8819613362429665E-13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533.26035274112917</v>
      </c>
      <c r="EP201" s="59">
        <f t="shared" si="210"/>
        <v>262.58149402282521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117.57205835312823</v>
      </c>
      <c r="EW201" s="21">
        <f>EXP(-LN(2)/25)*EW200+(1-EXP(-LN(2)/25))/(LN(2)/25)*Calculateur!ER201*Calculateur!ET201*VLOOKUP('Données projet'!$B$15,Paramètres!$A$1:$I$89,3,0)*0.475*44/12</f>
        <v>35.064525437535217</v>
      </c>
      <c r="EX201" s="21">
        <f>EXP(-LN(2)/2)*EX200+(1-EXP(-LN(2)/2))/(LN(2)/2)*ER201*EU201*VLOOKUP('Données projet'!$B$15,Paramètres!$A$1:$I$89,3,0)*0.475*44/12</f>
        <v>0.61313379068913954</v>
      </c>
      <c r="EY201" s="22">
        <f t="shared" si="181"/>
        <v>153.2497175813526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239.26156489359892</v>
      </c>
      <c r="FK201" s="59">
        <f t="shared" si="211"/>
        <v>213.97034450798111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1.2737852186704248</v>
      </c>
      <c r="FR201" s="21">
        <f>EXP(-LN(2)/25)*FR200+(1-EXP(-LN(2)/25))/(LN(2)/25)*Calculateur!FM201*Calculateur!FO201*VLOOKUP('Données projet'!$B$16,Paramètres!$A$1:$I$89,3,0)*0.475*44/12</f>
        <v>3.1974170874753396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4.4712023061457646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2.5579538487363607E-13</v>
      </c>
      <c r="O202" s="13">
        <f>N202*VLOOKUP('Données projet'!$B$9,Paramètres!$A$1:$I$89,3,0)*VLOOKUP('Données projet'!$B$9,Paramètres!$A$1:$I$89,5,0)</f>
        <v>2.4341488824575211E-13</v>
      </c>
      <c r="P202" s="13">
        <f t="shared" si="203"/>
        <v>3.2970717324875541E-12</v>
      </c>
      <c r="Q202" s="20">
        <f t="shared" si="162"/>
        <v>6.1663475311105072E-12</v>
      </c>
      <c r="R202" s="59">
        <f t="shared" si="191"/>
        <v>293.33333333333945</v>
      </c>
      <c r="S202" s="59">
        <f ca="1">AVERAGE(OFFSET($R$3,0,0,'Données projet'!$E$9+1,1))-AVERAGE(OFFSET($H$3,0,0,'Données projet'!$E$9+1,1))</f>
        <v>449.28947235329758</v>
      </c>
      <c r="T202" s="59">
        <f t="shared" si="204"/>
        <v>289.36994109443964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30.296522973607587</v>
      </c>
      <c r="AA202" s="21">
        <f>EXP(-LN(2)/25)*AA201+(1-EXP(-LN(2)/25))/(LN(2)/25)*Calculateur!V202*Calculateur!X202*VLOOKUP('Données projet'!$B$9,Paramètres!$A$1:$I$89,3,0)*0.475*44/12</f>
        <v>3.6549759795479706</v>
      </c>
      <c r="AB202" s="21">
        <f>EXP(-LN(2)/2)*AB201+(1-EXP(-LN(2)/2))/(LN(2)/2)*V202*Y202*VLOOKUP('Données projet'!$B$9,Paramètres!$A$1:$I$89,3,0)*0.475*44/12</f>
        <v>2.9475809988770122E-10</v>
      </c>
      <c r="AC202" s="22">
        <f t="shared" si="163"/>
        <v>33.951498953450319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-1.3596945791505279E-13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349.71285006949597</v>
      </c>
      <c r="AO202" s="59">
        <f t="shared" si="205"/>
        <v>258.51550516456842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14.519377743620176</v>
      </c>
      <c r="AV202" s="21">
        <f>EXP(-LN(2)/25)*AV201+(1-EXP(-LN(2)/25))/(LN(2)/25)*Calculateur!AQ202*Calculateur!AS202*VLOOKUP('Données projet'!$B$10,Paramètres!$A$1:$I$89,3,0)*0.475*44/12</f>
        <v>1.9096788912951224</v>
      </c>
      <c r="AW202" s="21">
        <f>EXP(-LN(2)/2)*AW201+(1-EXP(-LN(2)/2))/(LN(2)/2)*AQ202*AT202*VLOOKUP('Données projet'!$B$10,Paramètres!$A$1:$I$89,3,0)*0.475*44/12</f>
        <v>8.6743490285634423E-17</v>
      </c>
      <c r="AX202" s="21">
        <f t="shared" si="166"/>
        <v>16.429056634915298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1.1368683772161603E-13</v>
      </c>
      <c r="BE202" s="13">
        <f>BD202*VLOOKUP('Données projet'!$B$11,Paramètres!$A$1:$I$89,3,0)*VLOOKUP('Données projet'!$B$11,Paramètres!$A$1:$I$89,5,0)</f>
        <v>6.7984728957526396E-14</v>
      </c>
      <c r="BF202" s="13">
        <f t="shared" si="167"/>
        <v>1.0682447123141398E-12</v>
      </c>
      <c r="BG202" s="20">
        <f t="shared" si="168"/>
        <v>1.978932943548152E-12</v>
      </c>
      <c r="BH202" s="59">
        <f t="shared" si="194"/>
        <v>293.3333333333353</v>
      </c>
      <c r="BI202" s="59">
        <f ca="1">AVERAGE(OFFSET($BH$3,0,0,'Données projet'!$E$11+1,1))-AVERAGE(OFFSET($H$3,0,0,'Données projet'!$E$11+1,1))</f>
        <v>302.00825291248458</v>
      </c>
      <c r="BJ202" s="59">
        <f t="shared" si="206"/>
        <v>307.35115839449355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8.8529196622963244</v>
      </c>
      <c r="BQ202" s="21">
        <f>EXP(-LN(2)/25)*BQ201+(1-EXP(-LN(2)/25))/(LN(2)/25)*Calculateur!BL202*Calculateur!BN202*VLOOKUP('Données projet'!$B$11,Paramètres!$A$1:$I$89,3,0)*0.475*44/12</f>
        <v>1.0267908753476227</v>
      </c>
      <c r="BR202" s="21">
        <f>EXP(-LN(2)/2)*BR201+(1-EXP(-LN(2)/2))/(LN(2)/2)*BL202*BO202*VLOOKUP('Données projet'!$B$11,Paramètres!$A$1:$I$89,3,0)*0.475*44/12</f>
        <v>7.1826941824909733E-20</v>
      </c>
      <c r="BS202" s="22">
        <f t="shared" si="169"/>
        <v>9.8797105376439465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1.7053025658242404E-13</v>
      </c>
      <c r="BZ202" s="13">
        <f>BY202*VLOOKUP('Données projet'!$B$12,Paramètres!$A$1:$I$89,3,0)*VLOOKUP('Données projet'!$B$12,Paramètres!$A$1:$I$89,5,0)</f>
        <v>7.9808160080574461E-14</v>
      </c>
      <c r="CA202" s="13">
        <f t="shared" si="170"/>
        <v>1.2308384591775343E-12</v>
      </c>
      <c r="CB202" s="20">
        <f t="shared" si="171"/>
        <v>2.282709528541206E-12</v>
      </c>
      <c r="CC202" s="59">
        <f t="shared" si="195"/>
        <v>293.33333333333559</v>
      </c>
      <c r="CD202" s="59">
        <f ca="1">AVERAGE(OFFSET($CC$3,0,0,'Données projet'!$E$12+1,1))-AVERAGE(OFFSET($H$3,0,0,'Données projet'!$E$12+1,1))</f>
        <v>337.10499990421835</v>
      </c>
      <c r="CE202" s="59">
        <f t="shared" si="207"/>
        <v>277.4254079562175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37.832113368343968</v>
      </c>
      <c r="CL202" s="21">
        <f>EXP(-LN(2)/25)*CL201+(1-EXP(-LN(2)/25))/(LN(2)/25)*Calculateur!CG202*Calculateur!CI202*VLOOKUP('Données projet'!$B$12,Paramètres!$A$1:$I$89,3,0)*0.475*44/12</f>
        <v>6.8166567342715743</v>
      </c>
      <c r="CM202" s="21">
        <f>EXP(-LN(2)/2)*CM201+(1-EXP(-LN(2)/2))/(LN(2)/2)*CG202*CJ202*VLOOKUP('Données projet'!$B$12,Paramètres!$A$1:$I$89,3,0)*0.475*44/12</f>
        <v>1.8864319237518832E-9</v>
      </c>
      <c r="CN202" s="22">
        <f t="shared" si="172"/>
        <v>44.648770104501978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-2.8421709430404007E-13</v>
      </c>
      <c r="CU202" s="17">
        <f>CT202*VLOOKUP('Données projet'!$B$13,Paramètres!$A$1:$I$89,3,0)*VLOOKUP('Données projet'!$B$13,Paramètres!$A$1:$I$89,5,0)</f>
        <v>-2.8376234695315366E-13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525.74725170626471</v>
      </c>
      <c r="CZ202" s="59">
        <f t="shared" si="208"/>
        <v>259.19103598192197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113.49321058530266</v>
      </c>
      <c r="DG202" s="21">
        <f>EXP(-LN(2)/25)*DG201+(1-EXP(-LN(2)/25))/(LN(2)/25)*Calculateur!DB202*Calculateur!DD202*VLOOKUP('Données projet'!$B$13,Paramètres!$A$1:$I$89,3,0)*0.475*44/12</f>
        <v>33.580981312475153</v>
      </c>
      <c r="DH202" s="21">
        <f>EXP(-LN(2)/2)*DH201+(1-EXP(-LN(2)/2))/(LN(2)/2)*DB202*DE202*VLOOKUP('Données projet'!$B$13,Paramètres!$A$1:$I$89,3,0)*0.475*44/12</f>
        <v>0.42688104484519751</v>
      </c>
      <c r="DI202" s="22">
        <f t="shared" si="175"/>
        <v>147.50107294262301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5.4001247917767614E-13</v>
      </c>
      <c r="DP202" s="17">
        <f>DO202*VLOOKUP('Données projet'!$B$14,Paramètres!$A$1:$I$89,3,0)*VLOOKUP('Données projet'!$B$14,Paramètres!$A$1:$I$89,5,0)</f>
        <v>4.8860329115996133E-13</v>
      </c>
      <c r="DQ202" s="13">
        <f t="shared" si="176"/>
        <v>6.1025862939685007E-12</v>
      </c>
      <c r="DR202" s="20">
        <f t="shared" si="177"/>
        <v>1.1479655194098737E-11</v>
      </c>
      <c r="DS202" s="59">
        <f t="shared" si="197"/>
        <v>293.3333333333448</v>
      </c>
      <c r="DT202" s="59">
        <f ca="1">AVERAGE(OFFSET($DS$3,0,0,'Données projet'!$E$14+1,1))-AVERAGE(OFFSET($H$3,0,0,'Données projet'!$E$14+1,1))</f>
        <v>490.06222615476065</v>
      </c>
      <c r="DU202" s="59">
        <f t="shared" si="209"/>
        <v>310.43914804089906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52.955465131756434</v>
      </c>
      <c r="EB202" s="21">
        <f>EXP(-LN(2)/25)*EB201+(1-EXP(-LN(2)/25))/(LN(2)/25)*Calculateur!DW202*Calculateur!DY202*VLOOKUP('Données projet'!$B$14,Paramètres!$A$1:$I$89,3,0)*0.475*44/12</f>
        <v>6.9443798335004345</v>
      </c>
      <c r="EC202" s="21">
        <f>EXP(-LN(2)/2)*EC201+(1-EXP(-LN(2)/2))/(LN(2)/2)*DW202*DZ202*VLOOKUP('Données projet'!$B$14,Paramètres!$A$1:$I$89,3,0)*0.475*44/12</f>
        <v>1.3045494487708484E-5</v>
      </c>
      <c r="ED202" s="22">
        <f t="shared" si="178"/>
        <v>59.899858010751359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-2.8421709430404007E-13</v>
      </c>
      <c r="EK202" s="17">
        <f>EJ202*VLOOKUP('Données projet'!$B$15,Paramètres!$A$1:$I$89,3,0)*VLOOKUP('Données projet'!$B$15,Paramètres!$A$1:$I$89,5,0)</f>
        <v>-2.8819613362429665E-13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533.26035274112917</v>
      </c>
      <c r="EP202" s="59">
        <f t="shared" si="210"/>
        <v>262.58149402282521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115.26654200069802</v>
      </c>
      <c r="EW202" s="21">
        <f>EXP(-LN(2)/25)*EW201+(1-EXP(-LN(2)/25))/(LN(2)/25)*Calculateur!ER202*Calculateur!ET202*VLOOKUP('Données projet'!$B$15,Paramètres!$A$1:$I$89,3,0)*0.475*44/12</f>
        <v>34.105684145482563</v>
      </c>
      <c r="EX202" s="21">
        <f>EXP(-LN(2)/2)*EX201+(1-EXP(-LN(2)/2))/(LN(2)/2)*ER202*EU202*VLOOKUP('Données projet'!$B$15,Paramètres!$A$1:$I$89,3,0)*0.475*44/12</f>
        <v>0.43355106117090386</v>
      </c>
      <c r="EY202" s="22">
        <f t="shared" si="181"/>
        <v>149.8057772073515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239.26156489359892</v>
      </c>
      <c r="FK202" s="59">
        <f t="shared" si="211"/>
        <v>213.97034450798111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1.2488070674645655</v>
      </c>
      <c r="FR202" s="21">
        <f>EXP(-LN(2)/25)*FR201+(1-EXP(-LN(2)/25))/(LN(2)/25)*Calculateur!FM202*Calculateur!FO202*VLOOKUP('Données projet'!$B$16,Paramètres!$A$1:$I$89,3,0)*0.475*44/12</f>
        <v>3.1099835490734695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4.3587906165380348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2.5579538487363607E-13</v>
      </c>
      <c r="O203" s="13">
        <f>N203*VLOOKUP('Données projet'!$B$9,Paramètres!$A$1:$I$89,3,0)*VLOOKUP('Données projet'!$B$9,Paramètres!$A$1:$I$89,5,0)</f>
        <v>2.4341488824575211E-13</v>
      </c>
      <c r="P203" s="13">
        <f t="shared" si="203"/>
        <v>3.2970717324875541E-12</v>
      </c>
      <c r="Q203" s="20">
        <f t="shared" si="162"/>
        <v>6.1663475311105072E-12</v>
      </c>
      <c r="R203" s="59">
        <f t="shared" si="191"/>
        <v>293.33333333333945</v>
      </c>
      <c r="S203" s="59">
        <f ca="1">AVERAGE(OFFSET($R$3,0,0,'Données projet'!$E$9+1,1))-AVERAGE(OFFSET($H$3,0,0,'Données projet'!$E$9+1,1))</f>
        <v>449.28947235329758</v>
      </c>
      <c r="T203" s="59">
        <f t="shared" si="204"/>
        <v>289.36994109443964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29.7024266371495</v>
      </c>
      <c r="AA203" s="21">
        <f>EXP(-LN(2)/25)*AA202+(1-EXP(-LN(2)/25))/(LN(2)/25)*Calculateur!V203*Calculateur!X203*VLOOKUP('Données projet'!$B$9,Paramètres!$A$1:$I$89,3,0)*0.475*44/12</f>
        <v>3.555030469180398</v>
      </c>
      <c r="AB203" s="21">
        <f>EXP(-LN(2)/2)*AB202+(1-EXP(-LN(2)/2))/(LN(2)/2)*V203*Y203*VLOOKUP('Données projet'!$B$9,Paramètres!$A$1:$I$89,3,0)*0.475*44/12</f>
        <v>2.0842545124025527E-10</v>
      </c>
      <c r="AC203" s="22">
        <f t="shared" si="163"/>
        <v>33.257457106538318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-1.3596945791505279E-13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349.71285006949597</v>
      </c>
      <c r="AO203" s="59">
        <f t="shared" si="205"/>
        <v>258.51550516456842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14.234661602013755</v>
      </c>
      <c r="AV203" s="21">
        <f>EXP(-LN(2)/25)*AV202+(1-EXP(-LN(2)/25))/(LN(2)/25)*Calculateur!AQ203*Calculateur!AS203*VLOOKUP('Données projet'!$B$10,Paramètres!$A$1:$I$89,3,0)*0.475*44/12</f>
        <v>1.857458621587009</v>
      </c>
      <c r="AW203" s="21">
        <f>EXP(-LN(2)/2)*AW202+(1-EXP(-LN(2)/2))/(LN(2)/2)*AQ203*AT203*VLOOKUP('Données projet'!$B$10,Paramètres!$A$1:$I$89,3,0)*0.475*44/12</f>
        <v>6.133691020476151E-17</v>
      </c>
      <c r="AX203" s="21">
        <f t="shared" si="166"/>
        <v>16.092120223600766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1.1368683772161603E-13</v>
      </c>
      <c r="BE203" s="13">
        <f>BD203*VLOOKUP('Données projet'!$B$11,Paramètres!$A$1:$I$89,3,0)*VLOOKUP('Données projet'!$B$11,Paramètres!$A$1:$I$89,5,0)</f>
        <v>6.7984728957526396E-14</v>
      </c>
      <c r="BF203" s="13">
        <f t="shared" si="167"/>
        <v>1.0682447123141398E-12</v>
      </c>
      <c r="BG203" s="20">
        <f t="shared" si="168"/>
        <v>1.978932943548152E-12</v>
      </c>
      <c r="BH203" s="59">
        <f t="shared" si="194"/>
        <v>293.3333333333353</v>
      </c>
      <c r="BI203" s="59">
        <f ca="1">AVERAGE(OFFSET($BH$3,0,0,'Données projet'!$E$11+1,1))-AVERAGE(OFFSET($H$3,0,0,'Données projet'!$E$11+1,1))</f>
        <v>302.00825291248458</v>
      </c>
      <c r="BJ203" s="59">
        <f t="shared" si="206"/>
        <v>307.35115839449355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8.6793193074665069</v>
      </c>
      <c r="BQ203" s="21">
        <f>EXP(-LN(2)/25)*BQ202+(1-EXP(-LN(2)/25))/(LN(2)/25)*Calculateur!BL203*Calculateur!BN203*VLOOKUP('Données projet'!$B$11,Paramètres!$A$1:$I$89,3,0)*0.475*44/12</f>
        <v>0.99871322486465663</v>
      </c>
      <c r="BR203" s="21">
        <f>EXP(-LN(2)/2)*BR202+(1-EXP(-LN(2)/2))/(LN(2)/2)*BL203*BO203*VLOOKUP('Données projet'!$B$11,Paramètres!$A$1:$I$89,3,0)*0.475*44/12</f>
        <v>5.0789317636285325E-20</v>
      </c>
      <c r="BS203" s="22">
        <f t="shared" si="169"/>
        <v>9.678032532331164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1.7053025658242404E-13</v>
      </c>
      <c r="BZ203" s="13">
        <f>BY203*VLOOKUP('Données projet'!$B$12,Paramètres!$A$1:$I$89,3,0)*VLOOKUP('Données projet'!$B$12,Paramètres!$A$1:$I$89,5,0)</f>
        <v>7.9808160080574461E-14</v>
      </c>
      <c r="CA203" s="13">
        <f t="shared" si="170"/>
        <v>1.2308384591775343E-12</v>
      </c>
      <c r="CB203" s="20">
        <f t="shared" si="171"/>
        <v>2.282709528541206E-12</v>
      </c>
      <c r="CC203" s="59">
        <f t="shared" si="195"/>
        <v>293.33333333333559</v>
      </c>
      <c r="CD203" s="59">
        <f ca="1">AVERAGE(OFFSET($CC$3,0,0,'Données projet'!$E$12+1,1))-AVERAGE(OFFSET($H$3,0,0,'Données projet'!$E$12+1,1))</f>
        <v>337.10499990421835</v>
      </c>
      <c r="CE203" s="59">
        <f t="shared" si="207"/>
        <v>277.4254079562175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37.090248700501398</v>
      </c>
      <c r="CL203" s="21">
        <f>EXP(-LN(2)/25)*CL202+(1-EXP(-LN(2)/25))/(LN(2)/25)*Calculateur!CG203*Calculateur!CI203*VLOOKUP('Données projet'!$B$12,Paramètres!$A$1:$I$89,3,0)*0.475*44/12</f>
        <v>6.63025489740052</v>
      </c>
      <c r="CM203" s="21">
        <f>EXP(-LN(2)/2)*CM202+(1-EXP(-LN(2)/2))/(LN(2)/2)*CG203*CJ203*VLOOKUP('Données projet'!$B$12,Paramètres!$A$1:$I$89,3,0)*0.475*44/12</f>
        <v>1.3339088055317408E-9</v>
      </c>
      <c r="CN203" s="22">
        <f t="shared" si="172"/>
        <v>43.720503599235826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-2.8421709430404007E-13</v>
      </c>
      <c r="CU203" s="17">
        <f>CT203*VLOOKUP('Données projet'!$B$13,Paramètres!$A$1:$I$89,3,0)*VLOOKUP('Données projet'!$B$13,Paramètres!$A$1:$I$89,5,0)</f>
        <v>-2.8376234695315366E-13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525.74725170626471</v>
      </c>
      <c r="CZ203" s="59">
        <f t="shared" si="208"/>
        <v>259.19103598192197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111.26767794974803</v>
      </c>
      <c r="DG203" s="21">
        <f>EXP(-LN(2)/25)*DG202+(1-EXP(-LN(2)/25))/(LN(2)/25)*Calculateur!DB203*Calculateur!DD203*VLOOKUP('Données projet'!$B$13,Paramètres!$A$1:$I$89,3,0)*0.475*44/12</f>
        <v>32.662707612538462</v>
      </c>
      <c r="DH203" s="21">
        <f>EXP(-LN(2)/2)*DH202+(1-EXP(-LN(2)/2))/(LN(2)/2)*DB203*DE203*VLOOKUP('Données projet'!$B$13,Paramètres!$A$1:$I$89,3,0)*0.475*44/12</f>
        <v>0.30185048157003785</v>
      </c>
      <c r="DI203" s="22">
        <f t="shared" si="175"/>
        <v>144.23223604385652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5.4001247917767614E-13</v>
      </c>
      <c r="DP203" s="17">
        <f>DO203*VLOOKUP('Données projet'!$B$14,Paramètres!$A$1:$I$89,3,0)*VLOOKUP('Données projet'!$B$14,Paramètres!$A$1:$I$89,5,0)</f>
        <v>4.8860329115996133E-13</v>
      </c>
      <c r="DQ203" s="13">
        <f t="shared" si="176"/>
        <v>6.1025862939685007E-12</v>
      </c>
      <c r="DR203" s="20">
        <f t="shared" si="177"/>
        <v>1.1479655194098737E-11</v>
      </c>
      <c r="DS203" s="59">
        <f t="shared" si="197"/>
        <v>293.3333333333448</v>
      </c>
      <c r="DT203" s="59">
        <f ca="1">AVERAGE(OFFSET($DS$3,0,0,'Données projet'!$E$14+1,1))-AVERAGE(OFFSET($H$3,0,0,'Données projet'!$E$14+1,1))</f>
        <v>490.06222615476065</v>
      </c>
      <c r="DU203" s="59">
        <f t="shared" si="209"/>
        <v>310.43914804089906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51.917040760167097</v>
      </c>
      <c r="EB203" s="21">
        <f>EXP(-LN(2)/25)*EB202+(1-EXP(-LN(2)/25))/(LN(2)/25)*Calculateur!DW203*Calculateur!DY203*VLOOKUP('Données projet'!$B$14,Paramètres!$A$1:$I$89,3,0)*0.475*44/12</f>
        <v>6.7544854017643017</v>
      </c>
      <c r="EC203" s="21">
        <f>EXP(-LN(2)/2)*EC202+(1-EXP(-LN(2)/2))/(LN(2)/2)*DW203*DZ203*VLOOKUP('Données projet'!$B$14,Paramètres!$A$1:$I$89,3,0)*0.475*44/12</f>
        <v>9.2245576161903945E-6</v>
      </c>
      <c r="ED203" s="22">
        <f t="shared" si="178"/>
        <v>58.671535386489012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-2.8421709430404007E-13</v>
      </c>
      <c r="EK203" s="17">
        <f>EJ203*VLOOKUP('Données projet'!$B$15,Paramètres!$A$1:$I$89,3,0)*VLOOKUP('Données projet'!$B$15,Paramètres!$A$1:$I$89,5,0)</f>
        <v>-2.8819613362429665E-13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533.26035274112917</v>
      </c>
      <c r="EP203" s="59">
        <f t="shared" si="210"/>
        <v>262.58149402282521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113.00623541771284</v>
      </c>
      <c r="EW203" s="21">
        <f>EXP(-LN(2)/25)*EW202+(1-EXP(-LN(2)/25))/(LN(2)/25)*Calculateur!ER203*Calculateur!ET203*VLOOKUP('Données projet'!$B$15,Paramètres!$A$1:$I$89,3,0)*0.475*44/12</f>
        <v>33.173062418984365</v>
      </c>
      <c r="EX203" s="21">
        <f>EXP(-LN(2)/2)*EX202+(1-EXP(-LN(2)/2))/(LN(2)/2)*ER203*EU203*VLOOKUP('Données projet'!$B$15,Paramètres!$A$1:$I$89,3,0)*0.475*44/12</f>
        <v>0.30656689534456982</v>
      </c>
      <c r="EY203" s="22">
        <f t="shared" si="181"/>
        <v>146.48586473204176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239.26156489359892</v>
      </c>
      <c r="FK203" s="59">
        <f t="shared" si="211"/>
        <v>213.97034450798111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1.2243187225686851</v>
      </c>
      <c r="FR203" s="21">
        <f>EXP(-LN(2)/25)*FR202+(1-EXP(-LN(2)/25))/(LN(2)/25)*Calculateur!FM203*Calculateur!FO203*VLOOKUP('Données projet'!$B$16,Paramètres!$A$1:$I$89,3,0)*0.475*44/12</f>
        <v>3.0249408853771285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4.2492596079458131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1.141469227569226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1.2474449991725556</v>
      </c>
      <c r="BA205" s="82">
        <f>EXP(LN('Données projet'!B88)/'Données projet'!A88)</f>
        <v>1.3275965341357465</v>
      </c>
      <c r="BV205" s="82">
        <f>EXP(LN('Données projet'!B114)/'Données projet'!A114)</f>
        <v>1.1244566645013536</v>
      </c>
      <c r="CQ205" s="82">
        <f>EXP(LN('Données projet'!B140)/'Données projet'!A140)</f>
        <v>1.0924684246274448</v>
      </c>
      <c r="DL205" s="82">
        <f>EXP(LN('Données projet'!B166)/'Données projet'!A166)</f>
        <v>1.1281922301282807</v>
      </c>
      <c r="EG205" s="82">
        <f>EXP(LN('Données projet'!B192)/'Données projet'!A192)</f>
        <v>1.0924684246274448</v>
      </c>
      <c r="FB205" s="82">
        <f>EXP(LN('Données projet'!B218)/'Données projet'!A218)</f>
        <v>1.2770702581475548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80" zoomScaleNormal="90" workbookViewId="0">
      <selection activeCell="N21" sqref="N21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Charme</v>
      </c>
      <c r="B6" s="146">
        <f>'Données projet'!D9</f>
        <v>0.61799999999999999</v>
      </c>
      <c r="C6" s="147">
        <f ca="1">IF(OR('Données projet'!B9="",'Données projet'!C9="",'Données projet'!C9=0%),0,Calculateur!S3)</f>
        <v>449.28947235329758</v>
      </c>
      <c r="D6" s="147">
        <f>IF(OR('Données projet'!B9="",'Données projet'!C9="",'Données projet'!C9=0%),0,Calculateur!T3)</f>
        <v>289.36994109443964</v>
      </c>
      <c r="E6" s="147">
        <f ca="1">MIN(C6,D6)</f>
        <v>289.36994109443964</v>
      </c>
      <c r="F6" s="147">
        <f ca="1">E6*B6</f>
        <v>178.83062359636369</v>
      </c>
      <c r="G6" s="147">
        <f ca="1">F6*(100%-'Données projet'!$C$24)*(100%-'Données projet'!$C$25)*(100%-'Données projet'!$C$26)*(100%-'Données projet'!$C$27)</f>
        <v>144.85280511305459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144.85280511305459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Pin laricio</v>
      </c>
      <c r="B7" s="154">
        <f>'Données projet'!D10</f>
        <v>1.6480000000000001</v>
      </c>
      <c r="C7" s="147">
        <f ca="1">IF(OR('Données projet'!B10="",'Données projet'!C10="",'Données projet'!C10=0%),0,Calculateur!AN3)</f>
        <v>349.71285006949597</v>
      </c>
      <c r="D7" s="147">
        <f>IF(OR('Données projet'!B10="",'Données projet'!C10="",'Données projet'!C10=0%),0,Calculateur!AO3)</f>
        <v>258.51550516456842</v>
      </c>
      <c r="E7" s="147">
        <f t="shared" ref="E7:E15" ca="1" si="0">MIN(C7,D7)</f>
        <v>258.51550516456842</v>
      </c>
      <c r="F7" s="147">
        <f t="shared" ref="F7:F15" ca="1" si="1">E7*B7</f>
        <v>426.03355251120882</v>
      </c>
      <c r="G7" s="147">
        <f ca="1">F7*(100%-'Données projet'!$C$24)*(100%-'Données projet'!$C$25)*(100%-'Données projet'!$C$26)*(100%-'Données projet'!$C$27)</f>
        <v>345.08717753407916</v>
      </c>
      <c r="H7" s="155">
        <f>IF(OR('Données projet'!B10="",'Données projet'!C10="",'Données projet'!C10=0%),0,AVERAGE(Calculateur!$AX$3:$AX$33)*B7)</f>
        <v>10.445025649446141</v>
      </c>
      <c r="I7" s="149">
        <f>H7*(100%-'Données projet'!$C$24)*(100%-'Données projet'!$C$25)*(100%-'Données projet'!$C$26)*(100%-'Données projet'!$C$27)</f>
        <v>8.4604707760513751</v>
      </c>
      <c r="J7" s="150">
        <f>IF(OR('Données projet'!B10="",'Données projet'!C10="",'Données projet'!C10=0%),0,SUM(Calculateur!$AQ$3:$AQ$33)*VLOOKUP('Données projet'!$B$10,Paramètres!$A$1:$I$89,9,0)*B7)</f>
        <v>64.167351999999994</v>
      </c>
      <c r="K7" s="151">
        <f>J7*(100%-'Données projet'!$C$24)*(100%-'Données projet'!$C$25)*(100%-'Données projet'!$C$26)*(100%-'Données projet'!$C$27)</f>
        <v>51.975555119999996</v>
      </c>
      <c r="L7" s="152">
        <f t="shared" ref="L7:L15" ca="1" si="2">G7+I7+K7</f>
        <v>405.52320343013048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Pin maritime</v>
      </c>
      <c r="B8" s="154">
        <f>'Données projet'!D11</f>
        <v>1.6480000000000001</v>
      </c>
      <c r="C8" s="147">
        <f ca="1">IF(OR('Données projet'!B11="",'Données projet'!C11="",'Données projet'!C11=0%),0,Calculateur!BI3)</f>
        <v>302.00825291248458</v>
      </c>
      <c r="D8" s="147">
        <f>IF(OR('Données projet'!B11="",'Données projet'!C11="",'Données projet'!C11=0%),0,Calculateur!BJ3)</f>
        <v>307.35115839449355</v>
      </c>
      <c r="E8" s="147">
        <f t="shared" ca="1" si="0"/>
        <v>302.00825291248458</v>
      </c>
      <c r="F8" s="147">
        <f t="shared" ca="1" si="1"/>
        <v>497.70960079977465</v>
      </c>
      <c r="G8" s="147">
        <f ca="1">F8*(100%-'Données projet'!$C$24)*(100%-'Données projet'!$C$25)*(100%-'Données projet'!$C$26)*(100%-'Données projet'!$C$27)</f>
        <v>403.14477664781748</v>
      </c>
      <c r="H8" s="155">
        <f>IF(OR('Données projet'!B11="",'Données projet'!C11="",'Données projet'!C11=0%),0,AVERAGE(Calculateur!$BS$3:$BS$33)*B8)</f>
        <v>17.008910667029213</v>
      </c>
      <c r="I8" s="149">
        <f>H8*(100%-'Données projet'!$C$24)*(100%-'Données projet'!$C$25)*(100%-'Données projet'!$C$26)*(100%-'Données projet'!$C$27)</f>
        <v>13.777217640293662</v>
      </c>
      <c r="J8" s="150">
        <f>IF(OR('Données projet'!B11="",'Données projet'!C11="",'Données projet'!C11=0%),0,SUM(Calculateur!$BL$3:$BL$33)*VLOOKUP('Données projet'!$B$11,Paramètres!$A$1:$I$89,9,0)*B8)</f>
        <v>150.24288639999997</v>
      </c>
      <c r="K8" s="151">
        <f>J8*(100%-'Données projet'!$C$24)*(100%-'Données projet'!$C$25)*(100%-'Données projet'!$C$26)*(100%-'Données projet'!$C$27)</f>
        <v>121.69673798399999</v>
      </c>
      <c r="L8" s="152">
        <f t="shared" ca="1" si="2"/>
        <v>538.61873227211117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Cèdre de l'Atlas</v>
      </c>
      <c r="B9" s="154">
        <f>'Données projet'!D12</f>
        <v>0.82400000000000007</v>
      </c>
      <c r="C9" s="147">
        <f ca="1">IF(OR('Données projet'!B12="",'Données projet'!C12="",'Données projet'!C12=0%),0,Calculateur!CD3)</f>
        <v>337.10499990421835</v>
      </c>
      <c r="D9" s="147">
        <f>IF(OR('Données projet'!B12="",'Données projet'!C12="",'Données projet'!C12=0%),0,Calculateur!CE3)</f>
        <v>277.4254079562175</v>
      </c>
      <c r="E9" s="147">
        <f t="shared" ca="1" si="0"/>
        <v>277.4254079562175</v>
      </c>
      <c r="F9" s="147">
        <f t="shared" ca="1" si="1"/>
        <v>228.59853615592323</v>
      </c>
      <c r="G9" s="147">
        <f ca="1">F9*(100%-'Données projet'!$C$24)*(100%-'Données projet'!$C$25)*(100%-'Données projet'!$C$26)*(100%-'Données projet'!$C$27)</f>
        <v>185.16481428629783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185.16481428629783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Chêne tauzin</v>
      </c>
      <c r="B10" s="154">
        <f>'Données projet'!D13</f>
        <v>1.236</v>
      </c>
      <c r="C10" s="147">
        <f ca="1">IF(OR('Données projet'!B13="",'Données projet'!C13="",'Données projet'!C13=0%),0,Calculateur!CY3)</f>
        <v>525.74725170626471</v>
      </c>
      <c r="D10" s="147">
        <f>IF(OR('Données projet'!B13="",'Données projet'!C13="",'Données projet'!C13=0%),0,Calculateur!CZ3)</f>
        <v>259.19103598192197</v>
      </c>
      <c r="E10" s="147">
        <f t="shared" ca="1" si="0"/>
        <v>259.19103598192197</v>
      </c>
      <c r="F10" s="147">
        <f t="shared" ca="1" si="1"/>
        <v>320.36012047365557</v>
      </c>
      <c r="G10" s="147">
        <f ca="1">F10*(100%-'Données projet'!$C$24)*(100%-'Données projet'!$C$25)*(100%-'Données projet'!$C$26)*(100%-'Données projet'!$C$27)</f>
        <v>259.49169758366105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259.49169758366105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>Chêne sessile</v>
      </c>
      <c r="B11" s="154">
        <f>'Données projet'!D14</f>
        <v>1.5450000000000002</v>
      </c>
      <c r="C11" s="147">
        <f ca="1">IF(OR('Données projet'!B14="",'Données projet'!C14="",'Données projet'!C14=0%),0,Calculateur!DT3)</f>
        <v>490.06222615476065</v>
      </c>
      <c r="D11" s="147">
        <f>IF(OR('Données projet'!B14="",'Données projet'!C14="",'Données projet'!C14=0%),0,Calculateur!DU3)</f>
        <v>310.43914804089906</v>
      </c>
      <c r="E11" s="147">
        <f t="shared" ca="1" si="0"/>
        <v>310.43914804089906</v>
      </c>
      <c r="F11" s="147">
        <f t="shared" ca="1" si="1"/>
        <v>479.62848372318911</v>
      </c>
      <c r="G11" s="147">
        <f ca="1">F11*(100%-'Données projet'!$C$24)*(100%-'Données projet'!$C$25)*(100%-'Données projet'!$C$26)*(100%-'Données projet'!$C$27)</f>
        <v>388.49907181578322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388.49907181578322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>Chêne pubescent</v>
      </c>
      <c r="B12" s="154">
        <f>'Données projet'!D15</f>
        <v>1.5450000000000002</v>
      </c>
      <c r="C12" s="147">
        <f ca="1">IF(OR('Données projet'!B15="",'Données projet'!C15="",'Données projet'!C15=0%),0,Calculateur!EO3)</f>
        <v>533.26035274112917</v>
      </c>
      <c r="D12" s="147">
        <f>IF(OR('Données projet'!B15="",'Données projet'!C15="",'Données projet'!C15=0%),0,Calculateur!EP3)</f>
        <v>262.58149402282521</v>
      </c>
      <c r="E12" s="147">
        <f t="shared" ca="1" si="0"/>
        <v>262.58149402282521</v>
      </c>
      <c r="F12" s="147">
        <f t="shared" ca="1" si="1"/>
        <v>405.68840826526497</v>
      </c>
      <c r="G12" s="147">
        <f ca="1">F12*(100%-'Données projet'!$C$24)*(100%-'Données projet'!$C$25)*(100%-'Données projet'!$C$26)*(100%-'Données projet'!$C$27)</f>
        <v>328.60761069486466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328.60761069486466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>Chêne chevelu</v>
      </c>
      <c r="B13" s="154">
        <f>'Données projet'!D16</f>
        <v>1.236</v>
      </c>
      <c r="C13" s="147">
        <f ca="1">IF(OR('Données projet'!B16="",'Données projet'!C16="",'Données projet'!C16=0%),0,Calculateur!FJ3)</f>
        <v>239.26156489359892</v>
      </c>
      <c r="D13" s="147">
        <f>IF(OR('Données projet'!B16="",'Données projet'!C16="",'Données projet'!C16=0%),0,Calculateur!FK3)</f>
        <v>213.97034450798111</v>
      </c>
      <c r="E13" s="147">
        <f t="shared" ca="1" si="0"/>
        <v>213.97034450798111</v>
      </c>
      <c r="F13" s="147">
        <f t="shared" ca="1" si="1"/>
        <v>264.46734581186467</v>
      </c>
      <c r="G13" s="147">
        <f ca="1">F13*(100%-'Données projet'!$C$24)*(100%-'Données projet'!$C$25)*(100%-'Données projet'!$C$26)*(100%-'Données projet'!$C$27)</f>
        <v>214.21855010761038</v>
      </c>
      <c r="H13" s="155">
        <f>IF(OR('Données projet'!B16="",'Données projet'!C16="",'Données projet'!C16=0%),0,AVERAGE(Calculateur!$FT$3:$FT$33)*B13)</f>
        <v>2.5629301251524903</v>
      </c>
      <c r="I13" s="149">
        <f>H13*(100%-'Données projet'!$C$24)*(100%-'Données projet'!$C$25)*(100%-'Données projet'!$C$26)*(100%-'Données projet'!$C$27)</f>
        <v>2.0759734013735169</v>
      </c>
      <c r="J13" s="150">
        <f>IF(OR('Données projet'!C16="",'Données projet'!C16=0%),0,SUM(Calculateur!$FM$3:$FM$33)*VLOOKUP('Données projet'!$B$16,Paramètres!$A$1:$I$89,9,0)*B13)</f>
        <v>13.469230769230768</v>
      </c>
      <c r="K13" s="151">
        <f>J13*(100%-'Données projet'!$C$24)*(100%-'Données projet'!$C$25)*(100%-'Données projet'!$C$26)*(100%-'Données projet'!$C$27)</f>
        <v>10.910076923076922</v>
      </c>
      <c r="L13" s="152">
        <f t="shared" ca="1" si="2"/>
        <v>227.20460043206083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2801.3166713372448</v>
      </c>
      <c r="G16" s="166">
        <f t="shared" ca="1" si="3"/>
        <v>2269.0665037831686</v>
      </c>
      <c r="H16" s="167">
        <f t="shared" si="3"/>
        <v>30.016866441627844</v>
      </c>
      <c r="I16" s="167">
        <f t="shared" si="3"/>
        <v>24.313661817718554</v>
      </c>
      <c r="J16" s="168">
        <f t="shared" si="3"/>
        <v>227.87946916923073</v>
      </c>
      <c r="K16" s="168">
        <f t="shared" si="3"/>
        <v>184.58237002707693</v>
      </c>
      <c r="L16" s="169">
        <f t="shared" ca="1" si="3"/>
        <v>2477.9625356279639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Charme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Pin maritime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Chêne tauzin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>Chêne sessile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>Chêne pubescent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>Chêne chevelu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3" zoomScale="80" zoomScaleNormal="80" workbookViewId="0">
      <selection activeCell="J22" sqref="J22:J24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Charme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587.02998228720696</v>
      </c>
      <c r="U10" s="178">
        <f>'Données projet'!D9</f>
        <v>0.61799999999999999</v>
      </c>
      <c r="V10" s="177">
        <f>U10*T10</f>
        <v>362.78452905349388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1690.0873167333414</v>
      </c>
      <c r="U11" s="178">
        <f>'Données projet'!D10</f>
        <v>1.6480000000000001</v>
      </c>
      <c r="V11" s="177">
        <f t="shared" ref="V11" si="0">U11*T11</f>
        <v>2785.263897976547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maritime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2862.2016880351312</v>
      </c>
      <c r="U12" s="178">
        <f>'Données projet'!D11</f>
        <v>1.6480000000000001</v>
      </c>
      <c r="V12" s="177">
        <f t="shared" ref="V12:V19" si="1">U12*T12</f>
        <v>4716.9083818818963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768.55525998348867</v>
      </c>
      <c r="U13" s="178">
        <f>'Données projet'!D12</f>
        <v>0.82400000000000007</v>
      </c>
      <c r="V13" s="177">
        <f t="shared" si="1"/>
        <v>633.28953422639472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Charme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tauzin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142.2901817688616</v>
      </c>
      <c r="U14" s="178">
        <f>'Données projet'!D13</f>
        <v>1.236</v>
      </c>
      <c r="V14" s="177">
        <f t="shared" si="1"/>
        <v>175.87066466631293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sessile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907.94414079398314</v>
      </c>
      <c r="U15" s="178">
        <f>'Données projet'!D14</f>
        <v>1.5450000000000002</v>
      </c>
      <c r="V15" s="177">
        <f t="shared" si="1"/>
        <v>1402.7736975267042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>Chêne pubescent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144.19154731214493</v>
      </c>
      <c r="U16" s="178">
        <f>'Données projet'!D15</f>
        <v>1.5450000000000002</v>
      </c>
      <c r="V16" s="177">
        <f t="shared" si="1"/>
        <v>222.77594059726394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Chêne chevelu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319.85477693695907</v>
      </c>
      <c r="U17" s="178">
        <f>'Données projet'!D16</f>
        <v>1.236</v>
      </c>
      <c r="V17" s="177">
        <f t="shared" si="1"/>
        <v>395.34050429408143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(94003-46350)/'Données projet'!C5</f>
        <v>4626.5048543689318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46350/5/'Données projet'!C$5</f>
        <v>899.99999999999989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46350/5/'Données projet'!C$5</f>
        <v>899.99999999999989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38</v>
      </c>
      <c r="B23" s="181">
        <f>'Données projet'!D36</f>
        <v>71.569999999999993</v>
      </c>
      <c r="C23" s="193">
        <v>13.1625</v>
      </c>
      <c r="D23" s="182">
        <f>B23*C23</f>
        <v>942.04012499999988</v>
      </c>
      <c r="E23" s="193">
        <v>60</v>
      </c>
      <c r="F23" s="230"/>
      <c r="H23" s="190">
        <v>5</v>
      </c>
      <c r="I23" s="191">
        <f>46350/5/'Données projet'!C$5</f>
        <v>899.99999999999989</v>
      </c>
      <c r="J23" s="304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-58956.757156197214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45</v>
      </c>
      <c r="B24" s="181">
        <f>'Données projet'!D37</f>
        <v>41.69</v>
      </c>
      <c r="C24" s="193">
        <v>13.1625</v>
      </c>
      <c r="D24" s="182">
        <f t="shared" ref="D24:D42" si="2">B24*C24</f>
        <v>548.74462499999993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26744.595239222428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52</v>
      </c>
      <c r="B25" s="181">
        <f>'Données projet'!D38</f>
        <v>44.400000000000006</v>
      </c>
      <c r="C25" s="193">
        <v>21.206250000000001</v>
      </c>
      <c r="D25" s="182">
        <f t="shared" si="2"/>
        <v>941.55750000000012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120</v>
      </c>
      <c r="Q25" s="234"/>
      <c r="R25" s="23"/>
      <c r="S25" s="186" t="s">
        <v>266</v>
      </c>
      <c r="T25" s="303">
        <f ca="1">T23-T24</f>
        <v>-85701.352395419643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59</v>
      </c>
      <c r="B26" s="181">
        <f>'Données projet'!D39</f>
        <v>41.81</v>
      </c>
      <c r="C26" s="193">
        <v>21.206250000000001</v>
      </c>
      <c r="D26" s="182">
        <f t="shared" si="2"/>
        <v>886.6333125000001</v>
      </c>
      <c r="E26" s="193">
        <v>60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67</v>
      </c>
      <c r="B27" s="181">
        <f>'Données projet'!D40</f>
        <v>42.550000000000011</v>
      </c>
      <c r="C27" s="193">
        <v>21.206250000000001</v>
      </c>
      <c r="D27" s="182">
        <f t="shared" si="2"/>
        <v>902.32593750000024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75</v>
      </c>
      <c r="B28" s="181">
        <f>'Données projet'!D41</f>
        <v>43.519999999999982</v>
      </c>
      <c r="C28" s="193">
        <v>21.206250000000001</v>
      </c>
      <c r="D28" s="182">
        <f t="shared" si="2"/>
        <v>922.89599999999962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83</v>
      </c>
      <c r="B29" s="181">
        <f>'Données projet'!D42</f>
        <v>49.980000000000018</v>
      </c>
      <c r="C29" s="193">
        <v>21.206250000000001</v>
      </c>
      <c r="D29" s="182">
        <f t="shared" si="2"/>
        <v>1059.8883750000005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93</v>
      </c>
      <c r="B30" s="181">
        <f>'Données projet'!D43</f>
        <v>67.45999999999998</v>
      </c>
      <c r="C30" s="193">
        <v>24.862500000000001</v>
      </c>
      <c r="D30" s="182">
        <f t="shared" si="2"/>
        <v>1677.2242499999995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2596.5626445847015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103</v>
      </c>
      <c r="B31" s="181">
        <f>'Données projet'!D44</f>
        <v>67.759999999999991</v>
      </c>
      <c r="C31" s="193">
        <v>24.862500000000001</v>
      </c>
      <c r="D31" s="182">
        <f t="shared" si="2"/>
        <v>1684.6829999999998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113</v>
      </c>
      <c r="B32" s="181">
        <f>'Données projet'!D45</f>
        <v>68.670000000000016</v>
      </c>
      <c r="C32" s="193">
        <v>24.862500000000001</v>
      </c>
      <c r="D32" s="182">
        <f t="shared" si="2"/>
        <v>1707.3078750000004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123</v>
      </c>
      <c r="B33" s="181">
        <f>'Données projet'!D46</f>
        <v>203.78999999999996</v>
      </c>
      <c r="C33" s="193">
        <v>26.690625000000001</v>
      </c>
      <c r="D33" s="182">
        <f t="shared" si="2"/>
        <v>5439.2824687499988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120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125</v>
      </c>
      <c r="B34" s="181">
        <f>'Données projet'!D47</f>
        <v>70.609999999999985</v>
      </c>
      <c r="C34" s="193">
        <v>26.690625000000001</v>
      </c>
      <c r="D34" s="182">
        <f t="shared" si="2"/>
        <v>1884.6250312499997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114.83253588516747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127</v>
      </c>
      <c r="B35" s="181">
        <f>'Données projet'!D48</f>
        <v>46.039999999999992</v>
      </c>
      <c r="C35" s="193">
        <v>26.690625000000001</v>
      </c>
      <c r="D35" s="182">
        <f t="shared" si="2"/>
        <v>1228.8363749999999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109.88759414848563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130</v>
      </c>
      <c r="B36" s="181">
        <f>'Données projet'!D49</f>
        <v>112.75</v>
      </c>
      <c r="C36" s="193">
        <v>26.690625000000001</v>
      </c>
      <c r="D36" s="182">
        <f t="shared" si="2"/>
        <v>3009.3679687500003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105.15559248658911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100.62736123118579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96.294125580082095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92.147488593380018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88.179414921894747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84.382215236262937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80.748531326567416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77.271321843605193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73.943848654167653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70.759663783892506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67.71259692238516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64.796743466397302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62.006453077892154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59.336318734825049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56.781166253421098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54.336044261646997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51.996214604446891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49.757143162150143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22</v>
      </c>
      <c r="B54" s="181">
        <f>'Données projet'!D62</f>
        <v>52.620000000000005</v>
      </c>
      <c r="C54" s="191">
        <v>12.796874999999998</v>
      </c>
      <c r="D54" s="179">
        <f>B54*C54</f>
        <v>673.37156249999998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47.614491064258509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27</v>
      </c>
      <c r="B55" s="181">
        <f>'Données projet'!D63</f>
        <v>37.929999999999993</v>
      </c>
      <c r="C55" s="191">
        <v>12.796874999999998</v>
      </c>
      <c r="D55" s="179">
        <f t="shared" ref="D55:D73" si="4">B55*C55</f>
        <v>485.38546874999986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45.564106281587101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33</v>
      </c>
      <c r="B56" s="181">
        <f>'Données projet'!D64</f>
        <v>50.460000000000008</v>
      </c>
      <c r="C56" s="191">
        <v>12.796874999999998</v>
      </c>
      <c r="D56" s="179">
        <f t="shared" si="4"/>
        <v>645.73031249999997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43.602015580466123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41</v>
      </c>
      <c r="B57" s="181">
        <f>'Données projet'!D65</f>
        <v>72.16</v>
      </c>
      <c r="C57" s="191">
        <v>28.079999999999995</v>
      </c>
      <c r="D57" s="179">
        <f t="shared" si="4"/>
        <v>2026.2527999999995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41.724416823412568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50</v>
      </c>
      <c r="B58" s="181">
        <f>'Données projet'!D66</f>
        <v>70.20999999999998</v>
      </c>
      <c r="C58" s="191">
        <v>28.079999999999995</v>
      </c>
      <c r="D58" s="179">
        <f t="shared" si="4"/>
        <v>1971.496799999999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39.92767160135174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60</v>
      </c>
      <c r="B59" s="181">
        <f>'Données projet'!D67</f>
        <v>69.839999999999975</v>
      </c>
      <c r="C59" s="191">
        <v>28.079999999999995</v>
      </c>
      <c r="D59" s="179">
        <f t="shared" si="4"/>
        <v>1961.107199999999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38.208298183111729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70</v>
      </c>
      <c r="B60" s="181">
        <f>'Données projet'!D68</f>
        <v>67.88</v>
      </c>
      <c r="C60" s="191">
        <v>28.079999999999995</v>
      </c>
      <c r="D60" s="179">
        <f t="shared" si="4"/>
        <v>1906.0703999999996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36.562964768527969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80</v>
      </c>
      <c r="B61" s="181">
        <f>'Données projet'!D69</f>
        <v>520.03</v>
      </c>
      <c r="C61" s="191">
        <v>36.855000000000004</v>
      </c>
      <c r="D61" s="179">
        <f t="shared" si="4"/>
        <v>19165.70565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34.98848303208419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33.481801944578166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32.040001860840363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30.660288862048187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29.339989341672922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28.076544824567392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26.867507009155403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25.710533023115218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24.603380883363851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23.543905151544354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22.530052776597472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21.559859116361217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20.631444130489207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19.743008737310252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18.89283132756962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Pin maritime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18.079264428296288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17.300731510331378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16.555723933331461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15.842798022326761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15.160572270169148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14.507724660448952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13.882990105692777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13.285157995878258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12.71306985251508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17</v>
      </c>
      <c r="B85" s="181">
        <f>'Données projet'!D88</f>
        <v>41.179999999999993</v>
      </c>
      <c r="C85" s="191">
        <v>8</v>
      </c>
      <c r="D85" s="179">
        <f>B85*C85</f>
        <v>329.43999999999994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12.16561708374649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23</v>
      </c>
      <c r="B86" s="181">
        <f>'Données projet'!D89</f>
        <v>58.370000000000005</v>
      </c>
      <c r="C86" s="191">
        <v>12.431249999999999</v>
      </c>
      <c r="D86" s="179">
        <f t="shared" ref="D86:D104" si="6">B86*C86</f>
        <v>725.61206249999998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11.641738836121043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29</v>
      </c>
      <c r="B87" s="181">
        <f>'Données projet'!D90</f>
        <v>54.97</v>
      </c>
      <c r="C87" s="191">
        <v>31.297499999999999</v>
      </c>
      <c r="D87" s="179">
        <f t="shared" si="6"/>
        <v>1720.423575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11.140419938871815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36</v>
      </c>
      <c r="B88" s="181">
        <f>'Données projet'!D91</f>
        <v>76.509999999999991</v>
      </c>
      <c r="C88" s="191">
        <v>31.297499999999999</v>
      </c>
      <c r="D88" s="179">
        <f t="shared" si="6"/>
        <v>2394.5717249999998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10.660688936719438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44</v>
      </c>
      <c r="B89" s="181">
        <f>'Données projet'!D92</f>
        <v>78.240000000000009</v>
      </c>
      <c r="C89" s="191">
        <v>31.297499999999999</v>
      </c>
      <c r="D89" s="179">
        <f t="shared" si="6"/>
        <v>2448.7164000000002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10.201616207387026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52</v>
      </c>
      <c r="B90" s="181">
        <f>'Données projet'!D93</f>
        <v>75.70999999999998</v>
      </c>
      <c r="C90" s="191">
        <v>31.297499999999999</v>
      </c>
      <c r="D90" s="179">
        <f t="shared" si="6"/>
        <v>2369.5337249999993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9.7623121601789737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60</v>
      </c>
      <c r="B91" s="181">
        <f>'Données projet'!D94</f>
        <v>437.74</v>
      </c>
      <c r="C91" s="191">
        <v>31.297499999999999</v>
      </c>
      <c r="D91" s="179">
        <f t="shared" si="6"/>
        <v>13700.167649999999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9.3419255121329901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8.9396416384047761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8.5546809936887822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51</v>
      </c>
      <c r="B116" s="181">
        <f>'Données projet'!D114</f>
        <v>173.97000000000003</v>
      </c>
      <c r="C116" s="191">
        <v>12.796874999999998</v>
      </c>
      <c r="D116" s="179">
        <f>B116*C116</f>
        <v>2226.2723437499999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61</v>
      </c>
      <c r="B117" s="181">
        <f>'Données projet'!D115</f>
        <v>101.36000000000001</v>
      </c>
      <c r="C117" s="191">
        <v>30.712499999999999</v>
      </c>
      <c r="D117" s="179">
        <f t="shared" ref="D117:D135" si="8">B117*C117</f>
        <v>3113.0190000000002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73</v>
      </c>
      <c r="B118" s="181">
        <f>'Données projet'!D116</f>
        <v>103.23000000000002</v>
      </c>
      <c r="C118" s="191">
        <v>30.712499999999999</v>
      </c>
      <c r="D118" s="179">
        <f t="shared" si="8"/>
        <v>3170.4513750000006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85</v>
      </c>
      <c r="B119" s="181">
        <f>'Données projet'!D117</f>
        <v>95.720000000000027</v>
      </c>
      <c r="C119" s="191">
        <v>30.712499999999999</v>
      </c>
      <c r="D119" s="179">
        <f t="shared" si="8"/>
        <v>2939.8005000000007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97</v>
      </c>
      <c r="B120" s="181">
        <f>'Données projet'!D118</f>
        <v>90.589999999999975</v>
      </c>
      <c r="C120" s="191">
        <v>30.712499999999999</v>
      </c>
      <c r="D120" s="179">
        <f t="shared" si="8"/>
        <v>2782.2453749999991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109</v>
      </c>
      <c r="B121" s="181">
        <f>'Données projet'!D119</f>
        <v>92.199999999999989</v>
      </c>
      <c r="C121" s="191">
        <v>30.712499999999999</v>
      </c>
      <c r="D121" s="179">
        <f t="shared" si="8"/>
        <v>2831.6924999999997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121</v>
      </c>
      <c r="B122" s="181">
        <f>'Données projet'!D120</f>
        <v>236.89000000000001</v>
      </c>
      <c r="C122" s="191">
        <v>36.855000000000004</v>
      </c>
      <c r="D122" s="179">
        <f t="shared" si="8"/>
        <v>8730.5809500000014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131</v>
      </c>
      <c r="B123" s="181">
        <f>'Données projet'!D121</f>
        <v>298.36</v>
      </c>
      <c r="C123" s="191">
        <v>36.855000000000004</v>
      </c>
      <c r="D123" s="179">
        <f t="shared" si="8"/>
        <v>10996.057800000002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Chêne tauzin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60</v>
      </c>
      <c r="B147" s="175">
        <f>'Données projet'!D140</f>
        <v>72.87</v>
      </c>
      <c r="C147" s="191">
        <v>13.1625</v>
      </c>
      <c r="D147" s="182">
        <f>B147*C147</f>
        <v>959.15137500000003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69</v>
      </c>
      <c r="B148" s="175">
        <f>'Données projet'!D141</f>
        <v>42.22</v>
      </c>
      <c r="C148" s="191">
        <v>13.1625</v>
      </c>
      <c r="D148" s="182">
        <f t="shared" ref="D148:D166" si="10">B148*C148</f>
        <v>555.72074999999995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77</v>
      </c>
      <c r="B149" s="175">
        <f>'Données projet'!D142</f>
        <v>33.950000000000017</v>
      </c>
      <c r="C149" s="191">
        <v>13.1625</v>
      </c>
      <c r="D149" s="182">
        <f t="shared" si="10"/>
        <v>446.86687500000022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86</v>
      </c>
      <c r="B150" s="175">
        <f>'Données projet'!D143</f>
        <v>37.54000000000002</v>
      </c>
      <c r="C150" s="191">
        <v>13.1625</v>
      </c>
      <c r="D150" s="182">
        <f t="shared" si="10"/>
        <v>494.12025000000028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95</v>
      </c>
      <c r="B151" s="175">
        <f>'Données projet'!D144</f>
        <v>42.199999999999989</v>
      </c>
      <c r="C151" s="191">
        <v>13.1625</v>
      </c>
      <c r="D151" s="182">
        <f t="shared" si="10"/>
        <v>555.45749999999987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104</v>
      </c>
      <c r="B152" s="175">
        <f>'Données projet'!D145</f>
        <v>39.400000000000006</v>
      </c>
      <c r="C152" s="191">
        <v>13.1625</v>
      </c>
      <c r="D152" s="182">
        <f t="shared" si="10"/>
        <v>518.60250000000008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113</v>
      </c>
      <c r="B153" s="175">
        <f>'Données projet'!D146</f>
        <v>41.639999999999986</v>
      </c>
      <c r="C153" s="191">
        <v>13.1625</v>
      </c>
      <c r="D153" s="182">
        <f t="shared" si="10"/>
        <v>548.08649999999977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122</v>
      </c>
      <c r="B154" s="175">
        <f>'Données projet'!D147</f>
        <v>45.829999999999984</v>
      </c>
      <c r="C154" s="191">
        <v>13.1625</v>
      </c>
      <c r="D154" s="182">
        <f t="shared" si="10"/>
        <v>603.23737499999982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132</v>
      </c>
      <c r="B155" s="175">
        <f>'Données projet'!D148</f>
        <v>48.699999999999989</v>
      </c>
      <c r="C155" s="191">
        <v>13.1625</v>
      </c>
      <c r="D155" s="182">
        <f t="shared" si="10"/>
        <v>641.01374999999985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144</v>
      </c>
      <c r="B156" s="175">
        <f>'Données projet'!D149</f>
        <v>60.949999999999989</v>
      </c>
      <c r="C156" s="191">
        <v>32.467500000000001</v>
      </c>
      <c r="D156" s="182">
        <f t="shared" si="10"/>
        <v>1978.8941249999998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156</v>
      </c>
      <c r="B157" s="175">
        <f>'Données projet'!D150</f>
        <v>65.69</v>
      </c>
      <c r="C157" s="191">
        <v>32.467500000000001</v>
      </c>
      <c r="D157" s="182">
        <f t="shared" si="10"/>
        <v>2132.7900749999999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168</v>
      </c>
      <c r="B158" s="175">
        <f>'Données projet'!D151</f>
        <v>71.37</v>
      </c>
      <c r="C158" s="191">
        <v>32.467500000000001</v>
      </c>
      <c r="D158" s="182">
        <f t="shared" si="10"/>
        <v>2317.2054750000002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180</v>
      </c>
      <c r="B159" s="175">
        <f>'Données projet'!D152</f>
        <v>175.59000000000003</v>
      </c>
      <c r="C159" s="191">
        <v>32.467500000000001</v>
      </c>
      <c r="D159" s="182">
        <f t="shared" si="10"/>
        <v>5700.9683250000016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184</v>
      </c>
      <c r="B160" s="175">
        <f>'Données projet'!D153</f>
        <v>101.19999999999999</v>
      </c>
      <c r="C160" s="191">
        <v>32.467500000000001</v>
      </c>
      <c r="D160" s="182">
        <f t="shared" si="10"/>
        <v>3285.7109999999998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188</v>
      </c>
      <c r="B161" s="175">
        <f>'Données projet'!D154</f>
        <v>72.180000000000007</v>
      </c>
      <c r="C161" s="191">
        <v>32.467500000000001</v>
      </c>
      <c r="D161" s="182">
        <f t="shared" si="10"/>
        <v>2343.5041500000002</v>
      </c>
      <c r="E161" s="193">
        <v>60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191</v>
      </c>
      <c r="B162" s="175">
        <f>'Données projet'!D155</f>
        <v>145.01</v>
      </c>
      <c r="C162" s="191">
        <v>32.467500000000001</v>
      </c>
      <c r="D162" s="182">
        <f t="shared" si="10"/>
        <v>4708.1121750000002</v>
      </c>
      <c r="E162" s="193">
        <v>60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>Chêne sessile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44</v>
      </c>
      <c r="B178" s="181">
        <f>'Données projet'!D166</f>
        <v>76.680000000000007</v>
      </c>
      <c r="C178" s="193">
        <v>14.625000000000002</v>
      </c>
      <c r="D178" s="179">
        <f>B178*C178</f>
        <v>1121.4450000000002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51</v>
      </c>
      <c r="B179" s="181">
        <f>'Données projet'!D167</f>
        <v>48.769999999999982</v>
      </c>
      <c r="C179" s="193">
        <v>14.625000000000002</v>
      </c>
      <c r="D179" s="179">
        <f t="shared" ref="D179:D197" si="11">B179*C179</f>
        <v>713.26124999999979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59</v>
      </c>
      <c r="B180" s="181">
        <f>'Données projet'!D168</f>
        <v>52.75</v>
      </c>
      <c r="C180" s="193">
        <v>47.069099999999999</v>
      </c>
      <c r="D180" s="179">
        <f t="shared" si="11"/>
        <v>2482.8950249999998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67</v>
      </c>
      <c r="B181" s="181">
        <f>'Données projet'!D169</f>
        <v>44.170000000000016</v>
      </c>
      <c r="C181" s="193">
        <v>47.069099999999999</v>
      </c>
      <c r="D181" s="179">
        <f t="shared" si="11"/>
        <v>2079.0421470000006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75</v>
      </c>
      <c r="B182" s="181">
        <f>'Données projet'!D170</f>
        <v>43.289999999999992</v>
      </c>
      <c r="C182" s="193">
        <v>47.069099999999999</v>
      </c>
      <c r="D182" s="179">
        <f t="shared" si="11"/>
        <v>2037.6213389999996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84</v>
      </c>
      <c r="B183" s="181">
        <f>'Données projet'!D171</f>
        <v>49.669999999999987</v>
      </c>
      <c r="C183" s="193">
        <v>47.069099999999999</v>
      </c>
      <c r="D183" s="179">
        <f t="shared" si="11"/>
        <v>2337.9221969999994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93</v>
      </c>
      <c r="B184" s="181">
        <f>'Données projet'!D172</f>
        <v>42.910000000000025</v>
      </c>
      <c r="C184" s="193">
        <v>47.069099999999999</v>
      </c>
      <c r="D184" s="179">
        <f t="shared" si="11"/>
        <v>2019.7350810000012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103</v>
      </c>
      <c r="B185" s="181">
        <f>'Données projet'!D173</f>
        <v>56.789999999999964</v>
      </c>
      <c r="C185" s="193">
        <v>47.069099999999999</v>
      </c>
      <c r="D185" s="179">
        <f t="shared" si="11"/>
        <v>2673.0541889999981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113</v>
      </c>
      <c r="B186" s="181">
        <f>'Données projet'!D174</f>
        <v>45.660000000000025</v>
      </c>
      <c r="C186" s="193">
        <v>135.13499999999999</v>
      </c>
      <c r="D186" s="179">
        <f t="shared" si="11"/>
        <v>6170.2641000000031</v>
      </c>
      <c r="E186" s="193">
        <v>60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125</v>
      </c>
      <c r="B187" s="181">
        <f>'Données projet'!D175</f>
        <v>70</v>
      </c>
      <c r="C187" s="193">
        <v>135.13499999999999</v>
      </c>
      <c r="D187" s="179">
        <f t="shared" si="11"/>
        <v>9459.4499999999989</v>
      </c>
      <c r="E187" s="193">
        <v>60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137</v>
      </c>
      <c r="B188" s="181">
        <f>'Données projet'!D176</f>
        <v>74.669999999999959</v>
      </c>
      <c r="C188" s="193">
        <v>135.13499999999999</v>
      </c>
      <c r="D188" s="179">
        <f t="shared" si="11"/>
        <v>10090.530449999993</v>
      </c>
      <c r="E188" s="193">
        <v>60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149</v>
      </c>
      <c r="B189" s="181">
        <f>'Données projet'!D177</f>
        <v>176.67000000000002</v>
      </c>
      <c r="C189" s="193">
        <v>190.06649999999999</v>
      </c>
      <c r="D189" s="179">
        <f t="shared" si="11"/>
        <v>33579.048555000001</v>
      </c>
      <c r="E189" s="193">
        <v>60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153</v>
      </c>
      <c r="B190" s="181">
        <f>'Données projet'!D178</f>
        <v>102.89000000000001</v>
      </c>
      <c r="C190" s="193">
        <v>190.06649999999999</v>
      </c>
      <c r="D190" s="179">
        <f t="shared" si="11"/>
        <v>19555.942185000004</v>
      </c>
      <c r="E190" s="193">
        <v>60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157</v>
      </c>
      <c r="B191" s="181">
        <f>'Données projet'!D179</f>
        <v>67.13000000000001</v>
      </c>
      <c r="C191" s="193">
        <v>190.06649999999999</v>
      </c>
      <c r="D191" s="179">
        <f t="shared" si="11"/>
        <v>12759.164145000001</v>
      </c>
      <c r="E191" s="193">
        <v>60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161</v>
      </c>
      <c r="B192" s="181">
        <f>'Données projet'!D180</f>
        <v>134.26</v>
      </c>
      <c r="C192" s="193">
        <v>190.06649999999999</v>
      </c>
      <c r="D192" s="179">
        <f t="shared" si="11"/>
        <v>25518.328289999998</v>
      </c>
      <c r="E192" s="193">
        <v>60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>Chêne pubescent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60</v>
      </c>
      <c r="B209" s="181">
        <f>'Données projet'!D192</f>
        <v>72.87</v>
      </c>
      <c r="C209" s="193">
        <v>13.1625</v>
      </c>
      <c r="D209" s="179">
        <f>B209*C209</f>
        <v>959.15137500000003</v>
      </c>
      <c r="E209" s="193">
        <v>60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69</v>
      </c>
      <c r="B210" s="181">
        <f>'Données projet'!D193</f>
        <v>42.22</v>
      </c>
      <c r="C210" s="193">
        <v>13.1625</v>
      </c>
      <c r="D210" s="179">
        <f t="shared" ref="D210:D228" si="12">B210*C210</f>
        <v>555.72074999999995</v>
      </c>
      <c r="E210" s="193">
        <v>60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77</v>
      </c>
      <c r="B211" s="181">
        <f>'Données projet'!D194</f>
        <v>33.950000000000017</v>
      </c>
      <c r="C211" s="193">
        <v>13.1625</v>
      </c>
      <c r="D211" s="179">
        <f t="shared" si="12"/>
        <v>446.86687500000022</v>
      </c>
      <c r="E211" s="193">
        <v>60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86</v>
      </c>
      <c r="B212" s="181">
        <f>'Données projet'!D195</f>
        <v>37.54000000000002</v>
      </c>
      <c r="C212" s="193">
        <v>13.1625</v>
      </c>
      <c r="D212" s="179">
        <f t="shared" si="12"/>
        <v>494.12025000000028</v>
      </c>
      <c r="E212" s="193">
        <v>60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95</v>
      </c>
      <c r="B213" s="181">
        <f>'Données projet'!D196</f>
        <v>42.199999999999989</v>
      </c>
      <c r="C213" s="193">
        <v>13.1625</v>
      </c>
      <c r="D213" s="179">
        <f t="shared" si="12"/>
        <v>555.45749999999987</v>
      </c>
      <c r="E213" s="193">
        <v>60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104</v>
      </c>
      <c r="B214" s="181">
        <f>'Données projet'!D197</f>
        <v>39.400000000000006</v>
      </c>
      <c r="C214" s="193">
        <v>13.1625</v>
      </c>
      <c r="D214" s="179">
        <f t="shared" si="12"/>
        <v>518.60250000000008</v>
      </c>
      <c r="E214" s="193">
        <v>60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113</v>
      </c>
      <c r="B215" s="181">
        <f>'Données projet'!D198</f>
        <v>41.639999999999986</v>
      </c>
      <c r="C215" s="193">
        <v>13.1625</v>
      </c>
      <c r="D215" s="179">
        <f t="shared" si="12"/>
        <v>548.08649999999977</v>
      </c>
      <c r="E215" s="193">
        <v>60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122</v>
      </c>
      <c r="B216" s="181">
        <f>'Données projet'!D199</f>
        <v>45.829999999999984</v>
      </c>
      <c r="C216" s="193">
        <v>13.1625</v>
      </c>
      <c r="D216" s="179">
        <f t="shared" si="12"/>
        <v>603.23737499999982</v>
      </c>
      <c r="E216" s="193">
        <v>60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132</v>
      </c>
      <c r="B217" s="181">
        <f>'Données projet'!D200</f>
        <v>48.699999999999989</v>
      </c>
      <c r="C217" s="193">
        <v>13.1625</v>
      </c>
      <c r="D217" s="179">
        <f t="shared" si="12"/>
        <v>641.01374999999985</v>
      </c>
      <c r="E217" s="193">
        <v>60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144</v>
      </c>
      <c r="B218" s="181">
        <f>'Données projet'!D201</f>
        <v>60.949999999999989</v>
      </c>
      <c r="C218" s="193">
        <v>32.467500000000001</v>
      </c>
      <c r="D218" s="179">
        <f t="shared" si="12"/>
        <v>1978.8941249999998</v>
      </c>
      <c r="E218" s="193">
        <v>60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156</v>
      </c>
      <c r="B219" s="181">
        <f>'Données projet'!D202</f>
        <v>65.69</v>
      </c>
      <c r="C219" s="193">
        <v>32.467500000000001</v>
      </c>
      <c r="D219" s="179">
        <f t="shared" si="12"/>
        <v>2132.7900749999999</v>
      </c>
      <c r="E219" s="193">
        <v>60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168</v>
      </c>
      <c r="B220" s="181">
        <f>'Données projet'!D203</f>
        <v>71.37</v>
      </c>
      <c r="C220" s="193">
        <v>32.467500000000001</v>
      </c>
      <c r="D220" s="179">
        <f t="shared" si="12"/>
        <v>2317.2054750000002</v>
      </c>
      <c r="E220" s="193">
        <v>60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180</v>
      </c>
      <c r="B221" s="181">
        <f>'Données projet'!D204</f>
        <v>175.59000000000003</v>
      </c>
      <c r="C221" s="193">
        <v>42</v>
      </c>
      <c r="D221" s="179">
        <f t="shared" si="12"/>
        <v>7374.7800000000016</v>
      </c>
      <c r="E221" s="193">
        <v>60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184</v>
      </c>
      <c r="B222" s="181">
        <f>'Données projet'!D205</f>
        <v>101.19999999999999</v>
      </c>
      <c r="C222" s="193">
        <v>42</v>
      </c>
      <c r="D222" s="179">
        <f t="shared" si="12"/>
        <v>4250.3999999999996</v>
      </c>
      <c r="E222" s="193">
        <v>60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188</v>
      </c>
      <c r="B223" s="181">
        <f>'Données projet'!D206</f>
        <v>72.180000000000007</v>
      </c>
      <c r="C223" s="193">
        <v>42</v>
      </c>
      <c r="D223" s="179">
        <f t="shared" si="12"/>
        <v>3031.5600000000004</v>
      </c>
      <c r="E223" s="193">
        <v>60</v>
      </c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191</v>
      </c>
      <c r="B224" s="181">
        <f>'Données projet'!D207</f>
        <v>145.01</v>
      </c>
      <c r="C224" s="193">
        <v>58</v>
      </c>
      <c r="D224" s="179">
        <f t="shared" si="12"/>
        <v>8410.58</v>
      </c>
      <c r="E224" s="193">
        <v>60</v>
      </c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>Chêne chevelu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10</v>
      </c>
      <c r="B240" s="181">
        <f>'Données projet'!D218</f>
        <v>0</v>
      </c>
      <c r="C240" s="193">
        <v>13.1625</v>
      </c>
      <c r="D240" s="179">
        <f>B240*C240</f>
        <v>0</v>
      </c>
      <c r="E240" s="193">
        <v>0</v>
      </c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15</v>
      </c>
      <c r="B241" s="181">
        <f>'Données projet'!D219</f>
        <v>0</v>
      </c>
      <c r="C241" s="193">
        <v>13.1625</v>
      </c>
      <c r="D241" s="179">
        <f t="shared" ref="D241:D259" si="13">B241*C241</f>
        <v>0</v>
      </c>
      <c r="E241" s="193">
        <v>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20</v>
      </c>
      <c r="B242" s="181">
        <f>'Données projet'!D220</f>
        <v>18.589743589743588</v>
      </c>
      <c r="C242" s="193">
        <v>13.1625</v>
      </c>
      <c r="D242" s="179">
        <f t="shared" si="13"/>
        <v>244.68749999999997</v>
      </c>
      <c r="E242" s="193">
        <v>60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25</v>
      </c>
      <c r="B243" s="181">
        <f>'Données projet'!D221</f>
        <v>12.179487179487179</v>
      </c>
      <c r="C243" s="193">
        <v>13.1625</v>
      </c>
      <c r="D243" s="179">
        <f t="shared" si="13"/>
        <v>160.3125</v>
      </c>
      <c r="E243" s="193">
        <v>60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30</v>
      </c>
      <c r="B244" s="181">
        <f>'Données projet'!D222</f>
        <v>12.820512820512819</v>
      </c>
      <c r="C244" s="193">
        <v>13.1625</v>
      </c>
      <c r="D244" s="179">
        <f t="shared" si="13"/>
        <v>168.74999999999997</v>
      </c>
      <c r="E244" s="193">
        <v>60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35</v>
      </c>
      <c r="B245" s="181">
        <f>'Données projet'!D223</f>
        <v>12.820512820512819</v>
      </c>
      <c r="C245" s="193">
        <v>13.1625</v>
      </c>
      <c r="D245" s="179">
        <f t="shared" si="13"/>
        <v>168.74999999999997</v>
      </c>
      <c r="E245" s="193">
        <v>60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40</v>
      </c>
      <c r="B246" s="181">
        <f>'Données projet'!D224</f>
        <v>12.820512820512819</v>
      </c>
      <c r="C246" s="193">
        <v>13.1625</v>
      </c>
      <c r="D246" s="179">
        <f t="shared" si="13"/>
        <v>168.74999999999997</v>
      </c>
      <c r="E246" s="193">
        <v>60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45</v>
      </c>
      <c r="B247" s="181">
        <f>'Données projet'!D225</f>
        <v>12.179487179487179</v>
      </c>
      <c r="C247" s="193">
        <v>13.1625</v>
      </c>
      <c r="D247" s="179">
        <f t="shared" si="13"/>
        <v>160.3125</v>
      </c>
      <c r="E247" s="193">
        <v>60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50</v>
      </c>
      <c r="B248" s="181">
        <f>'Données projet'!D226</f>
        <v>11.538461538461538</v>
      </c>
      <c r="C248" s="193">
        <v>13.1625</v>
      </c>
      <c r="D248" s="179">
        <f t="shared" si="13"/>
        <v>151.875</v>
      </c>
      <c r="E248" s="193">
        <v>60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55</v>
      </c>
      <c r="B249" s="181">
        <f>'Données projet'!D227</f>
        <v>10.897435897435898</v>
      </c>
      <c r="C249" s="193">
        <v>13.1625</v>
      </c>
      <c r="D249" s="179">
        <f t="shared" si="13"/>
        <v>143.4375</v>
      </c>
      <c r="E249" s="193">
        <v>60</v>
      </c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60</v>
      </c>
      <c r="B250" s="181">
        <f>'Données projet'!D228</f>
        <v>10.256410256410255</v>
      </c>
      <c r="C250" s="193">
        <v>13.1625</v>
      </c>
      <c r="D250" s="179">
        <f t="shared" si="13"/>
        <v>134.99999999999997</v>
      </c>
      <c r="E250" s="193">
        <v>60</v>
      </c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65</v>
      </c>
      <c r="B251" s="181">
        <f>'Données projet'!D229</f>
        <v>9.615384615384615</v>
      </c>
      <c r="C251" s="193">
        <v>32.467500000000001</v>
      </c>
      <c r="D251" s="179">
        <f t="shared" si="13"/>
        <v>312.1875</v>
      </c>
      <c r="E251" s="193">
        <v>60</v>
      </c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70</v>
      </c>
      <c r="B252" s="181">
        <f>'Données projet'!D230</f>
        <v>8.9743589743589745</v>
      </c>
      <c r="C252" s="193">
        <v>32.467500000000001</v>
      </c>
      <c r="D252" s="179">
        <f t="shared" si="13"/>
        <v>291.375</v>
      </c>
      <c r="E252" s="193">
        <v>60</v>
      </c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75</v>
      </c>
      <c r="B253" s="181">
        <f>'Données projet'!D231</f>
        <v>7.6923076923076916</v>
      </c>
      <c r="C253" s="193">
        <v>32.467500000000001</v>
      </c>
      <c r="D253" s="179">
        <f t="shared" si="13"/>
        <v>249.75</v>
      </c>
      <c r="E253" s="193">
        <v>60</v>
      </c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80</v>
      </c>
      <c r="B254" s="181">
        <f>'Données projet'!D232</f>
        <v>7.0512820512820511</v>
      </c>
      <c r="C254" s="193">
        <v>32.467500000000001</v>
      </c>
      <c r="D254" s="179">
        <f t="shared" si="13"/>
        <v>228.9375</v>
      </c>
      <c r="E254" s="193">
        <v>60</v>
      </c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85</v>
      </c>
      <c r="B255" s="181">
        <f>'Données projet'!D233</f>
        <v>6.4102564102564097</v>
      </c>
      <c r="C255" s="193">
        <v>32.467500000000001</v>
      </c>
      <c r="D255" s="179">
        <f t="shared" si="13"/>
        <v>208.125</v>
      </c>
      <c r="E255" s="193">
        <v>60</v>
      </c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90</v>
      </c>
      <c r="B256" s="181">
        <f>'Données projet'!D234</f>
        <v>6.4102564102564097</v>
      </c>
      <c r="C256" s="193">
        <v>32.467500000000001</v>
      </c>
      <c r="D256" s="179">
        <f t="shared" si="13"/>
        <v>208.125</v>
      </c>
      <c r="E256" s="193">
        <v>60</v>
      </c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95</v>
      </c>
      <c r="B257" s="181">
        <f>'Données projet'!D235</f>
        <v>7.0512820512820511</v>
      </c>
      <c r="C257" s="193">
        <v>32.467500000000001</v>
      </c>
      <c r="D257" s="179">
        <f t="shared" si="13"/>
        <v>228.9375</v>
      </c>
      <c r="E257" s="193">
        <v>60</v>
      </c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100</v>
      </c>
      <c r="B258" s="181">
        <f>'Données projet'!D236</f>
        <v>142.94871794871796</v>
      </c>
      <c r="C258" s="193">
        <v>32.467500000000001</v>
      </c>
      <c r="D258" s="179">
        <f t="shared" si="13"/>
        <v>4641.1875</v>
      </c>
      <c r="E258" s="193">
        <v>60</v>
      </c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491D040C-4181-4CE3-912C-CB1408BAD4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2024-03-08T16:31:12Z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