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Gascogne-Pyrénées\projet_en_court\Mirepoix (32) - IND Friedel\Dossier à déposer\"/>
    </mc:Choice>
  </mc:AlternateContent>
  <xr:revisionPtr revIDLastSave="0" documentId="13_ncr:1_{E10A90ED-DFBC-41E3-AD4A-309F03E44EB9}" xr6:coauthVersionLast="36" xr6:coauthVersionMax="36" xr10:uidLastSave="{00000000-0000-0000-0000-000000000000}"/>
  <bookViews>
    <workbookView xWindow="0" yWindow="0" windowWidth="28800" windowHeight="12615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3" i="6" l="1"/>
  <c r="I24" i="6"/>
  <c r="I25" i="6"/>
  <c r="I22" i="6"/>
  <c r="I21" i="6"/>
  <c r="I20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<sst xmlns="http://schemas.openxmlformats.org/spreadsheetml/2006/main" count="1170" uniqueCount="324">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</sst>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2.7215305644991119</c:v>
                </c:pt>
                <c:pt idx="2">
                  <c:v>3.2058292136632871</c:v>
                </c:pt>
                <c:pt idx="3">
                  <c:v>3.7766249877618967</c:v>
                </c:pt>
                <c:pt idx="4">
                  <c:v>4.4494197759318128</c:v>
                </c:pt>
                <c:pt idx="5">
                  <c:v>5.2425026420165475</c:v>
                </c:pt>
                <c:pt idx="6">
                  <c:v>6.1774524454073623</c:v>
                </c:pt>
                <c:pt idx="7">
                  <c:v>7.279731351365875</c:v>
                </c:pt>
                <c:pt idx="8">
                  <c:v>8.5793857081002205</c:v>
                </c:pt>
                <c:pt idx="9">
                  <c:v>10.111873761925157</c:v>
                </c:pt>
                <c:pt idx="10">
                  <c:v>11.919043221083896</c:v>
                </c:pt>
                <c:pt idx="11">
                  <c:v>14.050285862708584</c:v>
                </c:pt>
                <c:pt idx="12">
                  <c:v>16.563901323586503</c:v>
                </c:pt>
                <c:pt idx="13">
                  <c:v>19.528708063023274</c:v>
                </c:pt>
                <c:pt idx="14">
                  <c:v>23.025946399735997</c:v>
                </c:pt>
                <c:pt idx="15">
                  <c:v>27.151526699050493</c:v>
                </c:pt>
                <c:pt idx="16">
                  <c:v>32.018685452011319</c:v>
                </c:pt>
                <c:pt idx="17">
                  <c:v>37.761123416768235</c:v>
                </c:pt>
                <c:pt idx="18">
                  <c:v>44.536713507062494</c:v>
                </c:pt>
                <c:pt idx="19">
                  <c:v>52.531882094072188</c:v>
                </c:pt>
                <c:pt idx="20">
                  <c:v>61.966786287367512</c:v>
                </c:pt>
                <c:pt idx="21">
                  <c:v>73.101432111948</c:v>
                </c:pt>
                <c:pt idx="22">
                  <c:v>86.242904932711554</c:v>
                </c:pt>
                <c:pt idx="23">
                  <c:v>101.75391474233156</c:v>
                </c:pt>
                <c:pt idx="24">
                  <c:v>120.06289590738133</c:v>
                </c:pt>
                <c:pt idx="25">
                  <c:v>141.67594470663133</c:v>
                </c:pt>
                <c:pt idx="26">
                  <c:v>139.70382844505221</c:v>
                </c:pt>
                <c:pt idx="27">
                  <c:v>153.49516770691636</c:v>
                </c:pt>
                <c:pt idx="28">
                  <c:v>167.25702755094335</c:v>
                </c:pt>
                <c:pt idx="29">
                  <c:v>180.99217685858619</c:v>
                </c:pt>
                <c:pt idx="30">
                  <c:v>194.7029293179402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207.21879690654114</c:v>
                </c:pt>
                <c:pt idx="37">
                  <c:v>223.61956111075639</c:v>
                </c:pt>
                <c:pt idx="38">
                  <c:v>239.99275146392395</c:v>
                </c:pt>
                <c:pt idx="39">
                  <c:v>256.34051411178774</c:v>
                </c:pt>
                <c:pt idx="40">
                  <c:v>272.6646989766358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288.57901240448905</c:v>
                </c:pt>
                <c:pt idx="47">
                  <c:v>304.47370954373423</c:v>
                </c:pt>
                <c:pt idx="48">
                  <c:v>320.34995854628937</c:v>
                </c:pt>
                <c:pt idx="49">
                  <c:v>336.20880231759617</c:v>
                </c:pt>
                <c:pt idx="50">
                  <c:v>352.05117734371055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362.8613341480654</c:v>
                </c:pt>
                <c:pt idx="57">
                  <c:v>377.52104986809326</c:v>
                </c:pt>
                <c:pt idx="58">
                  <c:v>392.16837634017293</c:v>
                </c:pt>
                <c:pt idx="59">
                  <c:v>406.80384141548689</c:v>
                </c:pt>
                <c:pt idx="60">
                  <c:v>421.42793186976087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422.96666682108594</c:v>
                </c:pt>
                <c:pt idx="67">
                  <c:v>436.04109794385857</c:v>
                </c:pt>
                <c:pt idx="68">
                  <c:v>449.10711821530072</c:v>
                </c:pt>
                <c:pt idx="69">
                  <c:v>462.16500679362099</c:v>
                </c:pt>
                <c:pt idx="70">
                  <c:v>475.21502577729035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470.61001955868886</c:v>
                </c:pt>
                <c:pt idx="74">
                  <c:v>482.50434799892832</c:v>
                </c:pt>
                <c:pt idx="75">
                  <c:v>494.3924487367961</c:v>
                </c:pt>
                <c:pt idx="76">
                  <c:v>465.62017905920658</c:v>
                </c:pt>
                <c:pt idx="77">
                  <c:v>477.13349754486745</c:v>
                </c:pt>
                <c:pt idx="78">
                  <c:v>488.64090858857691</c:v>
                </c:pt>
                <c:pt idx="79">
                  <c:v>500.14257091604264</c:v>
                </c:pt>
                <c:pt idx="80">
                  <c:v>511.63863535742689</c:v>
                </c:pt>
                <c:pt idx="81">
                  <c:v>482.50434799892832</c:v>
                </c:pt>
                <c:pt idx="82">
                  <c:v>493.62565905582659</c:v>
                </c:pt>
                <c:pt idx="83">
                  <c:v>504.74166024448397</c:v>
                </c:pt>
                <c:pt idx="84">
                  <c:v>515.85248498703129</c:v>
                </c:pt>
                <c:pt idx="85">
                  <c:v>526.95826048952051</c:v>
                </c:pt>
                <c:pt idx="86">
                  <c:v>497.07601440225949</c:v>
                </c:pt>
                <c:pt idx="87">
                  <c:v>507.42405248193222</c:v>
                </c:pt>
                <c:pt idx="88">
                  <c:v>517.76763064124964</c:v>
                </c:pt>
                <c:pt idx="89">
                  <c:v>528.10685054075043</c:v>
                </c:pt>
                <c:pt idx="90">
                  <c:v>538.44180953565808</c:v>
                </c:pt>
                <c:pt idx="91">
                  <c:v>507.80722686130588</c:v>
                </c:pt>
                <c:pt idx="92">
                  <c:v>517.38461348648946</c:v>
                </c:pt>
                <c:pt idx="93">
                  <c:v>526.95826048952051</c:v>
                </c:pt>
                <c:pt idx="94">
                  <c:v>536.52824539615096</c:v>
                </c:pt>
                <c:pt idx="95">
                  <c:v>546.09464274073537</c:v>
                </c:pt>
                <c:pt idx="96">
                  <c:v>515.08638473795281</c:v>
                </c:pt>
                <c:pt idx="97">
                  <c:v>524.27801174542856</c:v>
                </c:pt>
                <c:pt idx="98">
                  <c:v>533.46624406259423</c:v>
                </c:pt>
                <c:pt idx="99">
                  <c:v>542.65114840915578</c:v>
                </c:pt>
                <c:pt idx="100">
                  <c:v>551.83278906179692</c:v>
                </c:pt>
                <c:pt idx="101">
                  <c:v>520.44858362500713</c:v>
                </c:pt>
                <c:pt idx="102">
                  <c:v>529.25538799232447</c:v>
                </c:pt>
                <c:pt idx="103">
                  <c:v>538.05910815921254</c:v>
                </c:pt>
                <c:pt idx="104">
                  <c:v>546.8598017122614</c:v>
                </c:pt>
                <c:pt idx="105">
                  <c:v>555.65752423315951</c:v>
                </c:pt>
                <c:pt idx="106">
                  <c:v>525.42672503969118</c:v>
                </c:pt>
                <c:pt idx="107">
                  <c:v>533.46624406259446</c:v>
                </c:pt>
                <c:pt idx="108">
                  <c:v>541.50321514452014</c:v>
                </c:pt>
                <c:pt idx="109">
                  <c:v>549.53768144295748</c:v>
                </c:pt>
                <c:pt idx="110">
                  <c:v>557.56968475025781</c:v>
                </c:pt>
                <c:pt idx="111">
                  <c:v>528.48970219589683</c:v>
                </c:pt>
                <c:pt idx="112">
                  <c:v>535.76277959494894</c:v>
                </c:pt>
                <c:pt idx="113">
                  <c:v>543.03378149300659</c:v>
                </c:pt>
                <c:pt idx="114">
                  <c:v>550.30273960772308</c:v>
                </c:pt>
                <c:pt idx="115">
                  <c:v>557.56968475025803</c:v>
                </c:pt>
                <c:pt idx="116">
                  <c:v>530.02105046908684</c:v>
                </c:pt>
                <c:pt idx="117">
                  <c:v>536.91096968482668</c:v>
                </c:pt>
                <c:pt idx="118">
                  <c:v>543.79903068153806</c:v>
                </c:pt>
                <c:pt idx="119">
                  <c:v>550.68526032404031</c:v>
                </c:pt>
                <c:pt idx="120">
                  <c:v>557.56968475025815</c:v>
                </c:pt>
                <c:pt idx="121">
                  <c:v>2.8617333882306215E-12</c:v>
                </c:pt>
                <c:pt idx="122">
                  <c:v>2.8617333882306215E-12</c:v>
                </c:pt>
                <c:pt idx="123">
                  <c:v>2.8617333882306215E-12</c:v>
                </c:pt>
                <c:pt idx="124">
                  <c:v>2.8617333882306215E-12</c:v>
                </c:pt>
                <c:pt idx="125">
                  <c:v>2.8617333882306215E-12</c:v>
                </c:pt>
                <c:pt idx="126">
                  <c:v>2.8617333882306215E-12</c:v>
                </c:pt>
                <c:pt idx="127">
                  <c:v>2.8617333882306215E-12</c:v>
                </c:pt>
                <c:pt idx="128">
                  <c:v>2.8617333882306215E-12</c:v>
                </c:pt>
                <c:pt idx="129">
                  <c:v>2.8617333882306215E-12</c:v>
                </c:pt>
                <c:pt idx="130">
                  <c:v>2.8617333882306215E-12</c:v>
                </c:pt>
                <c:pt idx="131">
                  <c:v>2.8617333882306215E-12</c:v>
                </c:pt>
                <c:pt idx="132">
                  <c:v>2.8617333882306215E-12</c:v>
                </c:pt>
                <c:pt idx="133">
                  <c:v>2.8617333882306215E-12</c:v>
                </c:pt>
                <c:pt idx="134">
                  <c:v>2.8617333882306215E-12</c:v>
                </c:pt>
                <c:pt idx="135">
                  <c:v>2.8617333882306215E-12</c:v>
                </c:pt>
                <c:pt idx="136">
                  <c:v>2.8617333882306215E-12</c:v>
                </c:pt>
                <c:pt idx="137">
                  <c:v>2.8617333882306215E-12</c:v>
                </c:pt>
                <c:pt idx="138">
                  <c:v>2.8617333882306215E-12</c:v>
                </c:pt>
                <c:pt idx="139">
                  <c:v>2.8617333882306215E-12</c:v>
                </c:pt>
                <c:pt idx="140">
                  <c:v>2.8617333882306215E-12</c:v>
                </c:pt>
                <c:pt idx="141">
                  <c:v>2.8617333882306215E-12</c:v>
                </c:pt>
                <c:pt idx="142">
                  <c:v>2.8617333882306215E-12</c:v>
                </c:pt>
                <c:pt idx="143">
                  <c:v>2.8617333882306215E-12</c:v>
                </c:pt>
                <c:pt idx="144">
                  <c:v>2.8617333882306215E-12</c:v>
                </c:pt>
                <c:pt idx="145">
                  <c:v>2.8617333882306215E-12</c:v>
                </c:pt>
                <c:pt idx="146">
                  <c:v>2.8617333882306215E-12</c:v>
                </c:pt>
                <c:pt idx="147">
                  <c:v>2.8617333882306215E-12</c:v>
                </c:pt>
                <c:pt idx="148">
                  <c:v>2.8617333882306215E-12</c:v>
                </c:pt>
                <c:pt idx="149">
                  <c:v>2.8617333882306215E-12</c:v>
                </c:pt>
                <c:pt idx="150">
                  <c:v>2.8617333882306215E-12</c:v>
                </c:pt>
                <c:pt idx="151">
                  <c:v>2.8617333882306215E-12</c:v>
                </c:pt>
                <c:pt idx="152">
                  <c:v>2.8617333882306215E-12</c:v>
                </c:pt>
                <c:pt idx="153">
                  <c:v>2.8617333882306215E-12</c:v>
                </c:pt>
                <c:pt idx="154">
                  <c:v>2.8617333882306215E-12</c:v>
                </c:pt>
                <c:pt idx="155">
                  <c:v>2.8617333882306215E-12</c:v>
                </c:pt>
                <c:pt idx="156">
                  <c:v>2.8617333882306215E-12</c:v>
                </c:pt>
                <c:pt idx="157">
                  <c:v>2.8617333882306215E-12</c:v>
                </c:pt>
                <c:pt idx="158">
                  <c:v>2.8617333882306215E-12</c:v>
                </c:pt>
                <c:pt idx="159">
                  <c:v>2.8617333882306215E-12</c:v>
                </c:pt>
                <c:pt idx="160">
                  <c:v>2.8617333882306215E-12</c:v>
                </c:pt>
                <c:pt idx="161">
                  <c:v>2.8617333882306215E-12</c:v>
                </c:pt>
                <c:pt idx="162">
                  <c:v>2.8617333882306215E-12</c:v>
                </c:pt>
                <c:pt idx="163">
                  <c:v>2.8617333882306215E-12</c:v>
                </c:pt>
                <c:pt idx="164">
                  <c:v>2.8617333882306215E-12</c:v>
                </c:pt>
                <c:pt idx="165">
                  <c:v>2.8617333882306215E-12</c:v>
                </c:pt>
                <c:pt idx="166">
                  <c:v>2.8617333882306215E-12</c:v>
                </c:pt>
                <c:pt idx="167">
                  <c:v>2.8617333882306215E-12</c:v>
                </c:pt>
                <c:pt idx="168">
                  <c:v>2.8617333882306215E-12</c:v>
                </c:pt>
                <c:pt idx="169">
                  <c:v>2.8617333882306215E-12</c:v>
                </c:pt>
                <c:pt idx="170">
                  <c:v>2.8617333882306215E-12</c:v>
                </c:pt>
                <c:pt idx="171">
                  <c:v>2.8617333882306215E-12</c:v>
                </c:pt>
                <c:pt idx="172">
                  <c:v>2.8617333882306215E-12</c:v>
                </c:pt>
                <c:pt idx="173">
                  <c:v>2.8617333882306215E-12</c:v>
                </c:pt>
                <c:pt idx="174">
                  <c:v>2.8617333882306215E-12</c:v>
                </c:pt>
                <c:pt idx="175">
                  <c:v>2.8617333882306215E-12</c:v>
                </c:pt>
                <c:pt idx="176">
                  <c:v>2.8617333882306215E-12</c:v>
                </c:pt>
                <c:pt idx="177">
                  <c:v>2.8617333882306215E-12</c:v>
                </c:pt>
                <c:pt idx="178">
                  <c:v>2.8617333882306215E-12</c:v>
                </c:pt>
                <c:pt idx="179">
                  <c:v>2.8617333882306215E-12</c:v>
                </c:pt>
                <c:pt idx="180">
                  <c:v>2.8617333882306215E-12</c:v>
                </c:pt>
                <c:pt idx="181">
                  <c:v>2.8617333882306215E-12</c:v>
                </c:pt>
                <c:pt idx="182">
                  <c:v>2.8617333882306215E-12</c:v>
                </c:pt>
                <c:pt idx="183">
                  <c:v>2.8617333882306215E-12</c:v>
                </c:pt>
                <c:pt idx="184">
                  <c:v>2.8617333882306215E-12</c:v>
                </c:pt>
                <c:pt idx="185">
                  <c:v>2.8617333882306215E-12</c:v>
                </c:pt>
                <c:pt idx="186">
                  <c:v>2.8617333882306215E-12</c:v>
                </c:pt>
                <c:pt idx="187">
                  <c:v>2.8617333882306215E-12</c:v>
                </c:pt>
                <c:pt idx="188">
                  <c:v>2.8617333882306215E-12</c:v>
                </c:pt>
                <c:pt idx="189">
                  <c:v>2.8617333882306215E-12</c:v>
                </c:pt>
                <c:pt idx="190">
                  <c:v>2.8617333882306215E-12</c:v>
                </c:pt>
                <c:pt idx="191">
                  <c:v>2.8617333882306215E-12</c:v>
                </c:pt>
                <c:pt idx="192">
                  <c:v>2.8617333882306215E-12</c:v>
                </c:pt>
                <c:pt idx="193">
                  <c:v>2.8617333882306215E-12</c:v>
                </c:pt>
                <c:pt idx="194">
                  <c:v>2.8617333882306215E-12</c:v>
                </c:pt>
                <c:pt idx="195">
                  <c:v>2.8617333882306215E-12</c:v>
                </c:pt>
                <c:pt idx="196">
                  <c:v>2.8617333882306215E-12</c:v>
                </c:pt>
                <c:pt idx="197">
                  <c:v>2.8617333882306215E-12</c:v>
                </c:pt>
                <c:pt idx="198">
                  <c:v>2.8617333882306215E-12</c:v>
                </c:pt>
                <c:pt idx="199">
                  <c:v>2.8617333882306215E-12</c:v>
                </c:pt>
                <c:pt idx="200">
                  <c:v>2.8617333882306215E-12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C33" sqref="C33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G30" sqref="G30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3.51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14</v>
      </c>
      <c r="C9" s="35">
        <v>1</v>
      </c>
      <c r="D9" s="36">
        <f t="shared" ref="D9:D18" si="0">C9*$C$5</f>
        <v>3.51</v>
      </c>
      <c r="E9" s="37">
        <v>120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3.51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Chêne sessile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25</v>
      </c>
      <c r="B36" s="63">
        <v>70</v>
      </c>
      <c r="C36" s="63">
        <v>1</v>
      </c>
      <c r="D36" s="63">
        <v>8</v>
      </c>
      <c r="E36" s="54"/>
      <c r="F36" s="54"/>
      <c r="G36" s="54">
        <v>1</v>
      </c>
      <c r="H36" s="54"/>
      <c r="I36" s="52">
        <f>IFERROR(B36/A36,"")</f>
        <v>2.8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30</v>
      </c>
      <c r="B37" s="63">
        <v>97</v>
      </c>
      <c r="C37" s="63">
        <v>2</v>
      </c>
      <c r="D37" s="63">
        <v>21</v>
      </c>
      <c r="E37" s="54">
        <v>0.05</v>
      </c>
      <c r="F37" s="54">
        <v>0.25</v>
      </c>
      <c r="G37" s="54">
        <v>0.7</v>
      </c>
      <c r="H37" s="54"/>
      <c r="I37" s="56">
        <f t="shared" ref="I37:I55" si="1">IF(A37&lt;&gt;0,(B37-(B36-D36))/(A37-A36),"")</f>
        <v>7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35</v>
      </c>
      <c r="B38" s="63">
        <v>116</v>
      </c>
      <c r="C38" s="63">
        <v>3</v>
      </c>
      <c r="D38" s="63">
        <v>21</v>
      </c>
      <c r="E38" s="54"/>
      <c r="F38" s="54"/>
      <c r="G38" s="54"/>
      <c r="H38" s="54"/>
      <c r="I38" s="56">
        <f t="shared" si="1"/>
        <v>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40</v>
      </c>
      <c r="B39" s="63">
        <v>137</v>
      </c>
      <c r="C39" s="63">
        <v>4</v>
      </c>
      <c r="D39" s="63">
        <v>21</v>
      </c>
      <c r="E39" s="54"/>
      <c r="F39" s="54"/>
      <c r="G39" s="54"/>
      <c r="H39" s="54"/>
      <c r="I39" s="52">
        <f t="shared" si="1"/>
        <v>8.4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45</v>
      </c>
      <c r="B40" s="63">
        <v>158</v>
      </c>
      <c r="C40" s="63">
        <v>5</v>
      </c>
      <c r="D40" s="63">
        <v>21</v>
      </c>
      <c r="E40" s="54"/>
      <c r="F40" s="54"/>
      <c r="G40" s="54"/>
      <c r="H40" s="54"/>
      <c r="I40" s="52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>
        <v>50</v>
      </c>
      <c r="B41" s="63">
        <v>178</v>
      </c>
      <c r="C41" s="63">
        <v>6</v>
      </c>
      <c r="D41" s="63">
        <v>21</v>
      </c>
      <c r="E41" s="54"/>
      <c r="F41" s="54"/>
      <c r="G41" s="54"/>
      <c r="H41" s="54"/>
      <c r="I41" s="56">
        <f t="shared" si="1"/>
        <v>8.1999999999999993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>
        <v>55</v>
      </c>
      <c r="B42" s="63">
        <v>197</v>
      </c>
      <c r="C42" s="63">
        <v>7</v>
      </c>
      <c r="D42" s="63">
        <v>21</v>
      </c>
      <c r="E42" s="54"/>
      <c r="F42" s="54"/>
      <c r="G42" s="54"/>
      <c r="H42" s="54"/>
      <c r="I42" s="56">
        <f t="shared" si="1"/>
        <v>8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>
        <v>60</v>
      </c>
      <c r="B43" s="63">
        <v>214</v>
      </c>
      <c r="C43" s="63">
        <v>8</v>
      </c>
      <c r="D43" s="63">
        <v>21</v>
      </c>
      <c r="E43" s="54"/>
      <c r="F43" s="54"/>
      <c r="G43" s="54"/>
      <c r="H43" s="54"/>
      <c r="I43" s="52">
        <f t="shared" si="1"/>
        <v>7.6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>
        <v>65</v>
      </c>
      <c r="B44" s="63">
        <v>229</v>
      </c>
      <c r="C44" s="63">
        <v>9</v>
      </c>
      <c r="D44" s="63">
        <v>21</v>
      </c>
      <c r="E44" s="54"/>
      <c r="F44" s="54"/>
      <c r="G44" s="54"/>
      <c r="H44" s="54"/>
      <c r="I44" s="52">
        <f t="shared" si="1"/>
        <v>7.2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>
        <v>70</v>
      </c>
      <c r="B45" s="63">
        <v>242</v>
      </c>
      <c r="C45" s="63">
        <v>10</v>
      </c>
      <c r="D45" s="63">
        <v>21</v>
      </c>
      <c r="E45" s="54"/>
      <c r="F45" s="54"/>
      <c r="G45" s="54"/>
      <c r="H45" s="54"/>
      <c r="I45" s="52">
        <f t="shared" si="1"/>
        <v>6.8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>
        <v>75</v>
      </c>
      <c r="B46" s="63">
        <v>252</v>
      </c>
      <c r="C46" s="63">
        <v>11</v>
      </c>
      <c r="D46" s="63">
        <v>21</v>
      </c>
      <c r="E46" s="54"/>
      <c r="F46" s="54"/>
      <c r="G46" s="54"/>
      <c r="H46" s="54"/>
      <c r="I46" s="52">
        <f t="shared" si="1"/>
        <v>6.2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>
        <v>80</v>
      </c>
      <c r="B47" s="63">
        <v>261</v>
      </c>
      <c r="C47" s="63">
        <v>12</v>
      </c>
      <c r="D47" s="63">
        <v>21</v>
      </c>
      <c r="E47" s="54"/>
      <c r="F47" s="54"/>
      <c r="G47" s="54"/>
      <c r="H47" s="54"/>
      <c r="I47" s="52">
        <f t="shared" si="1"/>
        <v>6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>
        <v>85</v>
      </c>
      <c r="B48" s="63">
        <v>269</v>
      </c>
      <c r="C48" s="63">
        <v>13</v>
      </c>
      <c r="D48" s="63">
        <v>21</v>
      </c>
      <c r="E48" s="54"/>
      <c r="F48" s="54"/>
      <c r="G48" s="54"/>
      <c r="H48" s="54"/>
      <c r="I48" s="52">
        <f t="shared" si="1"/>
        <v>5.8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>
        <v>90</v>
      </c>
      <c r="B49" s="63">
        <v>275</v>
      </c>
      <c r="C49" s="63">
        <v>14</v>
      </c>
      <c r="D49" s="63">
        <v>21</v>
      </c>
      <c r="E49" s="54"/>
      <c r="F49" s="54"/>
      <c r="G49" s="54"/>
      <c r="H49" s="54"/>
      <c r="I49" s="52">
        <f t="shared" si="1"/>
        <v>5.4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>
        <v>95</v>
      </c>
      <c r="B50" s="53">
        <v>279</v>
      </c>
      <c r="C50" s="53">
        <v>15</v>
      </c>
      <c r="D50" s="53">
        <v>21</v>
      </c>
      <c r="E50" s="54"/>
      <c r="F50" s="54"/>
      <c r="G50" s="54"/>
      <c r="H50" s="54"/>
      <c r="I50" s="52">
        <f t="shared" si="1"/>
        <v>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>
        <v>100</v>
      </c>
      <c r="B51" s="53">
        <v>282</v>
      </c>
      <c r="C51" s="53">
        <v>16</v>
      </c>
      <c r="D51" s="53">
        <v>21</v>
      </c>
      <c r="E51" s="54"/>
      <c r="F51" s="54"/>
      <c r="G51" s="54"/>
      <c r="H51" s="54"/>
      <c r="I51" s="52">
        <f t="shared" si="1"/>
        <v>4.8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>
        <v>105</v>
      </c>
      <c r="B52" s="53">
        <v>284</v>
      </c>
      <c r="C52" s="53">
        <v>17</v>
      </c>
      <c r="D52" s="53">
        <v>20</v>
      </c>
      <c r="E52" s="54"/>
      <c r="F52" s="54"/>
      <c r="G52" s="54"/>
      <c r="H52" s="54"/>
      <c r="I52" s="52">
        <f t="shared" si="1"/>
        <v>4.5999999999999996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>
        <v>110</v>
      </c>
      <c r="B53" s="53">
        <v>285</v>
      </c>
      <c r="C53" s="53">
        <v>18</v>
      </c>
      <c r="D53" s="53">
        <v>19</v>
      </c>
      <c r="E53" s="54"/>
      <c r="F53" s="54"/>
      <c r="G53" s="54"/>
      <c r="H53" s="54"/>
      <c r="I53" s="52">
        <f t="shared" si="1"/>
        <v>4.2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>
        <v>115</v>
      </c>
      <c r="B54" s="53">
        <v>285</v>
      </c>
      <c r="C54" s="53">
        <v>19</v>
      </c>
      <c r="D54" s="53">
        <v>18</v>
      </c>
      <c r="E54" s="54"/>
      <c r="F54" s="54"/>
      <c r="G54" s="54"/>
      <c r="H54" s="54"/>
      <c r="I54" s="52">
        <f t="shared" si="1"/>
        <v>3.8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>
        <v>120</v>
      </c>
      <c r="B55" s="53">
        <v>285</v>
      </c>
      <c r="C55" s="53">
        <v>20</v>
      </c>
      <c r="D55" s="53">
        <v>285</v>
      </c>
      <c r="E55" s="54"/>
      <c r="F55" s="54"/>
      <c r="G55" s="54"/>
      <c r="H55" s="54"/>
      <c r="I55" s="52">
        <f t="shared" si="1"/>
        <v>3.6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1" sqref="G21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Chêne sessile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406.64650428071837</v>
      </c>
      <c r="T3" s="62">
        <f>IF('Données projet'!E9&gt;30,$R$33-$H$33,LOOKUP('Données projet'!$E$9,$A$3:$A$203,R3:R203)-LOOKUP('Données projet'!$E$9,$A$3:$A$203,$H$3:$H$203))</f>
        <v>250.47702091764884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2.8</v>
      </c>
      <c r="N4" s="14">
        <f>IF('Données projet'!$A$36&gt;35,N3+M4-V3,IF(A4&lt;'Données projet'!$A$36,$K$205^A4,IF(A4='Données projet'!$A$36,'Données projet'!$B$36,N3+M4-V3)))</f>
        <v>1.1852335095914694</v>
      </c>
      <c r="O4" s="14">
        <f>N4*VLOOKUP('Données projet'!$B$9,Paramètres!$A$1:$I$89,3,0)*VLOOKUP('Données projet'!$B$9,Paramètres!$A$1:$I$89,5,0)</f>
        <v>1.0723992794783614</v>
      </c>
      <c r="P4" s="14">
        <f>EXP(-1.0587+0.8836*LN(O4)+0.284)</f>
        <v>0.49020200157376026</v>
      </c>
      <c r="Q4" s="22">
        <f t="shared" ref="Q4:Q34" si="2">(O4+P4)*0.475*44/12</f>
        <v>2.7215305644991119</v>
      </c>
      <c r="R4" s="62">
        <f t="shared" si="0"/>
        <v>170.53396451742296</v>
      </c>
      <c r="S4" s="62">
        <f ca="1">AVERAGE(OFFSET($R$3,0,0,'Données projet'!$E$9+1,1))-AVERAGE(OFFSET($H$3,0,0,'Données projet'!$E$9+1,1))</f>
        <v>406.64650428071837</v>
      </c>
      <c r="T4" s="62">
        <f>$T$3</f>
        <v>250.47702091764884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2.8</v>
      </c>
      <c r="N5" s="14">
        <f>IF('Données projet'!$A$36&gt;35,N4+M5-V4,IF(A5&lt;'Données projet'!$A$36,$K$205^A5,IF(A5='Données projet'!$A$36,'Données projet'!$B$36,N4+M5-V4)))</f>
        <v>1.4047784722585119</v>
      </c>
      <c r="O5" s="14">
        <f>N5*VLOOKUP('Données projet'!$B$9,Paramètres!$A$1:$I$89,3,0)*VLOOKUP('Données projet'!$B$9,Paramètres!$A$1:$I$89,5,0)</f>
        <v>1.2710435616995015</v>
      </c>
      <c r="P5" s="14">
        <f t="shared" ref="P5:P68" si="33">EXP(-1.0587+0.8836*LN(O5)+0.284)</f>
        <v>0.56962392939903683</v>
      </c>
      <c r="Q5" s="22">
        <f t="shared" si="2"/>
        <v>3.2058292136632871</v>
      </c>
      <c r="R5" s="62">
        <f t="shared" si="0"/>
        <v>173.80311050116413</v>
      </c>
      <c r="S5" s="62">
        <f ca="1">AVERAGE(OFFSET($R$3,0,0,'Données projet'!$E$9+1,1))-AVERAGE(OFFSET($H$3,0,0,'Données projet'!$E$9+1,1))</f>
        <v>406.64650428071837</v>
      </c>
      <c r="T5" s="62">
        <f t="shared" ref="T5:T68" si="34">$T$3</f>
        <v>250.47702091764884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2.8</v>
      </c>
      <c r="N6" s="14">
        <f>IF('Données projet'!$A$36&gt;35,N5+M6-V5,IF(A6&lt;'Données projet'!$A$36,$K$205^A6,IF(A6='Données projet'!$A$36,'Données projet'!$B$36,N5+M6-V5)))</f>
        <v>1.6649905188734988</v>
      </c>
      <c r="O6" s="14">
        <f>N6*VLOOKUP('Données projet'!$B$9,Paramètres!$A$1:$I$89,3,0)*VLOOKUP('Données projet'!$B$9,Paramètres!$A$1:$I$89,5,0)</f>
        <v>1.5064834214767417</v>
      </c>
      <c r="P6" s="14">
        <f t="shared" si="33"/>
        <v>0.66191370068319888</v>
      </c>
      <c r="Q6" s="22">
        <f t="shared" si="2"/>
        <v>3.7766249877618967</v>
      </c>
      <c r="R6" s="62">
        <f t="shared" si="0"/>
        <v>177.13164555764678</v>
      </c>
      <c r="S6" s="62">
        <f ca="1">AVERAGE(OFFSET($R$3,0,0,'Données projet'!$E$9+1,1))-AVERAGE(OFFSET($H$3,0,0,'Données projet'!$E$9+1,1))</f>
        <v>406.64650428071837</v>
      </c>
      <c r="T6" s="62">
        <f t="shared" si="34"/>
        <v>250.47702091764884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2.8</v>
      </c>
      <c r="N7" s="14">
        <f>IF('Données projet'!$A$36&gt;35,N6+M7-V6,IF(A7&lt;'Données projet'!$A$36,$K$205^A7,IF(A7='Données projet'!$A$36,'Données projet'!$B$36,N6+M7-V6)))</f>
        <v>1.9734025561209587</v>
      </c>
      <c r="O7" s="14">
        <f>N7*VLOOKUP('Données projet'!$B$9,Paramètres!$A$1:$I$89,3,0)*VLOOKUP('Données projet'!$B$9,Paramètres!$A$1:$I$89,5,0)</f>
        <v>1.7855346327782433</v>
      </c>
      <c r="P7" s="14">
        <f t="shared" si="33"/>
        <v>0.7691561476610751</v>
      </c>
      <c r="Q7" s="22">
        <f t="shared" si="2"/>
        <v>4.4494197759318128</v>
      </c>
      <c r="R7" s="62">
        <f t="shared" si="0"/>
        <v>180.53554184010875</v>
      </c>
      <c r="S7" s="62">
        <f ca="1">AVERAGE(OFFSET($R$3,0,0,'Données projet'!$E$9+1,1))-AVERAGE(OFFSET($H$3,0,0,'Données projet'!$E$9+1,1))</f>
        <v>406.64650428071837</v>
      </c>
      <c r="T7" s="62">
        <f t="shared" si="34"/>
        <v>250.47702091764884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2.8</v>
      </c>
      <c r="N8" s="14">
        <f>IF('Données projet'!$A$36&gt;35,N7+M8-V7,IF(A8&lt;'Données projet'!$A$36,$K$205^A8,IF(A8='Données projet'!$A$36,'Données projet'!$B$36,N7+M8-V7)))</f>
        <v>2.3389428374280206</v>
      </c>
      <c r="O8" s="14">
        <f>N8*VLOOKUP('Données projet'!$B$9,Paramètres!$A$1:$I$89,3,0)*VLOOKUP('Données projet'!$B$9,Paramètres!$A$1:$I$89,5,0)</f>
        <v>2.1162754793048726</v>
      </c>
      <c r="P8" s="14">
        <f t="shared" si="33"/>
        <v>0.89377388453237949</v>
      </c>
      <c r="Q8" s="22">
        <f t="shared" si="2"/>
        <v>5.2425026420165475</v>
      </c>
      <c r="R8" s="62">
        <f t="shared" si="0"/>
        <v>184.0335505184639</v>
      </c>
      <c r="S8" s="62">
        <f ca="1">AVERAGE(OFFSET($R$3,0,0,'Données projet'!$E$9+1,1))-AVERAGE(OFFSET($H$3,0,0,'Données projet'!$E$9+1,1))</f>
        <v>406.64650428071837</v>
      </c>
      <c r="T8" s="62">
        <f t="shared" si="34"/>
        <v>250.47702091764884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2.8</v>
      </c>
      <c r="N9" s="14">
        <f>IF('Données projet'!$A$36&gt;35,N8+M9-V8,IF(A9&lt;'Données projet'!$A$36,$K$205^A9,IF(A9='Données projet'!$A$36,'Données projet'!$B$36,N8+M9-V8)))</f>
        <v>2.7721934279386429</v>
      </c>
      <c r="O9" s="14">
        <f>N9*VLOOKUP('Données projet'!$B$9,Paramètres!$A$1:$I$89,3,0)*VLOOKUP('Données projet'!$B$9,Paramètres!$A$1:$I$89,5,0)</f>
        <v>2.5082806135988838</v>
      </c>
      <c r="P9" s="14">
        <f t="shared" si="33"/>
        <v>1.0385820344818992</v>
      </c>
      <c r="Q9" s="22">
        <f t="shared" si="2"/>
        <v>6.1774524454073623</v>
      </c>
      <c r="R9" s="62">
        <f t="shared" si="0"/>
        <v>187.64770454166634</v>
      </c>
      <c r="S9" s="62">
        <f ca="1">AVERAGE(OFFSET($R$3,0,0,'Données projet'!$E$9+1,1))-AVERAGE(OFFSET($H$3,0,0,'Données projet'!$E$9+1,1))</f>
        <v>406.64650428071837</v>
      </c>
      <c r="T9" s="62">
        <f t="shared" si="34"/>
        <v>250.47702091764884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2.8</v>
      </c>
      <c r="N10" s="14">
        <f>IF('Données projet'!$A$36&gt;35,N9+M10-V9,IF(A10&lt;'Données projet'!$A$36,$K$205^A10,IF(A10='Données projet'!$A$36,'Données projet'!$B$36,N9+M10-V9)))</f>
        <v>3.2856965458621241</v>
      </c>
      <c r="O10" s="14">
        <f>N10*VLOOKUP('Données projet'!$B$9,Paramètres!$A$1:$I$89,3,0)*VLOOKUP('Données projet'!$B$9,Paramètres!$A$1:$I$89,5,0)</f>
        <v>2.9728982346960495</v>
      </c>
      <c r="P10" s="14">
        <f t="shared" si="33"/>
        <v>1.2068518235044534</v>
      </c>
      <c r="Q10" s="22">
        <f t="shared" si="2"/>
        <v>7.279731351365875</v>
      </c>
      <c r="R10" s="62">
        <f t="shared" si="0"/>
        <v>191.40391228710212</v>
      </c>
      <c r="S10" s="62">
        <f ca="1">AVERAGE(OFFSET($R$3,0,0,'Données projet'!$E$9+1,1))-AVERAGE(OFFSET($H$3,0,0,'Données projet'!$E$9+1,1))</f>
        <v>406.64650428071837</v>
      </c>
      <c r="T10" s="62">
        <f t="shared" si="34"/>
        <v>250.47702091764884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2.8</v>
      </c>
      <c r="N11" s="14">
        <f>IF('Données projet'!$A$36&gt;35,N10+M11-V10,IF(A11&lt;'Données projet'!$A$36,$K$205^A11,IF(A11='Données projet'!$A$36,'Données projet'!$B$36,N10+M11-V10)))</f>
        <v>3.8943176485047335</v>
      </c>
      <c r="O11" s="14">
        <f>N11*VLOOKUP('Données projet'!$B$9,Paramètres!$A$1:$I$89,3,0)*VLOOKUP('Données projet'!$B$9,Paramètres!$A$1:$I$89,5,0)</f>
        <v>3.5235786083670826</v>
      </c>
      <c r="P11" s="14">
        <f t="shared" si="33"/>
        <v>1.4023844776234748</v>
      </c>
      <c r="Q11" s="22">
        <f t="shared" si="2"/>
        <v>8.5793857081002205</v>
      </c>
      <c r="R11" s="62">
        <f t="shared" si="0"/>
        <v>195.33265857432079</v>
      </c>
      <c r="S11" s="62">
        <f ca="1">AVERAGE(OFFSET($R$3,0,0,'Données projet'!$E$9+1,1))-AVERAGE(OFFSET($H$3,0,0,'Données projet'!$E$9+1,1))</f>
        <v>406.64650428071837</v>
      </c>
      <c r="T11" s="62">
        <f t="shared" si="34"/>
        <v>250.47702091764884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2.8</v>
      </c>
      <c r="N12" s="14">
        <f>IF('Données projet'!$A$36&gt;35,N11+M12-V11,IF(A12&lt;'Données projet'!$A$36,$K$205^A12,IF(A12='Données projet'!$A$36,'Données projet'!$B$36,N11+M12-V11)))</f>
        <v>4.6156757740012635</v>
      </c>
      <c r="O12" s="14">
        <f>N12*VLOOKUP('Données projet'!$B$9,Paramètres!$A$1:$I$89,3,0)*VLOOKUP('Données projet'!$B$9,Paramètres!$A$1:$I$89,5,0)</f>
        <v>4.176263440316343</v>
      </c>
      <c r="P12" s="14">
        <f t="shared" si="33"/>
        <v>1.6295970928464274</v>
      </c>
      <c r="Q12" s="22">
        <f t="shared" si="2"/>
        <v>10.111873761925157</v>
      </c>
      <c r="R12" s="62">
        <f t="shared" si="0"/>
        <v>199.46983251448123</v>
      </c>
      <c r="S12" s="62">
        <f ca="1">AVERAGE(OFFSET($R$3,0,0,'Données projet'!$E$9+1,1))-AVERAGE(OFFSET($H$3,0,0,'Données projet'!$E$9+1,1))</f>
        <v>406.64650428071837</v>
      </c>
      <c r="T12" s="62">
        <f t="shared" si="34"/>
        <v>250.47702091764884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2.8</v>
      </c>
      <c r="N13" s="14">
        <f>IF('Données projet'!$A$36&gt;35,N12+M13-V12,IF(A13&lt;'Données projet'!$A$36,$K$205^A13,IF(A13='Données projet'!$A$36,'Données projet'!$B$36,N12+M13-V12)))</f>
        <v>5.4706535967558398</v>
      </c>
      <c r="O13" s="14">
        <f>N13*VLOOKUP('Données projet'!$B$9,Paramètres!$A$1:$I$89,3,0)*VLOOKUP('Données projet'!$B$9,Paramètres!$A$1:$I$89,5,0)</f>
        <v>4.9498473743446834</v>
      </c>
      <c r="P13" s="14">
        <f t="shared" si="33"/>
        <v>1.8936224176652101</v>
      </c>
      <c r="Q13" s="22">
        <f t="shared" si="2"/>
        <v>11.919043221083896</v>
      </c>
      <c r="R13" s="62">
        <f t="shared" si="0"/>
        <v>203.8577052061288</v>
      </c>
      <c r="S13" s="62">
        <f ca="1">AVERAGE(OFFSET($R$3,0,0,'Données projet'!$E$9+1,1))-AVERAGE(OFFSET($H$3,0,0,'Données projet'!$E$9+1,1))</f>
        <v>406.64650428071837</v>
      </c>
      <c r="T13" s="62">
        <f t="shared" si="34"/>
        <v>250.47702091764884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2.8</v>
      </c>
      <c r="N14" s="14">
        <f>IF('Données projet'!$A$36&gt;35,N13+M14-V13,IF(A14&lt;'Données projet'!$A$36,$K$205^A14,IF(A14='Données projet'!$A$36,'Données projet'!$B$36,N13+M14-V13)))</f>
        <v>6.4840019622421199</v>
      </c>
      <c r="O14" s="14">
        <f>N14*VLOOKUP('Données projet'!$B$9,Paramètres!$A$1:$I$89,3,0)*VLOOKUP('Données projet'!$B$9,Paramètres!$A$1:$I$89,5,0)</f>
        <v>5.8667249754366697</v>
      </c>
      <c r="P14" s="14">
        <f t="shared" si="33"/>
        <v>2.2004248021950543</v>
      </c>
      <c r="Q14" s="22">
        <f t="shared" si="2"/>
        <v>14.050285862708584</v>
      </c>
      <c r="R14" s="62">
        <f t="shared" si="0"/>
        <v>208.54608447182272</v>
      </c>
      <c r="S14" s="62">
        <f ca="1">AVERAGE(OFFSET($R$3,0,0,'Données projet'!$E$9+1,1))-AVERAGE(OFFSET($H$3,0,0,'Données projet'!$E$9+1,1))</f>
        <v>406.64650428071837</v>
      </c>
      <c r="T14" s="62">
        <f t="shared" si="34"/>
        <v>250.47702091764884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2.8</v>
      </c>
      <c r="N15" s="14">
        <f>IF('Données projet'!$A$36&gt;35,N14+M15-V14,IF(A15&lt;'Données projet'!$A$36,$K$205^A15,IF(A15='Données projet'!$A$36,'Données projet'!$B$36,N14+M15-V14)))</f>
        <v>7.685056401906202</v>
      </c>
      <c r="O15" s="14">
        <f>N15*VLOOKUP('Données projet'!$B$9,Paramètres!$A$1:$I$89,3,0)*VLOOKUP('Données projet'!$B$9,Paramètres!$A$1:$I$89,5,0)</f>
        <v>6.9534390324447317</v>
      </c>
      <c r="P15" s="14">
        <f t="shared" si="33"/>
        <v>2.55693493325087</v>
      </c>
      <c r="Q15" s="22">
        <f t="shared" si="2"/>
        <v>16.563901323586503</v>
      </c>
      <c r="R15" s="62">
        <f t="shared" si="0"/>
        <v>213.59367877631936</v>
      </c>
      <c r="S15" s="62">
        <f ca="1">AVERAGE(OFFSET($R$3,0,0,'Données projet'!$E$9+1,1))-AVERAGE(OFFSET($H$3,0,0,'Données projet'!$E$9+1,1))</f>
        <v>406.64650428071837</v>
      </c>
      <c r="T15" s="62">
        <f t="shared" si="34"/>
        <v>250.47702091764884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2.8</v>
      </c>
      <c r="N16" s="14">
        <f>IF('Données projet'!$A$36&gt;35,N15+M16-V15,IF(A16&lt;'Données projet'!$A$36,$K$205^A16,IF(A16='Données projet'!$A$36,'Données projet'!$B$36,N15+M16-V15)))</f>
        <v>9.1085863706396779</v>
      </c>
      <c r="O16" s="14">
        <f>N16*VLOOKUP('Données projet'!$B$9,Paramètres!$A$1:$I$89,3,0)*VLOOKUP('Données projet'!$B$9,Paramètres!$A$1:$I$89,5,0)</f>
        <v>8.2414489481547797</v>
      </c>
      <c r="P16" s="14">
        <f t="shared" si="33"/>
        <v>2.971206399035617</v>
      </c>
      <c r="Q16" s="22">
        <f t="shared" si="2"/>
        <v>19.528708063023274</v>
      </c>
      <c r="R16" s="62">
        <f t="shared" si="0"/>
        <v>219.06970831464207</v>
      </c>
      <c r="S16" s="62">
        <f ca="1">AVERAGE(OFFSET($R$3,0,0,'Données projet'!$E$9+1,1))-AVERAGE(OFFSET($H$3,0,0,'Données projet'!$E$9+1,1))</f>
        <v>406.64650428071837</v>
      </c>
      <c r="T16" s="62">
        <f t="shared" si="34"/>
        <v>250.47702091764884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2.8</v>
      </c>
      <c r="N17" s="14">
        <f>IF('Données projet'!$A$36&gt;35,N16+M17-V16,IF(A17&lt;'Données projet'!$A$36,$K$205^A17,IF(A17='Données projet'!$A$36,'Données projet'!$B$36,N16+M17-V16)))</f>
        <v>10.795801791490293</v>
      </c>
      <c r="O17" s="14">
        <f>N17*VLOOKUP('Données projet'!$B$9,Paramètres!$A$1:$I$89,3,0)*VLOOKUP('Données projet'!$B$9,Paramètres!$A$1:$I$89,5,0)</f>
        <v>9.7680414609404167</v>
      </c>
      <c r="P17" s="14">
        <f t="shared" si="33"/>
        <v>3.4525976202477158</v>
      </c>
      <c r="Q17" s="22">
        <f t="shared" si="2"/>
        <v>23.025946399735997</v>
      </c>
      <c r="R17" s="62">
        <f t="shared" si="0"/>
        <v>225.05580817200919</v>
      </c>
      <c r="S17" s="62">
        <f ca="1">AVERAGE(OFFSET($R$3,0,0,'Données projet'!$E$9+1,1))-AVERAGE(OFFSET($H$3,0,0,'Données projet'!$E$9+1,1))</f>
        <v>406.64650428071837</v>
      </c>
      <c r="T17" s="62">
        <f t="shared" si="34"/>
        <v>250.47702091764884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2.8</v>
      </c>
      <c r="N18" s="14">
        <f>IF('Données projet'!$A$36&gt;35,N17+M18-V17,IF(A18&lt;'Données projet'!$A$36,$K$205^A18,IF(A18='Données projet'!$A$36,'Données projet'!$B$36,N17+M18-V17)))</f>
        <v>12.795546046181913</v>
      </c>
      <c r="O18" s="14">
        <f>N18*VLOOKUP('Données projet'!$B$9,Paramètres!$A$1:$I$89,3,0)*VLOOKUP('Données projet'!$B$9,Paramètres!$A$1:$I$89,5,0)</f>
        <v>11.577410062585395</v>
      </c>
      <c r="P18" s="14">
        <f t="shared" si="33"/>
        <v>4.0119832574435987</v>
      </c>
      <c r="Q18" s="22">
        <f t="shared" si="2"/>
        <v>27.151526699050493</v>
      </c>
      <c r="R18" s="62">
        <f t="shared" si="0"/>
        <v>231.64827663193154</v>
      </c>
      <c r="S18" s="62">
        <f ca="1">AVERAGE(OFFSET($R$3,0,0,'Données projet'!$E$9+1,1))-AVERAGE(OFFSET($H$3,0,0,'Données projet'!$E$9+1,1))</f>
        <v>406.64650428071837</v>
      </c>
      <c r="T18" s="62">
        <f t="shared" si="34"/>
        <v>250.47702091764884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2.8</v>
      </c>
      <c r="N19" s="14">
        <f>IF('Données projet'!$A$36&gt;35,N18+M19-V18,IF(A19&lt;'Données projet'!$A$36,$K$205^A19,IF(A19='Données projet'!$A$36,'Données projet'!$B$36,N18+M19-V18)))</f>
        <v>15.165709947455436</v>
      </c>
      <c r="O19" s="14">
        <f>N19*VLOOKUP('Données projet'!$B$9,Paramètres!$A$1:$I$89,3,0)*VLOOKUP('Données projet'!$B$9,Paramètres!$A$1:$I$89,5,0)</f>
        <v>13.721934360457679</v>
      </c>
      <c r="P19" s="14">
        <f t="shared" si="33"/>
        <v>4.6619998703622194</v>
      </c>
      <c r="Q19" s="22">
        <f t="shared" si="2"/>
        <v>32.018685452011319</v>
      </c>
      <c r="R19" s="62">
        <f t="shared" si="0"/>
        <v>238.96073137412537</v>
      </c>
      <c r="S19" s="62">
        <f ca="1">AVERAGE(OFFSET($R$3,0,0,'Données projet'!$E$9+1,1))-AVERAGE(OFFSET($H$3,0,0,'Données projet'!$E$9+1,1))</f>
        <v>406.64650428071837</v>
      </c>
      <c r="T19" s="62">
        <f t="shared" si="34"/>
        <v>250.47702091764884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2.8</v>
      </c>
      <c r="N20" s="14">
        <f>IF('Données projet'!$A$36&gt;35,N19+M20-V19,IF(A20&lt;'Données projet'!$A$36,$K$205^A20,IF(A20='Données projet'!$A$36,'Données projet'!$B$36,N19+M20-V19)))</f>
        <v>17.974907626468866</v>
      </c>
      <c r="O20" s="14">
        <f>N20*VLOOKUP('Données projet'!$B$9,Paramètres!$A$1:$I$89,3,0)*VLOOKUP('Données projet'!$B$9,Paramètres!$A$1:$I$89,5,0)</f>
        <v>16.263696420429028</v>
      </c>
      <c r="P20" s="14">
        <f t="shared" si="33"/>
        <v>5.4173313786723556</v>
      </c>
      <c r="Q20" s="22">
        <f t="shared" si="2"/>
        <v>37.761123416768235</v>
      </c>
      <c r="R20" s="62">
        <f t="shared" si="0"/>
        <v>247.12724773264097</v>
      </c>
      <c r="S20" s="62">
        <f ca="1">AVERAGE(OFFSET($R$3,0,0,'Données projet'!$E$9+1,1))-AVERAGE(OFFSET($H$3,0,0,'Données projet'!$E$9+1,1))</f>
        <v>406.64650428071837</v>
      </c>
      <c r="T20" s="62">
        <f t="shared" si="34"/>
        <v>250.47702091764884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2.8</v>
      </c>
      <c r="N21" s="14">
        <f>IF('Données projet'!$A$36&gt;35,N20+M21-V20,IF(A21&lt;'Données projet'!$A$36,$K$205^A21,IF(A21='Données projet'!$A$36,'Données projet'!$B$36,N20+M21-V20)))</f>
        <v>21.304462850702166</v>
      </c>
      <c r="O21" s="14">
        <f>N21*VLOOKUP('Données projet'!$B$9,Paramètres!$A$1:$I$89,3,0)*VLOOKUP('Données projet'!$B$9,Paramètres!$A$1:$I$89,5,0)</f>
        <v>19.276277987315318</v>
      </c>
      <c r="P21" s="14">
        <f t="shared" si="33"/>
        <v>6.2950407727205615</v>
      </c>
      <c r="Q21" s="22">
        <f t="shared" si="2"/>
        <v>44.536713507062494</v>
      </c>
      <c r="R21" s="62">
        <f t="shared" si="0"/>
        <v>256.30606669906558</v>
      </c>
      <c r="S21" s="62">
        <f ca="1">AVERAGE(OFFSET($R$3,0,0,'Données projet'!$E$9+1,1))-AVERAGE(OFFSET($H$3,0,0,'Données projet'!$E$9+1,1))</f>
        <v>406.64650428071837</v>
      </c>
      <c r="T21" s="62">
        <f t="shared" si="34"/>
        <v>250.47702091764884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2.8</v>
      </c>
      <c r="N22" s="14">
        <f>IF('Données projet'!$A$36&gt;35,N21+M22-V21,IF(A22&lt;'Données projet'!$A$36,$K$205^A22,IF(A22='Données projet'!$A$36,'Données projet'!$B$36,N21+M22-V21)))</f>
        <v>25.250763274498809</v>
      </c>
      <c r="O22" s="14">
        <f>N22*VLOOKUP('Données projet'!$B$9,Paramètres!$A$1:$I$89,3,0)*VLOOKUP('Données projet'!$B$9,Paramètres!$A$1:$I$89,5,0)</f>
        <v>22.846890610766522</v>
      </c>
      <c r="P22" s="14">
        <f t="shared" si="33"/>
        <v>7.3149555676481315</v>
      </c>
      <c r="Q22" s="22">
        <f t="shared" si="2"/>
        <v>52.531882094072188</v>
      </c>
      <c r="R22" s="62">
        <f t="shared" si="0"/>
        <v>266.68397633709571</v>
      </c>
      <c r="S22" s="62">
        <f ca="1">AVERAGE(OFFSET($R$3,0,0,'Données projet'!$E$9+1,1))-AVERAGE(OFFSET($H$3,0,0,'Données projet'!$E$9+1,1))</f>
        <v>406.64650428071837</v>
      </c>
      <c r="T22" s="62">
        <f t="shared" si="34"/>
        <v>250.47702091764884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2.8</v>
      </c>
      <c r="N23" s="14">
        <f>IF('Données projet'!$A$36&gt;35,N22+M23-V22,IF(A23&lt;'Données projet'!$A$36,$K$205^A23,IF(A23='Données projet'!$A$36,'Données projet'!$B$36,N22+M23-V22)))</f>
        <v>29.92805077569761</v>
      </c>
      <c r="O23" s="14">
        <f>N23*VLOOKUP('Données projet'!$B$9,Paramètres!$A$1:$I$89,3,0)*VLOOKUP('Données projet'!$B$9,Paramètres!$A$1:$I$89,5,0)</f>
        <v>27.078900341851195</v>
      </c>
      <c r="P23" s="14">
        <f t="shared" si="33"/>
        <v>8.5001157083119736</v>
      </c>
      <c r="Q23" s="22">
        <f t="shared" si="2"/>
        <v>61.966786287367512</v>
      </c>
      <c r="R23" s="62">
        <f t="shared" si="0"/>
        <v>278.48148917426323</v>
      </c>
      <c r="S23" s="62">
        <f ca="1">AVERAGE(OFFSET($R$3,0,0,'Données projet'!$E$9+1,1))-AVERAGE(OFFSET($H$3,0,0,'Données projet'!$E$9+1,1))</f>
        <v>406.64650428071837</v>
      </c>
      <c r="T23" s="62">
        <f t="shared" si="34"/>
        <v>250.47702091764884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2.8</v>
      </c>
      <c r="N24" s="14">
        <f>IF('Données projet'!$A$36&gt;35,N23+M24-V23,IF(A24&lt;'Données projet'!$A$36,$K$205^A24,IF(A24='Données projet'!$A$36,'Données projet'!$B$36,N23+M24-V23)))</f>
        <v>35.471728656111772</v>
      </c>
      <c r="O24" s="14">
        <f>N24*VLOOKUP('Données projet'!$B$9,Paramètres!$A$1:$I$89,3,0)*VLOOKUP('Données projet'!$B$9,Paramètres!$A$1:$I$89,5,0)</f>
        <v>32.094820088049929</v>
      </c>
      <c r="P24" s="14">
        <f t="shared" si="33"/>
        <v>9.8772940432120837</v>
      </c>
      <c r="Q24" s="22">
        <f t="shared" si="2"/>
        <v>73.101432111948</v>
      </c>
      <c r="R24" s="62">
        <f t="shared" si="0"/>
        <v>291.95896048782237</v>
      </c>
      <c r="S24" s="62">
        <f ca="1">AVERAGE(OFFSET($R$3,0,0,'Données projet'!$E$9+1,1))-AVERAGE(OFFSET($H$3,0,0,'Données projet'!$E$9+1,1))</f>
        <v>406.64650428071837</v>
      </c>
      <c r="T24" s="62">
        <f t="shared" si="34"/>
        <v>250.47702091764884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2.8</v>
      </c>
      <c r="N25" s="14">
        <f>IF('Données projet'!$A$36&gt;35,N24+M25-V24,IF(A25&lt;'Données projet'!$A$36,$K$205^A25,IF(A25='Données projet'!$A$36,'Données projet'!$B$36,N24+M25-V24)))</f>
        <v>42.042281446359659</v>
      </c>
      <c r="O25" s="14">
        <f>N25*VLOOKUP('Données projet'!$B$9,Paramètres!$A$1:$I$89,3,0)*VLOOKUP('Données projet'!$B$9,Paramètres!$A$1:$I$89,5,0)</f>
        <v>38.039856252666219</v>
      </c>
      <c r="P25" s="14">
        <f t="shared" si="33"/>
        <v>11.477601124967212</v>
      </c>
      <c r="Q25" s="22">
        <f t="shared" si="2"/>
        <v>86.242904932711554</v>
      </c>
      <c r="R25" s="62">
        <f t="shared" si="0"/>
        <v>307.42381883617998</v>
      </c>
      <c r="S25" s="62">
        <f ca="1">AVERAGE(OFFSET($R$3,0,0,'Données projet'!$E$9+1,1))-AVERAGE(OFFSET($H$3,0,0,'Données projet'!$E$9+1,1))</f>
        <v>406.64650428071837</v>
      </c>
      <c r="T25" s="62">
        <f t="shared" si="34"/>
        <v>250.47702091764884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2.8</v>
      </c>
      <c r="N26" s="14">
        <f>IF('Données projet'!$A$36&gt;35,N25+M26-V25,IF(A26&lt;'Données projet'!$A$36,$K$205^A26,IF(A26='Données projet'!$A$36,'Données projet'!$B$36,N25+M26-V25)))</f>
        <v>49.82992078990118</v>
      </c>
      <c r="O26" s="14">
        <f>N26*VLOOKUP('Données projet'!$B$9,Paramètres!$A$1:$I$89,3,0)*VLOOKUP('Données projet'!$B$9,Paramètres!$A$1:$I$89,5,0)</f>
        <v>45.086112330702591</v>
      </c>
      <c r="P26" s="14">
        <f t="shared" si="33"/>
        <v>13.337187999822708</v>
      </c>
      <c r="Q26" s="22">
        <f t="shared" si="2"/>
        <v>101.75391474233156</v>
      </c>
      <c r="R26" s="62">
        <f t="shared" si="0"/>
        <v>325.23911145187805</v>
      </c>
      <c r="S26" s="62">
        <f ca="1">AVERAGE(OFFSET($R$3,0,0,'Données projet'!$E$9+1,1))-AVERAGE(OFFSET($H$3,0,0,'Données projet'!$E$9+1,1))</f>
        <v>406.64650428071837</v>
      </c>
      <c r="T26" s="62">
        <f t="shared" si="34"/>
        <v>250.47702091764884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2.8</v>
      </c>
      <c r="N27" s="14">
        <f>IF('Données projet'!$A$36&gt;35,N26+M27-V26,IF(A27&lt;'Données projet'!$A$36,$K$205^A27,IF(A27='Données projet'!$A$36,'Données projet'!$B$36,N26+M27-V26)))</f>
        <v>59.060091900479499</v>
      </c>
      <c r="O27" s="14">
        <f>N27*VLOOKUP('Données projet'!$B$9,Paramètres!$A$1:$I$89,3,0)*VLOOKUP('Données projet'!$B$9,Paramètres!$A$1:$I$89,5,0)</f>
        <v>53.437571151553847</v>
      </c>
      <c r="P27" s="14">
        <f t="shared" si="33"/>
        <v>15.498062862253629</v>
      </c>
      <c r="Q27" s="22">
        <f t="shared" si="2"/>
        <v>120.06289590738133</v>
      </c>
      <c r="R27" s="62">
        <f t="shared" si="0"/>
        <v>345.83360409100112</v>
      </c>
      <c r="S27" s="62">
        <f ca="1">AVERAGE(OFFSET($R$3,0,0,'Données projet'!$E$9+1,1))-AVERAGE(OFFSET($H$3,0,0,'Données projet'!$E$9+1,1))</f>
        <v>406.64650428071837</v>
      </c>
      <c r="T27" s="62">
        <f t="shared" si="34"/>
        <v>250.47702091764884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70</v>
      </c>
      <c r="L28" s="13">
        <f>VLOOKUP(A28,'Données projet'!$A$35:$I$55,9,0)</f>
        <v>2.8</v>
      </c>
      <c r="M28" s="13">
        <f t="array" ref="M28">INDEX(L:L,MIN(IF(ISNUMBER(L28:L224),ROW(L28:L224),"")))</f>
        <v>2.8</v>
      </c>
      <c r="N28" s="14">
        <f>IF('Données projet'!$A$36&gt;35,N27+M28-V27,IF(A28&lt;'Données projet'!$A$36,$K$205^A28,IF(A28='Données projet'!$A$36,'Données projet'!$B$36,N27+M28-V27)))</f>
        <v>70</v>
      </c>
      <c r="O28" s="14">
        <f>N28*VLOOKUP('Données projet'!$B$9,Paramètres!$A$1:$I$89,3,0)*VLOOKUP('Données projet'!$B$9,Paramètres!$A$1:$I$89,5,0)</f>
        <v>63.335999999999991</v>
      </c>
      <c r="P28" s="14">
        <f t="shared" si="33"/>
        <v>18.009040022946227</v>
      </c>
      <c r="Q28" s="22">
        <f t="shared" si="2"/>
        <v>141.67594470663133</v>
      </c>
      <c r="R28" s="62">
        <f t="shared" si="0"/>
        <v>369.71371867296341</v>
      </c>
      <c r="S28" s="62">
        <f ca="1">AVERAGE(OFFSET($R$3,0,0,'Données projet'!$E$9+1,1))-AVERAGE(OFFSET($H$3,0,0,'Données projet'!$E$9+1,1))</f>
        <v>406.64650428071837</v>
      </c>
      <c r="T28" s="62">
        <f t="shared" si="34"/>
        <v>250.47702091764884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8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1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6.8296252186796416</v>
      </c>
      <c r="AC28" s="24">
        <f t="shared" si="3"/>
        <v>6.8296252186796416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</v>
      </c>
      <c r="N29" s="14">
        <f>IF('Données projet'!$A$36&gt;35,N28+M29-V28,IF(A29&lt;'Données projet'!$A$36,$K$205^A29,IF(A29='Données projet'!$A$36,'Données projet'!$B$36,N28+M29-V28)))</f>
        <v>69</v>
      </c>
      <c r="O29" s="14">
        <f>N29*VLOOKUP('Données projet'!$B$9,Paramètres!$A$1:$I$89,3,0)*VLOOKUP('Données projet'!$B$9,Paramètres!$A$1:$I$89,5,0)</f>
        <v>62.431199999999997</v>
      </c>
      <c r="P29" s="14">
        <f t="shared" si="33"/>
        <v>17.781524466058684</v>
      </c>
      <c r="Q29" s="22">
        <f t="shared" si="2"/>
        <v>139.70382844505221</v>
      </c>
      <c r="R29" s="62">
        <f t="shared" si="0"/>
        <v>369.99054249424239</v>
      </c>
      <c r="S29" s="62">
        <f ca="1">AVERAGE(OFFSET($R$3,0,0,'Données projet'!$E$9+1,1))-AVERAGE(OFFSET($H$3,0,0,'Données projet'!$E$9+1,1))</f>
        <v>406.64650428071837</v>
      </c>
      <c r="T29" s="62">
        <f t="shared" si="34"/>
        <v>250.47702091764884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4.8292743050910323</v>
      </c>
      <c r="AC29" s="24">
        <f t="shared" si="3"/>
        <v>4.8292743050910323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</v>
      </c>
      <c r="N30" s="14">
        <f>IF('Données projet'!$A$36&gt;35,N29+M30-V29,IF(A30&lt;'Données projet'!$A$36,$K$205^A30,IF(A30='Données projet'!$A$36,'Données projet'!$B$36,N29+M30-V29)))</f>
        <v>76</v>
      </c>
      <c r="O30" s="14">
        <f>N30*VLOOKUP('Données projet'!$B$9,Paramètres!$A$1:$I$89,3,0)*VLOOKUP('Données projet'!$B$9,Paramètres!$A$1:$I$89,5,0)</f>
        <v>68.764799999999994</v>
      </c>
      <c r="P30" s="14">
        <f t="shared" si="33"/>
        <v>19.366396769521369</v>
      </c>
      <c r="Q30" s="22">
        <f t="shared" si="2"/>
        <v>153.49516770691636</v>
      </c>
      <c r="R30" s="62">
        <f t="shared" si="0"/>
        <v>386.0130105794799</v>
      </c>
      <c r="S30" s="62">
        <f ca="1">AVERAGE(OFFSET($R$3,0,0,'Données projet'!$E$9+1,1))-AVERAGE(OFFSET($H$3,0,0,'Données projet'!$E$9+1,1))</f>
        <v>406.64650428071837</v>
      </c>
      <c r="T30" s="62">
        <f t="shared" si="34"/>
        <v>250.47702091764884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3.4148126093398212</v>
      </c>
      <c r="AC30" s="24">
        <f t="shared" si="3"/>
        <v>3.4148126093398212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</v>
      </c>
      <c r="N31" s="14">
        <f>IF('Données projet'!$A$36&gt;35,N30+M31-V30,IF(A31&lt;'Données projet'!$A$36,$K$205^A31,IF(A31='Données projet'!$A$36,'Données projet'!$B$36,N30+M31-V30)))</f>
        <v>83</v>
      </c>
      <c r="O31" s="14">
        <f>N31*VLOOKUP('Données projet'!$B$9,Paramètres!$A$1:$I$89,3,0)*VLOOKUP('Données projet'!$B$9,Paramètres!$A$1:$I$89,5,0)</f>
        <v>75.098399999999998</v>
      </c>
      <c r="P31" s="14">
        <f t="shared" si="33"/>
        <v>20.934343091450742</v>
      </c>
      <c r="Q31" s="22">
        <f t="shared" si="2"/>
        <v>167.25702755094335</v>
      </c>
      <c r="R31" s="62">
        <f t="shared" si="0"/>
        <v>401.98849697292746</v>
      </c>
      <c r="S31" s="62">
        <f ca="1">AVERAGE(OFFSET($R$3,0,0,'Données projet'!$E$9+1,1))-AVERAGE(OFFSET($H$3,0,0,'Données projet'!$E$9+1,1))</f>
        <v>406.64650428071837</v>
      </c>
      <c r="T31" s="62">
        <f t="shared" si="34"/>
        <v>250.47702091764884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2.4146371525455166</v>
      </c>
      <c r="AC31" s="24">
        <f t="shared" si="3"/>
        <v>2.4146371525455166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</v>
      </c>
      <c r="N32" s="14">
        <f>IF('Données projet'!$A$36&gt;35,N31+M32-V31,IF(A32&lt;'Données projet'!$A$36,$K$205^A32,IF(A32='Données projet'!$A$36,'Données projet'!$B$36,N31+M32-V31)))</f>
        <v>90</v>
      </c>
      <c r="O32" s="14">
        <f>N32*VLOOKUP('Données projet'!$B$9,Paramètres!$A$1:$I$89,3,0)*VLOOKUP('Données projet'!$B$9,Paramètres!$A$1:$I$89,5,0)</f>
        <v>81.432000000000002</v>
      </c>
      <c r="P32" s="14">
        <f t="shared" si="33"/>
        <v>22.486953220240881</v>
      </c>
      <c r="Q32" s="22">
        <f t="shared" si="2"/>
        <v>180.99217685858619</v>
      </c>
      <c r="R32" s="62">
        <f t="shared" si="0"/>
        <v>417.920074181362</v>
      </c>
      <c r="S32" s="62">
        <f ca="1">AVERAGE(OFFSET($R$3,0,0,'Données projet'!$E$9+1,1))-AVERAGE(OFFSET($H$3,0,0,'Données projet'!$E$9+1,1))</f>
        <v>406.64650428071837</v>
      </c>
      <c r="T32" s="62">
        <f t="shared" si="34"/>
        <v>250.47702091764884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1.7074063046699108</v>
      </c>
      <c r="AC32" s="24">
        <f t="shared" si="3"/>
        <v>1.7074063046699108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97</v>
      </c>
      <c r="L33" s="13">
        <f>VLOOKUP(A33,'Données projet'!$A$35:$I$55,9,0)</f>
        <v>7</v>
      </c>
      <c r="M33" s="13">
        <f t="array" ref="M33">INDEX(L:L,MIN(IF(ISNUMBER(L33:L229),ROW(L33:L229),"")))</f>
        <v>7</v>
      </c>
      <c r="N33" s="14">
        <f>IF('Données projet'!$A$36&gt;35,N32+M33-V32,IF(A33&lt;'Données projet'!$A$36,$K$205^A33,IF(A33='Données projet'!$A$36,'Données projet'!$B$36,N32+M33-V32)))</f>
        <v>97</v>
      </c>
      <c r="O33" s="14">
        <f>N33*VLOOKUP('Données projet'!$B$9,Paramètres!$A$1:$I$89,3,0)*VLOOKUP('Données projet'!$B$9,Paramètres!$A$1:$I$89,5,0)</f>
        <v>87.765600000000006</v>
      </c>
      <c r="P33" s="14">
        <f t="shared" si="33"/>
        <v>24.025555589247954</v>
      </c>
      <c r="Q33" s="22">
        <f t="shared" si="2"/>
        <v>194.7029293179402</v>
      </c>
      <c r="R33" s="62">
        <f t="shared" si="0"/>
        <v>433.81035425098219</v>
      </c>
      <c r="S33" s="62">
        <f ca="1">AVERAGE(OFFSET($R$3,0,0,'Données projet'!$E$9+1,1))-AVERAGE(OFFSET($H$3,0,0,'Données projet'!$E$9+1,1))</f>
        <v>406.64650428071837</v>
      </c>
      <c r="T33" s="62">
        <f t="shared" si="34"/>
        <v>250.47702091764884</v>
      </c>
      <c r="U33" s="16">
        <f>IF(ISNA(VLOOKUP(A33,'Données projet'!$A$35:$I$55,3,0)),0,VLOOKUP(A33,'Données projet'!$A$35:$I$55,3,0))</f>
        <v>2</v>
      </c>
      <c r="V33" s="16">
        <f>IF(ISNA(VLOOKUP(A33,'Données projet'!$A$35:$I$55,4,0)),0,VLOOKUP(A33,'Données projet'!$A$35:$I$55,4,0))</f>
        <v>21</v>
      </c>
      <c r="W33" s="17">
        <f>IF(ISNA(VLOOKUP(A33,'Données projet'!$A$35:$I$55,5,0)),0%,VLOOKUP(A33,'Données projet'!$A$35:$I$55,5,0)*VLOOKUP('Données projet'!$B$9,Paramètres!$A$1:$I$89,7,0))</f>
        <v>2.1500000000000002E-2</v>
      </c>
      <c r="X33" s="17">
        <f>IF(ISNA(VLOOKUP(A33,'Données projet'!$A$35:$I$55,6,0)),0%,VLOOKUP(A33,'Données projet'!$A$35:$I$55,6,0)*VLOOKUP('Données projet'!$B$9,Paramètres!$A$1:$I$89,7,0))</f>
        <v>0.1075</v>
      </c>
      <c r="Y33" s="17">
        <f>IF(ISNA(VLOOKUP(A33,'Données projet'!$A$35:$I$55,7,0)),0%,VLOOKUP(A33,'Données projet'!$A$35:$I$55,7,0))</f>
        <v>0.7</v>
      </c>
      <c r="Z33" s="23">
        <f>EXP(-LN(2)/35)*Z32+(1-EXP(-LN(2)/35))/(LN(2)/35)*V33*W33*VLOOKUP('Données projet'!$B$9,Paramètres!$A$1:$I$89,3,0)*0.475*44/12</f>
        <v>0.45160366412973807</v>
      </c>
      <c r="AA33" s="23">
        <f>EXP(-LN(2)/25)*AA32+(1-EXP(-LN(2)/25))/(LN(2)/25)*Calculateur!V33*Calculateur!X33*VLOOKUP('Données projet'!$B$9,Paramètres!$A$1:$I$89,3,0)*0.475*44/12</f>
        <v>2.2491276421478639</v>
      </c>
      <c r="AB33" s="23">
        <f>EXP(-LN(2)/2)*AB32+(1-EXP(-LN(2)/2))/(LN(2)/2)*V33*Y33*VLOOKUP('Données projet'!$B$9,Paramètres!$A$1:$I$89,3,0)*0.475*44/12</f>
        <v>13.756754915596598</v>
      </c>
      <c r="AC33" s="24">
        <f t="shared" si="3"/>
        <v>16.457486221874198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8</v>
      </c>
      <c r="N34" s="14">
        <f>IF('Données projet'!$A$36&gt;35,N33+M34-V33,IF(A34&lt;'Données projet'!$A$36,$K$205^A34,IF(A34='Données projet'!$A$36,'Données projet'!$B$36,N33+M34-V33)))</f>
        <v>84</v>
      </c>
      <c r="O34" s="14">
        <f>N34*VLOOKUP('Données projet'!$B$9,Paramètres!$A$1:$I$89,3,0)*VLOOKUP('Données projet'!$B$9,Paramètres!$A$1:$I$89,5,0)</f>
        <v>76.003200000000007</v>
      </c>
      <c r="P34" s="14">
        <f t="shared" si="33"/>
        <v>21.157049992000456</v>
      </c>
      <c r="Q34" s="22">
        <f t="shared" si="2"/>
        <v>169.22076873606747</v>
      </c>
      <c r="R34" s="62">
        <f t="shared" si="0"/>
        <v>409.26889194888503</v>
      </c>
      <c r="S34" s="62">
        <f ca="1">AVERAGE(OFFSET($R$3,0,0,'Données projet'!$E$9+1,1))-AVERAGE(OFFSET($H$3,0,0,'Données projet'!$E$9+1,1))</f>
        <v>406.64650428071837</v>
      </c>
      <c r="T34" s="62">
        <f t="shared" si="34"/>
        <v>250.47702091764884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0.44274799172719048</v>
      </c>
      <c r="AA34" s="23">
        <f>EXP(-LN(2)/25)*AA33+(1-EXP(-LN(2)/25))/(LN(2)/25)*Calculateur!V34*Calculateur!X34*VLOOKUP('Données projet'!$B$9,Paramètres!$A$1:$I$89,3,0)*0.475*44/12</f>
        <v>2.1876251284968484</v>
      </c>
      <c r="AB34" s="23">
        <f>EXP(-LN(2)/2)*AB33+(1-EXP(-LN(2)/2))/(LN(2)/2)*V34*Y34*VLOOKUP('Données projet'!$B$9,Paramètres!$A$1:$I$89,3,0)*0.475*44/12</f>
        <v>9.7274946879397266</v>
      </c>
      <c r="AC34" s="24">
        <f t="shared" si="3"/>
        <v>12.357867808163766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8</v>
      </c>
      <c r="N35" s="14">
        <f>IF('Données projet'!$A$36&gt;35,N34+M35-V34,IF(A35&lt;'Données projet'!$A$36,$K$205^A35,IF(A35='Données projet'!$A$36,'Données projet'!$B$36,N34+M35-V34)))</f>
        <v>92</v>
      </c>
      <c r="O35" s="14">
        <f>N35*VLOOKUP('Données projet'!$B$9,Paramètres!$A$1:$I$89,3,0)*VLOOKUP('Données projet'!$B$9,Paramètres!$A$1:$I$89,5,0)</f>
        <v>83.241600000000005</v>
      </c>
      <c r="P35" s="14">
        <f t="shared" si="33"/>
        <v>22.927930643846508</v>
      </c>
      <c r="Q35" s="22">
        <f t="shared" ref="Q35:Q66" si="53">(O35+P35)*0.475*44/12</f>
        <v>184.91193253803269</v>
      </c>
      <c r="R35" s="62">
        <f t="shared" si="0"/>
        <v>425.88443501855801</v>
      </c>
      <c r="S35" s="62">
        <f ca="1">AVERAGE(OFFSET($R$3,0,0,'Données projet'!$E$9+1,1))-AVERAGE(OFFSET($H$3,0,0,'Données projet'!$E$9+1,1))</f>
        <v>406.64650428071837</v>
      </c>
      <c r="T35" s="62">
        <f t="shared" si="34"/>
        <v>250.47702091764884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0.43406597365903005</v>
      </c>
      <c r="AA35" s="23">
        <f>EXP(-LN(2)/25)*AA34+(1-EXP(-LN(2)/25))/(LN(2)/25)*Calculateur!V35*Calculateur!X35*VLOOKUP('Données projet'!$B$9,Paramètres!$A$1:$I$89,3,0)*0.475*44/12</f>
        <v>2.1278044043158966</v>
      </c>
      <c r="AB35" s="23">
        <f>EXP(-LN(2)/2)*AB34+(1-EXP(-LN(2)/2))/(LN(2)/2)*V35*Y35*VLOOKUP('Données projet'!$B$9,Paramètres!$A$1:$I$89,3,0)*0.475*44/12</f>
        <v>6.8783774577983001</v>
      </c>
      <c r="AC35" s="24">
        <f t="shared" si="3"/>
        <v>9.4402478357732278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8</v>
      </c>
      <c r="N36" s="14">
        <f>IF('Données projet'!$A$36&gt;35,N35+M36-V35,IF(A36&lt;'Données projet'!$A$36,$K$205^A36,IF(A36='Données projet'!$A$36,'Données projet'!$B$36,N35+M36-V35)))</f>
        <v>100</v>
      </c>
      <c r="O36" s="14">
        <f>N36*VLOOKUP('Données projet'!$B$9,Paramètres!$A$1:$I$89,3,0)*VLOOKUP('Données projet'!$B$9,Paramètres!$A$1:$I$89,5,0)</f>
        <v>90.47999999999999</v>
      </c>
      <c r="P36" s="14">
        <f t="shared" si="33"/>
        <v>24.680953573367994</v>
      </c>
      <c r="Q36" s="22">
        <f t="shared" si="53"/>
        <v>200.57199414028256</v>
      </c>
      <c r="R36" s="62">
        <f t="shared" si="0"/>
        <v>442.45283997482329</v>
      </c>
      <c r="S36" s="62">
        <f ca="1">AVERAGE(OFFSET($R$3,0,0,'Données projet'!$E$9+1,1))-AVERAGE(OFFSET($H$3,0,0,'Données projet'!$E$9+1,1))</f>
        <v>406.64650428071837</v>
      </c>
      <c r="T36" s="62">
        <f t="shared" si="34"/>
        <v>250.47702091764884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0.42555420466967808</v>
      </c>
      <c r="AA36" s="23">
        <f>EXP(-LN(2)/25)*AA35+(1-EXP(-LN(2)/25))/(LN(2)/25)*Calculateur!V36*Calculateur!X36*VLOOKUP('Données projet'!$B$9,Paramètres!$A$1:$I$89,3,0)*0.475*44/12</f>
        <v>2.069619480983508</v>
      </c>
      <c r="AB36" s="23">
        <f>EXP(-LN(2)/2)*AB35+(1-EXP(-LN(2)/2))/(LN(2)/2)*V36*Y36*VLOOKUP('Données projet'!$B$9,Paramètres!$A$1:$I$89,3,0)*0.475*44/12</f>
        <v>4.8637473439698642</v>
      </c>
      <c r="AC36" s="24">
        <f t="shared" si="3"/>
        <v>7.3589210296230503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8</v>
      </c>
      <c r="N37" s="14">
        <f>IF('Données projet'!$A$36&gt;35,N36+M37-V36,IF(A37&lt;'Données projet'!$A$36,$K$205^A37,IF(A37='Données projet'!$A$36,'Données projet'!$B$36,N36+M37-V36)))</f>
        <v>108</v>
      </c>
      <c r="O37" s="14">
        <f>N37*VLOOKUP('Données projet'!$B$9,Paramètres!$A$1:$I$89,3,0)*VLOOKUP('Données projet'!$B$9,Paramètres!$A$1:$I$89,5,0)</f>
        <v>97.718399999999988</v>
      </c>
      <c r="P37" s="14">
        <f t="shared" si="33"/>
        <v>26.417709819192194</v>
      </c>
      <c r="Q37" s="22">
        <f t="shared" si="53"/>
        <v>216.20372460175972</v>
      </c>
      <c r="R37" s="62">
        <f t="shared" si="0"/>
        <v>458.97715606387533</v>
      </c>
      <c r="S37" s="62">
        <f ca="1">AVERAGE(OFFSET($R$3,0,0,'Données projet'!$E$9+1,1))-AVERAGE(OFFSET($H$3,0,0,'Données projet'!$E$9+1,1))</f>
        <v>406.64650428071837</v>
      </c>
      <c r="T37" s="62">
        <f t="shared" si="34"/>
        <v>250.47702091764884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0.41720934627854089</v>
      </c>
      <c r="AA37" s="23">
        <f>EXP(-LN(2)/25)*AA36+(1-EXP(-LN(2)/25))/(LN(2)/25)*Calculateur!V37*Calculateur!X37*VLOOKUP('Données projet'!$B$9,Paramètres!$A$1:$I$89,3,0)*0.475*44/12</f>
        <v>2.0130256274394558</v>
      </c>
      <c r="AB37" s="23">
        <f>EXP(-LN(2)/2)*AB36+(1-EXP(-LN(2)/2))/(LN(2)/2)*V37*Y37*VLOOKUP('Données projet'!$B$9,Paramètres!$A$1:$I$89,3,0)*0.475*44/12</f>
        <v>3.4391887288991505</v>
      </c>
      <c r="AC37" s="24">
        <f t="shared" si="3"/>
        <v>5.869423702617147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116</v>
      </c>
      <c r="L38" s="13">
        <f>VLOOKUP(A38,'Données projet'!$A$35:$I$55,9,0)</f>
        <v>8</v>
      </c>
      <c r="M38" s="13">
        <f t="array" ref="M38">INDEX(L:L,MIN(IF(ISNUMBER(L38:L234),ROW(L38:L234),"")))</f>
        <v>8</v>
      </c>
      <c r="N38" s="14">
        <f>IF('Données projet'!$A$36&gt;35,N37+M38-V37,IF(A38&lt;'Données projet'!$A$36,$K$205^A38,IF(A38='Données projet'!$A$36,'Données projet'!$B$36,N37+M38-V37)))</f>
        <v>116</v>
      </c>
      <c r="O38" s="14">
        <f>N38*VLOOKUP('Données projet'!$B$9,Paramètres!$A$1:$I$89,3,0)*VLOOKUP('Données projet'!$B$9,Paramètres!$A$1:$I$89,5,0)</f>
        <v>104.9568</v>
      </c>
      <c r="P38" s="14">
        <f t="shared" si="33"/>
        <v>28.139541339232373</v>
      </c>
      <c r="Q38" s="22">
        <f t="shared" si="53"/>
        <v>231.8094611658297</v>
      </c>
      <c r="R38" s="62">
        <f t="shared" si="0"/>
        <v>475.45999389040423</v>
      </c>
      <c r="S38" s="62">
        <f ca="1">AVERAGE(OFFSET($R$3,0,0,'Données projet'!$E$9+1,1))-AVERAGE(OFFSET($H$3,0,0,'Données projet'!$E$9+1,1))</f>
        <v>406.64650428071837</v>
      </c>
      <c r="T38" s="62">
        <f t="shared" si="34"/>
        <v>250.47702091764884</v>
      </c>
      <c r="U38" s="16">
        <f>IF(ISNA(VLOOKUP(A38,'Données projet'!$A$35:$I$55,3,0)),0,VLOOKUP(A38,'Données projet'!$A$35:$I$55,3,0))</f>
        <v>3</v>
      </c>
      <c r="V38" s="16">
        <f>IF(ISNA(VLOOKUP(A38,'Données projet'!$A$35:$I$55,4,0)),0,VLOOKUP(A38,'Données projet'!$A$35:$I$55,4,0))</f>
        <v>21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0.40902812547059286</v>
      </c>
      <c r="AA38" s="23">
        <f>EXP(-LN(2)/25)*AA37+(1-EXP(-LN(2)/25))/(LN(2)/25)*Calculateur!V38*Calculateur!X38*VLOOKUP('Données projet'!$B$9,Paramètres!$A$1:$I$89,3,0)*0.475*44/12</f>
        <v>1.957979335796707</v>
      </c>
      <c r="AB38" s="23">
        <f>EXP(-LN(2)/2)*AB37+(1-EXP(-LN(2)/2))/(LN(2)/2)*V38*Y38*VLOOKUP('Données projet'!$B$9,Paramètres!$A$1:$I$89,3,0)*0.475*44/12</f>
        <v>2.4318736719849321</v>
      </c>
      <c r="AC38" s="24">
        <f t="shared" si="3"/>
        <v>4.7988811332522321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8.4</v>
      </c>
      <c r="N39" s="14">
        <f>IF('Données projet'!$A$36&gt;35,N38+M39-V38,IF(A39&lt;'Données projet'!$A$36,$K$205^A39,IF(A39='Données projet'!$A$36,'Données projet'!$B$36,N38+M39-V38)))</f>
        <v>103.4</v>
      </c>
      <c r="O39" s="14">
        <f>N39*VLOOKUP('Données projet'!$B$9,Paramètres!$A$1:$I$89,3,0)*VLOOKUP('Données projet'!$B$9,Paramètres!$A$1:$I$89,5,0)</f>
        <v>93.556319999999999</v>
      </c>
      <c r="P39" s="14">
        <f t="shared" si="33"/>
        <v>25.420979659258073</v>
      </c>
      <c r="Q39" s="22">
        <f t="shared" si="53"/>
        <v>207.21879690654114</v>
      </c>
      <c r="R39" s="62">
        <f t="shared" si="0"/>
        <v>451.73121514757554</v>
      </c>
      <c r="S39" s="62">
        <f ca="1">AVERAGE(OFFSET($R$3,0,0,'Données projet'!$E$9+1,1))-AVERAGE(OFFSET($H$3,0,0,'Données projet'!$E$9+1,1))</f>
        <v>406.64650428071837</v>
      </c>
      <c r="T39" s="62">
        <f t="shared" si="34"/>
        <v>250.47702091764884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0.40100733341263672</v>
      </c>
      <c r="AA39" s="23">
        <f>EXP(-LN(2)/25)*AA38+(1-EXP(-LN(2)/25))/(LN(2)/25)*Calculateur!V39*Calculateur!X39*VLOOKUP('Données projet'!$B$9,Paramètres!$A$1:$I$89,3,0)*0.475*44/12</f>
        <v>1.9044382878936879</v>
      </c>
      <c r="AB39" s="23">
        <f>EXP(-LN(2)/2)*AB38+(1-EXP(-LN(2)/2))/(LN(2)/2)*V39*Y39*VLOOKUP('Données projet'!$B$9,Paramètres!$A$1:$I$89,3,0)*0.475*44/12</f>
        <v>1.7195943644495753</v>
      </c>
      <c r="AC39" s="24">
        <f t="shared" si="3"/>
        <v>4.0250399857558996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</v>
      </c>
      <c r="N40" s="14">
        <f>IF('Données projet'!$A$36&gt;35,N39+M40-V39,IF(A40&lt;'Données projet'!$A$36,$K$205^A40,IF(A40='Données projet'!$A$36,'Données projet'!$B$36,N39+M40-V39)))</f>
        <v>111.80000000000001</v>
      </c>
      <c r="O40" s="14">
        <f>N40*VLOOKUP('Données projet'!$B$9,Paramètres!$A$1:$I$89,3,0)*VLOOKUP('Données projet'!$B$9,Paramètres!$A$1:$I$89,5,0)</f>
        <v>101.15664000000001</v>
      </c>
      <c r="P40" s="14">
        <f t="shared" si="33"/>
        <v>27.237366379381644</v>
      </c>
      <c r="Q40" s="22">
        <f t="shared" si="53"/>
        <v>223.61956111075639</v>
      </c>
      <c r="R40" s="62">
        <f t="shared" si="0"/>
        <v>468.97891308142749</v>
      </c>
      <c r="S40" s="62">
        <f ca="1">AVERAGE(OFFSET($R$3,0,0,'Données projet'!$E$9+1,1))-AVERAGE(OFFSET($H$3,0,0,'Données projet'!$E$9+1,1))</f>
        <v>406.64650428071837</v>
      </c>
      <c r="T40" s="62">
        <f t="shared" si="34"/>
        <v>250.47702091764884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0.39314382419473703</v>
      </c>
      <c r="AA40" s="23">
        <f>EXP(-LN(2)/25)*AA39+(1-EXP(-LN(2)/25))/(LN(2)/25)*Calculateur!V40*Calculateur!X40*VLOOKUP('Données projet'!$B$9,Paramètres!$A$1:$I$89,3,0)*0.475*44/12</f>
        <v>1.8523613227611782</v>
      </c>
      <c r="AB40" s="23">
        <f>EXP(-LN(2)/2)*AB39+(1-EXP(-LN(2)/2))/(LN(2)/2)*V40*Y40*VLOOKUP('Données projet'!$B$9,Paramètres!$A$1:$I$89,3,0)*0.475*44/12</f>
        <v>1.215936835992466</v>
      </c>
      <c r="AC40" s="24">
        <f t="shared" si="3"/>
        <v>3.4614419829483811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</v>
      </c>
      <c r="N41" s="14">
        <f>IF('Données projet'!$A$36&gt;35,N40+M41-V40,IF(A41&lt;'Données projet'!$A$36,$K$205^A41,IF(A41='Données projet'!$A$36,'Données projet'!$B$36,N40+M41-V40)))</f>
        <v>120.20000000000002</v>
      </c>
      <c r="O41" s="14">
        <f>N41*VLOOKUP('Données projet'!$B$9,Paramètres!$A$1:$I$89,3,0)*VLOOKUP('Données projet'!$B$9,Paramètres!$A$1:$I$89,5,0)</f>
        <v>108.75696000000002</v>
      </c>
      <c r="P41" s="14">
        <f t="shared" si="33"/>
        <v>29.037921223305609</v>
      </c>
      <c r="Q41" s="22">
        <f t="shared" si="53"/>
        <v>239.99275146392395</v>
      </c>
      <c r="R41" s="62">
        <f t="shared" si="0"/>
        <v>486.18434475748268</v>
      </c>
      <c r="S41" s="62">
        <f ca="1">AVERAGE(OFFSET($R$3,0,0,'Données projet'!$E$9+1,1))-AVERAGE(OFFSET($H$3,0,0,'Données projet'!$E$9+1,1))</f>
        <v>406.64650428071837</v>
      </c>
      <c r="T41" s="62">
        <f t="shared" si="34"/>
        <v>250.47702091764884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0.38543451359633329</v>
      </c>
      <c r="AA41" s="23">
        <f>EXP(-LN(2)/25)*AA40+(1-EXP(-LN(2)/25))/(LN(2)/25)*Calculateur!V41*Calculateur!X41*VLOOKUP('Données projet'!$B$9,Paramètres!$A$1:$I$89,3,0)*0.475*44/12</f>
        <v>1.8017084049788255</v>
      </c>
      <c r="AB41" s="23">
        <f>EXP(-LN(2)/2)*AB40+(1-EXP(-LN(2)/2))/(LN(2)/2)*V41*Y41*VLOOKUP('Données projet'!$B$9,Paramètres!$A$1:$I$89,3,0)*0.475*44/12</f>
        <v>0.85979718222478763</v>
      </c>
      <c r="AC41" s="24">
        <f t="shared" si="3"/>
        <v>3.0469401007999464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</v>
      </c>
      <c r="N42" s="14">
        <f>IF('Données projet'!$A$36&gt;35,N41+M42-V41,IF(A42&lt;'Données projet'!$A$36,$K$205^A42,IF(A42='Données projet'!$A$36,'Données projet'!$B$36,N41+M42-V41)))</f>
        <v>128.60000000000002</v>
      </c>
      <c r="O42" s="14">
        <f>N42*VLOOKUP('Données projet'!$B$9,Paramètres!$A$1:$I$89,3,0)*VLOOKUP('Données projet'!$B$9,Paramètres!$A$1:$I$89,5,0)</f>
        <v>116.35728000000002</v>
      </c>
      <c r="P42" s="14">
        <f t="shared" si="33"/>
        <v>30.823876427820704</v>
      </c>
      <c r="Q42" s="22">
        <f t="shared" si="53"/>
        <v>256.34051411178774</v>
      </c>
      <c r="R42" s="62">
        <f t="shared" si="0"/>
        <v>503.34991120189488</v>
      </c>
      <c r="S42" s="62">
        <f ca="1">AVERAGE(OFFSET($R$3,0,0,'Données projet'!$E$9+1,1))-AVERAGE(OFFSET($H$3,0,0,'Données projet'!$E$9+1,1))</f>
        <v>406.64650428071837</v>
      </c>
      <c r="T42" s="62">
        <f t="shared" si="34"/>
        <v>250.47702091764884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0.3778763778765491</v>
      </c>
      <c r="AA42" s="23">
        <f>EXP(-LN(2)/25)*AA41+(1-EXP(-LN(2)/25))/(LN(2)/25)*Calculateur!V42*Calculateur!X42*VLOOKUP('Données projet'!$B$9,Paramètres!$A$1:$I$89,3,0)*0.475*44/12</f>
        <v>1.7524405938969523</v>
      </c>
      <c r="AB42" s="23">
        <f>EXP(-LN(2)/2)*AB41+(1-EXP(-LN(2)/2))/(LN(2)/2)*V42*Y42*VLOOKUP('Données projet'!$B$9,Paramètres!$A$1:$I$89,3,0)*0.475*44/12</f>
        <v>0.60796841799623302</v>
      </c>
      <c r="AC42" s="24">
        <f t="shared" si="3"/>
        <v>2.7382853897697341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137</v>
      </c>
      <c r="L43" s="13">
        <f>VLOOKUP(A43,'Données projet'!$A$35:$I$55,9,0)</f>
        <v>8.4</v>
      </c>
      <c r="M43" s="13">
        <f t="array" ref="M43">INDEX(L:L,MIN(IF(ISNUMBER(L43:L239),ROW(L43:L239),"")))</f>
        <v>8.4</v>
      </c>
      <c r="N43" s="14">
        <f>IF('Données projet'!$A$36&gt;35,N42+M43-V42,IF(A43&lt;'Données projet'!$A$36,$K$205^A43,IF(A43='Données projet'!$A$36,'Données projet'!$B$36,N42+M43-V42)))</f>
        <v>137.00000000000003</v>
      </c>
      <c r="O43" s="14">
        <f>N43*VLOOKUP('Données projet'!$B$9,Paramètres!$A$1:$I$89,3,0)*VLOOKUP('Données projet'!$B$9,Paramètres!$A$1:$I$89,5,0)</f>
        <v>123.95760000000001</v>
      </c>
      <c r="P43" s="14">
        <f t="shared" si="33"/>
        <v>32.59629414926458</v>
      </c>
      <c r="Q43" s="22">
        <f t="shared" si="53"/>
        <v>272.6646989766358</v>
      </c>
      <c r="R43" s="62">
        <f t="shared" si="0"/>
        <v>520.47771279575659</v>
      </c>
      <c r="S43" s="62">
        <f ca="1">AVERAGE(OFFSET($R$3,0,0,'Données projet'!$E$9+1,1))-AVERAGE(OFFSET($H$3,0,0,'Données projet'!$E$9+1,1))</f>
        <v>406.64650428071837</v>
      </c>
      <c r="T43" s="62">
        <f t="shared" si="34"/>
        <v>250.47702091764884</v>
      </c>
      <c r="U43" s="16">
        <f>IF(ISNA(VLOOKUP(A43,'Données projet'!$A$35:$I$55,3,0)),0,VLOOKUP(A43,'Données projet'!$A$35:$I$55,3,0))</f>
        <v>4</v>
      </c>
      <c r="V43" s="16">
        <f>IF(ISNA(VLOOKUP(A43,'Données projet'!$A$35:$I$55,4,0)),0,VLOOKUP(A43,'Données projet'!$A$35:$I$55,4,0))</f>
        <v>21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0.37046645258822231</v>
      </c>
      <c r="AA43" s="23">
        <f>EXP(-LN(2)/25)*AA42+(1-EXP(-LN(2)/25))/(LN(2)/25)*Calculateur!V43*Calculateur!X43*VLOOKUP('Données projet'!$B$9,Paramètres!$A$1:$I$89,3,0)*0.475*44/12</f>
        <v>1.7045200136999945</v>
      </c>
      <c r="AB43" s="23">
        <f>EXP(-LN(2)/2)*AB42+(1-EXP(-LN(2)/2))/(LN(2)/2)*V43*Y43*VLOOKUP('Données projet'!$B$9,Paramètres!$A$1:$I$89,3,0)*0.475*44/12</f>
        <v>0.42989859111239381</v>
      </c>
      <c r="AC43" s="24">
        <f t="shared" si="3"/>
        <v>2.5048850574006107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</v>
      </c>
      <c r="N44" s="14">
        <f>IF('Données projet'!$A$36&gt;35,N43+M44-V43,IF(A44&lt;'Données projet'!$A$36,$K$205^A44,IF(A44='Données projet'!$A$36,'Données projet'!$B$36,N43+M44-V43)))</f>
        <v>124.40000000000003</v>
      </c>
      <c r="O44" s="14">
        <f>N44*VLOOKUP('Données projet'!$B$9,Paramètres!$A$1:$I$89,3,0)*VLOOKUP('Données projet'!$B$9,Paramètres!$A$1:$I$89,5,0)</f>
        <v>112.55712000000003</v>
      </c>
      <c r="P44" s="14">
        <f t="shared" si="33"/>
        <v>29.932653834140599</v>
      </c>
      <c r="Q44" s="22">
        <f t="shared" si="53"/>
        <v>248.16968942779496</v>
      </c>
      <c r="R44" s="62">
        <f t="shared" si="0"/>
        <v>496.77237902229894</v>
      </c>
      <c r="S44" s="62">
        <f ca="1">AVERAGE(OFFSET($R$3,0,0,'Données projet'!$E$9+1,1))-AVERAGE(OFFSET($H$3,0,0,'Données projet'!$E$9+1,1))</f>
        <v>406.64650428071837</v>
      </c>
      <c r="T44" s="62">
        <f t="shared" si="34"/>
        <v>250.47702091764884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0.36320183141519141</v>
      </c>
      <c r="AA44" s="23">
        <f>EXP(-LN(2)/25)*AA43+(1-EXP(-LN(2)/25))/(LN(2)/25)*Calculateur!V44*Calculateur!X44*VLOOKUP('Données projet'!$B$9,Paramètres!$A$1:$I$89,3,0)*0.475*44/12</f>
        <v>1.6579098242885564</v>
      </c>
      <c r="AB44" s="23">
        <f>EXP(-LN(2)/2)*AB43+(1-EXP(-LN(2)/2))/(LN(2)/2)*V44*Y44*VLOOKUP('Données projet'!$B$9,Paramètres!$A$1:$I$89,3,0)*0.475*44/12</f>
        <v>0.30398420899811651</v>
      </c>
      <c r="AC44" s="24">
        <f t="shared" si="3"/>
        <v>2.325095864701864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</v>
      </c>
      <c r="N45" s="14">
        <f>IF('Données projet'!$A$36&gt;35,N44+M45-V44,IF(A45&lt;'Données projet'!$A$36,$K$205^A45,IF(A45='Données projet'!$A$36,'Données projet'!$B$36,N44+M45-V44)))</f>
        <v>132.80000000000004</v>
      </c>
      <c r="O45" s="14">
        <f>N45*VLOOKUP('Données projet'!$B$9,Paramètres!$A$1:$I$89,3,0)*VLOOKUP('Données projet'!$B$9,Paramètres!$A$1:$I$89,5,0)</f>
        <v>120.15744000000002</v>
      </c>
      <c r="P45" s="14">
        <f t="shared" si="33"/>
        <v>31.711716786129845</v>
      </c>
      <c r="Q45" s="22">
        <f t="shared" si="53"/>
        <v>264.50544806917623</v>
      </c>
      <c r="R45" s="62">
        <f t="shared" si="0"/>
        <v>513.88411432981093</v>
      </c>
      <c r="S45" s="62">
        <f ca="1">AVERAGE(OFFSET($R$3,0,0,'Données projet'!$E$9+1,1))-AVERAGE(OFFSET($H$3,0,0,'Données projet'!$E$9+1,1))</f>
        <v>406.64650428071837</v>
      </c>
      <c r="T45" s="62">
        <f t="shared" si="34"/>
        <v>250.47702091764884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0.35607966503238225</v>
      </c>
      <c r="AA45" s="23">
        <f>EXP(-LN(2)/25)*AA44+(1-EXP(-LN(2)/25))/(LN(2)/25)*Calculateur!V45*Calculateur!X45*VLOOKUP('Données projet'!$B$9,Paramètres!$A$1:$I$89,3,0)*0.475*44/12</f>
        <v>1.6125741929576973</v>
      </c>
      <c r="AB45" s="23">
        <f>EXP(-LN(2)/2)*AB44+(1-EXP(-LN(2)/2))/(LN(2)/2)*V45*Y45*VLOOKUP('Données projet'!$B$9,Paramètres!$A$1:$I$89,3,0)*0.475*44/12</f>
        <v>0.21494929555619691</v>
      </c>
      <c r="AC45" s="24">
        <f t="shared" si="3"/>
        <v>2.1836031535462768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</v>
      </c>
      <c r="N46" s="14">
        <f>IF('Données projet'!$A$36&gt;35,N45+M46-V45,IF(A46&lt;'Données projet'!$A$36,$K$205^A46,IF(A46='Données projet'!$A$36,'Données projet'!$B$36,N45+M46-V45)))</f>
        <v>141.20000000000005</v>
      </c>
      <c r="O46" s="14">
        <f>N46*VLOOKUP('Données projet'!$B$9,Paramètres!$A$1:$I$89,3,0)*VLOOKUP('Données projet'!$B$9,Paramètres!$A$1:$I$89,5,0)</f>
        <v>127.75776000000003</v>
      </c>
      <c r="P46" s="14">
        <f t="shared" si="33"/>
        <v>33.477720030956604</v>
      </c>
      <c r="Q46" s="22">
        <f t="shared" si="53"/>
        <v>280.81846105391611</v>
      </c>
      <c r="R46" s="62">
        <f t="shared" si="0"/>
        <v>530.9596425203481</v>
      </c>
      <c r="S46" s="62">
        <f ca="1">AVERAGE(OFFSET($R$3,0,0,'Données projet'!$E$9+1,1))-AVERAGE(OFFSET($H$3,0,0,'Données projet'!$E$9+1,1))</f>
        <v>406.64650428071837</v>
      </c>
      <c r="T46" s="62">
        <f t="shared" si="34"/>
        <v>250.47702091764884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0.34909715998824747</v>
      </c>
      <c r="AA46" s="23">
        <f>EXP(-LN(2)/25)*AA45+(1-EXP(-LN(2)/25))/(LN(2)/25)*Calculateur!V46*Calculateur!X46*VLOOKUP('Données projet'!$B$9,Paramètres!$A$1:$I$89,3,0)*0.475*44/12</f>
        <v>1.5684782668496779</v>
      </c>
      <c r="AB46" s="23">
        <f>EXP(-LN(2)/2)*AB45+(1-EXP(-LN(2)/2))/(LN(2)/2)*V46*Y46*VLOOKUP('Données projet'!$B$9,Paramètres!$A$1:$I$89,3,0)*0.475*44/12</f>
        <v>0.15199210449905826</v>
      </c>
      <c r="AC46" s="24">
        <f t="shared" si="3"/>
        <v>2.0695675313369839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</v>
      </c>
      <c r="N47" s="14">
        <f>IF('Données projet'!$A$36&gt;35,N46+M47-V46,IF(A47&lt;'Données projet'!$A$36,$K$205^A47,IF(A47='Données projet'!$A$36,'Données projet'!$B$36,N46+M47-V46)))</f>
        <v>149.60000000000005</v>
      </c>
      <c r="O47" s="14">
        <f>N47*VLOOKUP('Données projet'!$B$9,Paramètres!$A$1:$I$89,3,0)*VLOOKUP('Données projet'!$B$9,Paramètres!$A$1:$I$89,5,0)</f>
        <v>135.35808000000006</v>
      </c>
      <c r="P47" s="14">
        <f t="shared" si="33"/>
        <v>35.231528980112834</v>
      </c>
      <c r="Q47" s="22">
        <f t="shared" si="53"/>
        <v>297.11023564036327</v>
      </c>
      <c r="R47" s="62">
        <f t="shared" si="0"/>
        <v>548.0007043785007</v>
      </c>
      <c r="S47" s="62">
        <f ca="1">AVERAGE(OFFSET($R$3,0,0,'Données projet'!$E$9+1,1))-AVERAGE(OFFSET($H$3,0,0,'Données projet'!$E$9+1,1))</f>
        <v>406.64650428071837</v>
      </c>
      <c r="T47" s="62">
        <f t="shared" si="34"/>
        <v>250.47702091764884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0.34225157760912062</v>
      </c>
      <c r="AA47" s="23">
        <f>EXP(-LN(2)/25)*AA46+(1-EXP(-LN(2)/25))/(LN(2)/25)*Calculateur!V47*Calculateur!X47*VLOOKUP('Données projet'!$B$9,Paramètres!$A$1:$I$89,3,0)*0.475*44/12</f>
        <v>1.5255881461599863</v>
      </c>
      <c r="AB47" s="23">
        <f>EXP(-LN(2)/2)*AB46+(1-EXP(-LN(2)/2))/(LN(2)/2)*V47*Y47*VLOOKUP('Données projet'!$B$9,Paramètres!$A$1:$I$89,3,0)*0.475*44/12</f>
        <v>0.10747464777809845</v>
      </c>
      <c r="AC47" s="24">
        <f t="shared" si="3"/>
        <v>1.9753143715472055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158</v>
      </c>
      <c r="L48" s="13">
        <f>VLOOKUP(A48,'Données projet'!$A$35:$I$55,9,0)</f>
        <v>8.4</v>
      </c>
      <c r="M48" s="13">
        <f t="array" ref="M48">INDEX(L:L,MIN(IF(ISNUMBER(L48:L244),ROW(L48:L244),"")))</f>
        <v>8.4</v>
      </c>
      <c r="N48" s="14">
        <f>IF('Données projet'!$A$36&gt;35,N47+M48-V47,IF(A48&lt;'Données projet'!$A$36,$K$205^A48,IF(A48='Données projet'!$A$36,'Données projet'!$B$36,N47+M48-V47)))</f>
        <v>158.00000000000006</v>
      </c>
      <c r="O48" s="14">
        <f>N48*VLOOKUP('Données projet'!$B$9,Paramètres!$A$1:$I$89,3,0)*VLOOKUP('Données projet'!$B$9,Paramètres!$A$1:$I$89,5,0)</f>
        <v>142.95840000000004</v>
      </c>
      <c r="P48" s="14">
        <f t="shared" si="33"/>
        <v>36.973906370811264</v>
      </c>
      <c r="Q48" s="22">
        <f t="shared" si="53"/>
        <v>313.38210026249641</v>
      </c>
      <c r="R48" s="62">
        <f t="shared" si="0"/>
        <v>565.00885781333056</v>
      </c>
      <c r="S48" s="62">
        <f ca="1">AVERAGE(OFFSET($R$3,0,0,'Données projet'!$E$9+1,1))-AVERAGE(OFFSET($H$3,0,0,'Données projet'!$E$9+1,1))</f>
        <v>406.64650428071837</v>
      </c>
      <c r="T48" s="62">
        <f t="shared" si="34"/>
        <v>250.47702091764884</v>
      </c>
      <c r="U48" s="16">
        <f>IF(ISNA(VLOOKUP(A48,'Données projet'!$A$35:$I$55,3,0)),0,VLOOKUP(A48,'Données projet'!$A$35:$I$55,3,0))</f>
        <v>5</v>
      </c>
      <c r="V48" s="16">
        <f>IF(ISNA(VLOOKUP(A48,'Données projet'!$A$35:$I$55,4,0)),0,VLOOKUP(A48,'Données projet'!$A$35:$I$55,4,0))</f>
        <v>21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0.33554023292505547</v>
      </c>
      <c r="AA48" s="23">
        <f>EXP(-LN(2)/25)*AA47+(1-EXP(-LN(2)/25))/(LN(2)/25)*Calculateur!V48*Calculateur!X48*VLOOKUP('Données projet'!$B$9,Paramètres!$A$1:$I$89,3,0)*0.475*44/12</f>
        <v>1.4838708580760476</v>
      </c>
      <c r="AB48" s="23">
        <f>EXP(-LN(2)/2)*AB47+(1-EXP(-LN(2)/2))/(LN(2)/2)*V48*Y48*VLOOKUP('Données projet'!$B$9,Paramètres!$A$1:$I$89,3,0)*0.475*44/12</f>
        <v>7.5996052249529128E-2</v>
      </c>
      <c r="AC48" s="24">
        <f t="shared" si="3"/>
        <v>1.8954071432506321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8.1999999999999993</v>
      </c>
      <c r="N49" s="14">
        <f>IF('Données projet'!$A$36&gt;35,N48+M49-V48,IF(A49&lt;'Données projet'!$A$36,$K$205^A49,IF(A49='Données projet'!$A$36,'Données projet'!$B$36,N48+M49-V48)))</f>
        <v>145.20000000000005</v>
      </c>
      <c r="O49" s="14">
        <f>N49*VLOOKUP('Données projet'!$B$9,Paramètres!$A$1:$I$89,3,0)*VLOOKUP('Données projet'!$B$9,Paramètres!$A$1:$I$89,5,0)</f>
        <v>131.37696000000003</v>
      </c>
      <c r="P49" s="14">
        <f t="shared" si="33"/>
        <v>34.314338988223334</v>
      </c>
      <c r="Q49" s="22">
        <f t="shared" si="53"/>
        <v>288.57901240448905</v>
      </c>
      <c r="R49" s="62">
        <f t="shared" si="0"/>
        <v>540.92928580321473</v>
      </c>
      <c r="S49" s="62">
        <f ca="1">AVERAGE(OFFSET($R$3,0,0,'Données projet'!$E$9+1,1))-AVERAGE(OFFSET($H$3,0,0,'Données projet'!$E$9+1,1))</f>
        <v>406.64650428071837</v>
      </c>
      <c r="T49" s="62">
        <f t="shared" si="34"/>
        <v>250.47702091764884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0.3289604936167288</v>
      </c>
      <c r="AA49" s="23">
        <f>EXP(-LN(2)/25)*AA48+(1-EXP(-LN(2)/25))/(LN(2)/25)*Calculateur!V49*Calculateur!X49*VLOOKUP('Données projet'!$B$9,Paramètres!$A$1:$I$89,3,0)*0.475*44/12</f>
        <v>1.4432943314285811</v>
      </c>
      <c r="AB49" s="23">
        <f>EXP(-LN(2)/2)*AB48+(1-EXP(-LN(2)/2))/(LN(2)/2)*V49*Y49*VLOOKUP('Données projet'!$B$9,Paramètres!$A$1:$I$89,3,0)*0.475*44/12</f>
        <v>5.3737323889049227E-2</v>
      </c>
      <c r="AC49" s="24">
        <f t="shared" si="3"/>
        <v>1.8259921489343591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8.1999999999999993</v>
      </c>
      <c r="N50" s="14">
        <f>IF('Données projet'!$A$36&gt;35,N49+M50-V49,IF(A50&lt;'Données projet'!$A$36,$K$205^A50,IF(A50='Données projet'!$A$36,'Données projet'!$B$36,N49+M50-V49)))</f>
        <v>153.40000000000003</v>
      </c>
      <c r="O50" s="14">
        <f>N50*VLOOKUP('Données projet'!$B$9,Paramètres!$A$1:$I$89,3,0)*VLOOKUP('Données projet'!$B$9,Paramètres!$A$1:$I$89,5,0)</f>
        <v>138.79632000000001</v>
      </c>
      <c r="P50" s="14">
        <f t="shared" si="33"/>
        <v>36.021120886354588</v>
      </c>
      <c r="Q50" s="22">
        <f t="shared" si="53"/>
        <v>304.47370954373423</v>
      </c>
      <c r="R50" s="62">
        <f t="shared" si="0"/>
        <v>557.53494740792962</v>
      </c>
      <c r="S50" s="62">
        <f ca="1">AVERAGE(OFFSET($R$3,0,0,'Données projet'!$E$9+1,1))-AVERAGE(OFFSET($H$3,0,0,'Données projet'!$E$9+1,1))</f>
        <v>406.64650428071837</v>
      </c>
      <c r="T50" s="62">
        <f t="shared" si="34"/>
        <v>250.47702091764884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0.32250977898299371</v>
      </c>
      <c r="AA50" s="23">
        <f>EXP(-LN(2)/25)*AA49+(1-EXP(-LN(2)/25))/(LN(2)/25)*Calculateur!V50*Calculateur!X50*VLOOKUP('Données projet'!$B$9,Paramètres!$A$1:$I$89,3,0)*0.475*44/12</f>
        <v>1.4038273720361163</v>
      </c>
      <c r="AB50" s="23">
        <f>EXP(-LN(2)/2)*AB49+(1-EXP(-LN(2)/2))/(LN(2)/2)*V50*Y50*VLOOKUP('Données projet'!$B$9,Paramètres!$A$1:$I$89,3,0)*0.475*44/12</f>
        <v>3.7998026124764564E-2</v>
      </c>
      <c r="AC50" s="24">
        <f t="shared" si="3"/>
        <v>1.7643351771438747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8.1999999999999993</v>
      </c>
      <c r="N51" s="14">
        <f>IF('Données projet'!$A$36&gt;35,N50+M51-V50,IF(A51&lt;'Données projet'!$A$36,$K$205^A51,IF(A51='Données projet'!$A$36,'Données projet'!$B$36,N50+M51-V50)))</f>
        <v>161.60000000000002</v>
      </c>
      <c r="O51" s="14">
        <f>N51*VLOOKUP('Données projet'!$B$9,Paramètres!$A$1:$I$89,3,0)*VLOOKUP('Données projet'!$B$9,Paramètres!$A$1:$I$89,5,0)</f>
        <v>146.21568000000002</v>
      </c>
      <c r="P51" s="14">
        <f t="shared" si="33"/>
        <v>37.717310552893402</v>
      </c>
      <c r="Q51" s="22">
        <f t="shared" si="53"/>
        <v>320.34995854628937</v>
      </c>
      <c r="R51" s="62">
        <f t="shared" si="0"/>
        <v>574.10982723195707</v>
      </c>
      <c r="S51" s="62">
        <f ca="1">AVERAGE(OFFSET($R$3,0,0,'Données projet'!$E$9+1,1))-AVERAGE(OFFSET($H$3,0,0,'Données projet'!$E$9+1,1))</f>
        <v>406.64650428071837</v>
      </c>
      <c r="T51" s="62">
        <f t="shared" si="34"/>
        <v>250.47702091764884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0.31618555892867872</v>
      </c>
      <c r="AA51" s="23">
        <f>EXP(-LN(2)/25)*AA50+(1-EXP(-LN(2)/25))/(LN(2)/25)*Calculateur!V51*Calculateur!X51*VLOOKUP('Données projet'!$B$9,Paramètres!$A$1:$I$89,3,0)*0.475*44/12</f>
        <v>1.3654396387237158</v>
      </c>
      <c r="AB51" s="23">
        <f>EXP(-LN(2)/2)*AB50+(1-EXP(-LN(2)/2))/(LN(2)/2)*V51*Y51*VLOOKUP('Données projet'!$B$9,Paramètres!$A$1:$I$89,3,0)*0.475*44/12</f>
        <v>2.6868661944524613E-2</v>
      </c>
      <c r="AC51" s="24">
        <f t="shared" si="3"/>
        <v>1.708493859596919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8.1999999999999993</v>
      </c>
      <c r="N52" s="14">
        <f>IF('Données projet'!$A$36&gt;35,N51+M52-V51,IF(A52&lt;'Données projet'!$A$36,$K$205^A52,IF(A52='Données projet'!$A$36,'Données projet'!$B$36,N51+M52-V51)))</f>
        <v>169.8</v>
      </c>
      <c r="O52" s="14">
        <f>N52*VLOOKUP('Données projet'!$B$9,Paramètres!$A$1:$I$89,3,0)*VLOOKUP('Données projet'!$B$9,Paramètres!$A$1:$I$89,5,0)</f>
        <v>153.63504</v>
      </c>
      <c r="P52" s="14">
        <f t="shared" si="33"/>
        <v>39.403506785222667</v>
      </c>
      <c r="Q52" s="22">
        <f t="shared" si="53"/>
        <v>336.20880231759617</v>
      </c>
      <c r="R52" s="62">
        <f t="shared" si="0"/>
        <v>590.65518214188819</v>
      </c>
      <c r="S52" s="62">
        <f ca="1">AVERAGE(OFFSET($R$3,0,0,'Données projet'!$E$9+1,1))-AVERAGE(OFFSET($H$3,0,0,'Données projet'!$E$9+1,1))</f>
        <v>406.64650428071837</v>
      </c>
      <c r="T52" s="62">
        <f t="shared" si="34"/>
        <v>250.47702091764884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0.30998535297223551</v>
      </c>
      <c r="AA52" s="23">
        <f>EXP(-LN(2)/25)*AA51+(1-EXP(-LN(2)/25))/(LN(2)/25)*Calculateur!V52*Calculateur!X52*VLOOKUP('Données projet'!$B$9,Paramètres!$A$1:$I$89,3,0)*0.475*44/12</f>
        <v>1.328101619997466</v>
      </c>
      <c r="AB52" s="23">
        <f>EXP(-LN(2)/2)*AB51+(1-EXP(-LN(2)/2))/(LN(2)/2)*V52*Y52*VLOOKUP('Données projet'!$B$9,Paramètres!$A$1:$I$89,3,0)*0.475*44/12</f>
        <v>1.8999013062382282E-2</v>
      </c>
      <c r="AC52" s="24">
        <f t="shared" si="3"/>
        <v>1.6570859860320839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178</v>
      </c>
      <c r="L53" s="13">
        <f>VLOOKUP(A53,'Données projet'!$A$35:$I$55,9,0)</f>
        <v>8.1999999999999993</v>
      </c>
      <c r="M53" s="13">
        <f t="array" ref="M53">INDEX(L:L,MIN(IF(ISNUMBER(L53:L249),ROW(L53:L249),"")))</f>
        <v>8.1999999999999993</v>
      </c>
      <c r="N53" s="14">
        <f>IF('Données projet'!$A$36&gt;35,N52+M53-V52,IF(A53&lt;'Données projet'!$A$36,$K$205^A53,IF(A53='Données projet'!$A$36,'Données projet'!$B$36,N52+M53-V52)))</f>
        <v>178</v>
      </c>
      <c r="O53" s="14">
        <f>N53*VLOOKUP('Données projet'!$B$9,Paramètres!$A$1:$I$89,3,0)*VLOOKUP('Données projet'!$B$9,Paramètres!$A$1:$I$89,5,0)</f>
        <v>161.05439999999999</v>
      </c>
      <c r="P53" s="14">
        <f t="shared" si="33"/>
        <v>41.080247278685491</v>
      </c>
      <c r="Q53" s="22">
        <f t="shared" si="53"/>
        <v>352.05117734371055</v>
      </c>
      <c r="R53" s="62">
        <f t="shared" si="0"/>
        <v>607.17215887318071</v>
      </c>
      <c r="S53" s="62">
        <f ca="1">AVERAGE(OFFSET($R$3,0,0,'Données projet'!$E$9+1,1))-AVERAGE(OFFSET($H$3,0,0,'Données projet'!$E$9+1,1))</f>
        <v>406.64650428071837</v>
      </c>
      <c r="T53" s="62">
        <f t="shared" si="34"/>
        <v>250.47702091764884</v>
      </c>
      <c r="U53" s="16">
        <f>IF(ISNA(VLOOKUP(A53,'Données projet'!$A$35:$I$55,3,0)),0,VLOOKUP(A53,'Données projet'!$A$35:$I$55,3,0))</f>
        <v>6</v>
      </c>
      <c r="V53" s="16">
        <f>IF(ISNA(VLOOKUP(A53,'Données projet'!$A$35:$I$55,4,0)),0,VLOOKUP(A53,'Données projet'!$A$35:$I$55,4,0))</f>
        <v>21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0.30390672927284595</v>
      </c>
      <c r="AA53" s="23">
        <f>EXP(-LN(2)/25)*AA52+(1-EXP(-LN(2)/25))/(LN(2)/25)*Calculateur!V53*Calculateur!X53*VLOOKUP('Données projet'!$B$9,Paramètres!$A$1:$I$89,3,0)*0.475*44/12</f>
        <v>1.2917846113568066</v>
      </c>
      <c r="AB53" s="23">
        <f>EXP(-LN(2)/2)*AB52+(1-EXP(-LN(2)/2))/(LN(2)/2)*V53*Y53*VLOOKUP('Données projet'!$B$9,Paramètres!$A$1:$I$89,3,0)*0.475*44/12</f>
        <v>1.3434330972262307E-2</v>
      </c>
      <c r="AC53" s="24">
        <f t="shared" si="3"/>
        <v>1.6091256716019147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165</v>
      </c>
      <c r="O54" s="14">
        <f>N54*VLOOKUP('Données projet'!$B$9,Paramètres!$A$1:$I$89,3,0)*VLOOKUP('Données projet'!$B$9,Paramètres!$A$1:$I$89,5,0)</f>
        <v>149.29199999999997</v>
      </c>
      <c r="P54" s="14">
        <f t="shared" si="33"/>
        <v>38.417645803815411</v>
      </c>
      <c r="Q54" s="22">
        <f t="shared" si="53"/>
        <v>326.9276331083118</v>
      </c>
      <c r="R54" s="62">
        <f t="shared" si="0"/>
        <v>582.71151351155868</v>
      </c>
      <c r="S54" s="62">
        <f ca="1">AVERAGE(OFFSET($R$3,0,0,'Données projet'!$E$9+1,1))-AVERAGE(OFFSET($H$3,0,0,'Données projet'!$E$9+1,1))</f>
        <v>406.64650428071837</v>
      </c>
      <c r="T54" s="62">
        <f t="shared" si="34"/>
        <v>250.47702091764884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0.29794730367660704</v>
      </c>
      <c r="AA54" s="23">
        <f>EXP(-LN(2)/25)*AA53+(1-EXP(-LN(2)/25))/(LN(2)/25)*Calculateur!V54*Calculateur!X54*VLOOKUP('Données projet'!$B$9,Paramètres!$A$1:$I$89,3,0)*0.475*44/12</f>
        <v>1.2564606932272544</v>
      </c>
      <c r="AB54" s="23">
        <f>EXP(-LN(2)/2)*AB53+(1-EXP(-LN(2)/2))/(LN(2)/2)*V54*Y54*VLOOKUP('Données projet'!$B$9,Paramètres!$A$1:$I$89,3,0)*0.475*44/12</f>
        <v>9.499506531191141E-3</v>
      </c>
      <c r="AC54" s="24">
        <f t="shared" si="3"/>
        <v>1.5639075034350527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173</v>
      </c>
      <c r="O55" s="14">
        <f>N55*VLOOKUP('Données projet'!$B$9,Paramètres!$A$1:$I$89,3,0)*VLOOKUP('Données projet'!$B$9,Paramètres!$A$1:$I$89,5,0)</f>
        <v>156.53039999999999</v>
      </c>
      <c r="P55" s="14">
        <f t="shared" si="33"/>
        <v>40.058941713182037</v>
      </c>
      <c r="Q55" s="22">
        <f t="shared" si="53"/>
        <v>342.393103483792</v>
      </c>
      <c r="R55" s="62">
        <f t="shared" si="0"/>
        <v>598.8283829473753</v>
      </c>
      <c r="S55" s="62">
        <f ca="1">AVERAGE(OFFSET($R$3,0,0,'Données projet'!$E$9+1,1))-AVERAGE(OFFSET($H$3,0,0,'Données projet'!$E$9+1,1))</f>
        <v>406.64650428071837</v>
      </c>
      <c r="T55" s="62">
        <f t="shared" si="34"/>
        <v>250.47702091764884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0.29210473878141968</v>
      </c>
      <c r="AA55" s="23">
        <f>EXP(-LN(2)/25)*AA54+(1-EXP(-LN(2)/25))/(LN(2)/25)*Calculateur!V55*Calculateur!X55*VLOOKUP('Données projet'!$B$9,Paramètres!$A$1:$I$89,3,0)*0.475*44/12</f>
        <v>1.2221027094965589</v>
      </c>
      <c r="AB55" s="23">
        <f>EXP(-LN(2)/2)*AB54+(1-EXP(-LN(2)/2))/(LN(2)/2)*V55*Y55*VLOOKUP('Données projet'!$B$9,Paramètres!$A$1:$I$89,3,0)*0.475*44/12</f>
        <v>6.7171654861311533E-3</v>
      </c>
      <c r="AC55" s="24">
        <f t="shared" si="3"/>
        <v>1.5209246137641097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181</v>
      </c>
      <c r="O56" s="14">
        <f>N56*VLOOKUP('Données projet'!$B$9,Paramètres!$A$1:$I$89,3,0)*VLOOKUP('Données projet'!$B$9,Paramètres!$A$1:$I$89,5,0)</f>
        <v>163.7688</v>
      </c>
      <c r="P56" s="14">
        <f t="shared" si="33"/>
        <v>41.691423503509803</v>
      </c>
      <c r="Q56" s="22">
        <f t="shared" si="53"/>
        <v>357.84322260194625</v>
      </c>
      <c r="R56" s="62">
        <f t="shared" si="0"/>
        <v>614.91860080847948</v>
      </c>
      <c r="S56" s="62">
        <f ca="1">AVERAGE(OFFSET($R$3,0,0,'Données projet'!$E$9+1,1))-AVERAGE(OFFSET($H$3,0,0,'Données projet'!$E$9+1,1))</f>
        <v>406.64650428071837</v>
      </c>
      <c r="T56" s="62">
        <f t="shared" si="34"/>
        <v>250.47702091764884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0.28637674302021426</v>
      </c>
      <c r="AA56" s="23">
        <f>EXP(-LN(2)/25)*AA55+(1-EXP(-LN(2)/25))/(LN(2)/25)*Calculateur!V56*Calculateur!X56*VLOOKUP('Données projet'!$B$9,Paramètres!$A$1:$I$89,3,0)*0.475*44/12</f>
        <v>1.1886842466377872</v>
      </c>
      <c r="AB56" s="23">
        <f>EXP(-LN(2)/2)*AB55+(1-EXP(-LN(2)/2))/(LN(2)/2)*V56*Y56*VLOOKUP('Données projet'!$B$9,Paramètres!$A$1:$I$89,3,0)*0.475*44/12</f>
        <v>4.7497532655955705E-3</v>
      </c>
      <c r="AC56" s="24">
        <f t="shared" si="3"/>
        <v>1.4798107429235969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189</v>
      </c>
      <c r="O57" s="14">
        <f>N57*VLOOKUP('Données projet'!$B$9,Paramètres!$A$1:$I$89,3,0)*VLOOKUP('Données projet'!$B$9,Paramètres!$A$1:$I$89,5,0)</f>
        <v>171.00719999999998</v>
      </c>
      <c r="P57" s="14">
        <f t="shared" si="33"/>
        <v>43.315525267338089</v>
      </c>
      <c r="Q57" s="22">
        <f t="shared" si="53"/>
        <v>373.27874650728046</v>
      </c>
      <c r="R57" s="62">
        <f t="shared" si="0"/>
        <v>630.98311917461979</v>
      </c>
      <c r="S57" s="62">
        <f ca="1">AVERAGE(OFFSET($R$3,0,0,'Données projet'!$E$9+1,1))-AVERAGE(OFFSET($H$3,0,0,'Données projet'!$E$9+1,1))</f>
        <v>406.64650428071837</v>
      </c>
      <c r="T57" s="62">
        <f t="shared" si="34"/>
        <v>250.47702091764884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0.28076106976215365</v>
      </c>
      <c r="AA57" s="23">
        <f>EXP(-LN(2)/25)*AA56+(1-EXP(-LN(2)/25))/(LN(2)/25)*Calculateur!V57*Calculateur!X57*VLOOKUP('Données projet'!$B$9,Paramètres!$A$1:$I$89,3,0)*0.475*44/12</f>
        <v>1.1561796134032891</v>
      </c>
      <c r="AB57" s="23">
        <f>EXP(-LN(2)/2)*AB56+(1-EXP(-LN(2)/2))/(LN(2)/2)*V57*Y57*VLOOKUP('Données projet'!$B$9,Paramètres!$A$1:$I$89,3,0)*0.475*44/12</f>
        <v>3.3585827430655767E-3</v>
      </c>
      <c r="AC57" s="24">
        <f t="shared" si="3"/>
        <v>1.4402992659085083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197</v>
      </c>
      <c r="L58" s="13">
        <f>VLOOKUP(A58,'Données projet'!$A$35:$I$55,9,0)</f>
        <v>8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197</v>
      </c>
      <c r="O58" s="14">
        <f>N58*VLOOKUP('Données projet'!$B$9,Paramètres!$A$1:$I$89,3,0)*VLOOKUP('Données projet'!$B$9,Paramètres!$A$1:$I$89,5,0)</f>
        <v>178.2456</v>
      </c>
      <c r="P58" s="14">
        <f t="shared" si="33"/>
        <v>44.931642269910427</v>
      </c>
      <c r="Q58" s="22">
        <f t="shared" si="53"/>
        <v>388.70036362009404</v>
      </c>
      <c r="R58" s="62">
        <f t="shared" si="0"/>
        <v>647.02281910056536</v>
      </c>
      <c r="S58" s="62">
        <f ca="1">AVERAGE(OFFSET($R$3,0,0,'Données projet'!$E$9+1,1))-AVERAGE(OFFSET($H$3,0,0,'Données projet'!$E$9+1,1))</f>
        <v>406.64650428071837</v>
      </c>
      <c r="T58" s="62">
        <f t="shared" si="34"/>
        <v>250.47702091764884</v>
      </c>
      <c r="U58" s="16">
        <f>IF(ISNA(VLOOKUP(A58,'Données projet'!$A$35:$I$55,3,0)),0,VLOOKUP(A58,'Données projet'!$A$35:$I$55,3,0))</f>
        <v>7</v>
      </c>
      <c r="V58" s="16">
        <f>IF(ISNA(VLOOKUP(A58,'Données projet'!$A$35:$I$55,4,0)),0,VLOOKUP(A58,'Données projet'!$A$35:$I$55,4,0))</f>
        <v>21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0.27525551643146112</v>
      </c>
      <c r="AA58" s="23">
        <f>EXP(-LN(2)/25)*AA57+(1-EXP(-LN(2)/25))/(LN(2)/25)*Calculateur!V58*Calculateur!X58*VLOOKUP('Données projet'!$B$9,Paramètres!$A$1:$I$89,3,0)*0.475*44/12</f>
        <v>1.1245638210739328</v>
      </c>
      <c r="AB58" s="23">
        <f>EXP(-LN(2)/2)*AB57+(1-EXP(-LN(2)/2))/(LN(2)/2)*V58*Y58*VLOOKUP('Données projet'!$B$9,Paramètres!$A$1:$I$89,3,0)*0.475*44/12</f>
        <v>2.3748766327977852E-3</v>
      </c>
      <c r="AC58" s="24">
        <f t="shared" si="3"/>
        <v>1.4021942141381918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7.6</v>
      </c>
      <c r="N59" s="14">
        <f>IF('Données projet'!$A$36&gt;35,N58+M59-V58,IF(A59&lt;'Données projet'!$A$36,$K$205^A59,IF(A59='Données projet'!$A$36,'Données projet'!$B$36,N58+M59-V58)))</f>
        <v>183.6</v>
      </c>
      <c r="O59" s="14">
        <f>N59*VLOOKUP('Données projet'!$B$9,Paramètres!$A$1:$I$89,3,0)*VLOOKUP('Données projet'!$B$9,Paramètres!$A$1:$I$89,5,0)</f>
        <v>166.12127999999998</v>
      </c>
      <c r="P59" s="14">
        <f t="shared" si="33"/>
        <v>42.220155874487318</v>
      </c>
      <c r="Q59" s="22">
        <f t="shared" si="53"/>
        <v>362.8613341480654</v>
      </c>
      <c r="R59" s="62">
        <f t="shared" si="0"/>
        <v>621.79115008668714</v>
      </c>
      <c r="S59" s="62">
        <f ca="1">AVERAGE(OFFSET($R$3,0,0,'Données projet'!$E$9+1,1))-AVERAGE(OFFSET($H$3,0,0,'Données projet'!$E$9+1,1))</f>
        <v>406.64650428071837</v>
      </c>
      <c r="T59" s="62">
        <f t="shared" si="34"/>
        <v>250.47702091764884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0.26985792364352751</v>
      </c>
      <c r="AA59" s="23">
        <f>EXP(-LN(2)/25)*AA58+(1-EXP(-LN(2)/25))/(LN(2)/25)*Calculateur!V59*Calculateur!X59*VLOOKUP('Données projet'!$B$9,Paramètres!$A$1:$I$89,3,0)*0.475*44/12</f>
        <v>1.0938125642484251</v>
      </c>
      <c r="AB59" s="23">
        <f>EXP(-LN(2)/2)*AB58+(1-EXP(-LN(2)/2))/(LN(2)/2)*V59*Y59*VLOOKUP('Données projet'!$B$9,Paramètres!$A$1:$I$89,3,0)*0.475*44/12</f>
        <v>1.6792913715327883E-3</v>
      </c>
      <c r="AC59" s="24">
        <f t="shared" si="3"/>
        <v>1.3653497792634854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7.6</v>
      </c>
      <c r="N60" s="14">
        <f>IF('Données projet'!$A$36&gt;35,N59+M60-V59,IF(A60&lt;'Données projet'!$A$36,$K$205^A60,IF(A60='Données projet'!$A$36,'Données projet'!$B$36,N59+M60-V59)))</f>
        <v>191.2</v>
      </c>
      <c r="O60" s="14">
        <f>N60*VLOOKUP('Données projet'!$B$9,Paramètres!$A$1:$I$89,3,0)*VLOOKUP('Données projet'!$B$9,Paramètres!$A$1:$I$89,5,0)</f>
        <v>172.99775999999997</v>
      </c>
      <c r="P60" s="14">
        <f t="shared" si="33"/>
        <v>43.760737531919609</v>
      </c>
      <c r="Q60" s="22">
        <f t="shared" si="53"/>
        <v>377.52104986809326</v>
      </c>
      <c r="R60" s="62">
        <f t="shared" si="0"/>
        <v>637.04768991877097</v>
      </c>
      <c r="S60" s="62">
        <f ca="1">AVERAGE(OFFSET($R$3,0,0,'Données projet'!$E$9+1,1))-AVERAGE(OFFSET($H$3,0,0,'Données projet'!$E$9+1,1))</f>
        <v>406.64650428071837</v>
      </c>
      <c r="T60" s="62">
        <f t="shared" si="34"/>
        <v>250.47702091764884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0.26456617435795876</v>
      </c>
      <c r="AA60" s="23">
        <f>EXP(-LN(2)/25)*AA59+(1-EXP(-LN(2)/25))/(LN(2)/25)*Calculateur!V60*Calculateur!X60*VLOOKUP('Données projet'!$B$9,Paramètres!$A$1:$I$89,3,0)*0.475*44/12</f>
        <v>1.0639022021579492</v>
      </c>
      <c r="AB60" s="23">
        <f>EXP(-LN(2)/2)*AB59+(1-EXP(-LN(2)/2))/(LN(2)/2)*V60*Y60*VLOOKUP('Données projet'!$B$9,Paramètres!$A$1:$I$89,3,0)*0.475*44/12</f>
        <v>1.1874383163988926E-3</v>
      </c>
      <c r="AC60" s="24">
        <f t="shared" si="3"/>
        <v>1.329655814832307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7.6</v>
      </c>
      <c r="N61" s="14">
        <f>IF('Données projet'!$A$36&gt;35,N60+M61-V60,IF(A61&lt;'Données projet'!$A$36,$K$205^A61,IF(A61='Données projet'!$A$36,'Données projet'!$B$36,N60+M61-V60)))</f>
        <v>198.79999999999998</v>
      </c>
      <c r="O61" s="14">
        <f>N61*VLOOKUP('Données projet'!$B$9,Paramètres!$A$1:$I$89,3,0)*VLOOKUP('Données projet'!$B$9,Paramètres!$A$1:$I$89,5,0)</f>
        <v>179.87423999999999</v>
      </c>
      <c r="P61" s="14">
        <f t="shared" si="33"/>
        <v>45.294205745553846</v>
      </c>
      <c r="Q61" s="22">
        <f t="shared" si="53"/>
        <v>392.16837634017293</v>
      </c>
      <c r="R61" s="62">
        <f t="shared" si="0"/>
        <v>652.28148693886135</v>
      </c>
      <c r="S61" s="62">
        <f ca="1">AVERAGE(OFFSET($R$3,0,0,'Données projet'!$E$9+1,1))-AVERAGE(OFFSET($H$3,0,0,'Données projet'!$E$9+1,1))</f>
        <v>406.64650428071837</v>
      </c>
      <c r="T61" s="62">
        <f t="shared" si="34"/>
        <v>250.47702091764884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0.25937819304823162</v>
      </c>
      <c r="AA61" s="23">
        <f>EXP(-LN(2)/25)*AA60+(1-EXP(-LN(2)/25))/(LN(2)/25)*Calculateur!V61*Calculateur!X61*VLOOKUP('Données projet'!$B$9,Paramètres!$A$1:$I$89,3,0)*0.475*44/12</f>
        <v>1.0348097404917549</v>
      </c>
      <c r="AB61" s="23">
        <f>EXP(-LN(2)/2)*AB60+(1-EXP(-LN(2)/2))/(LN(2)/2)*V61*Y61*VLOOKUP('Données projet'!$B$9,Paramètres!$A$1:$I$89,3,0)*0.475*44/12</f>
        <v>8.3964568576639417E-4</v>
      </c>
      <c r="AC61" s="24">
        <f t="shared" si="3"/>
        <v>1.2950275792257531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7.6</v>
      </c>
      <c r="N62" s="14">
        <f>IF('Données projet'!$A$36&gt;35,N61+M62-V61,IF(A62&lt;'Données projet'!$A$36,$K$205^A62,IF(A62='Données projet'!$A$36,'Données projet'!$B$36,N61+M62-V61)))</f>
        <v>206.39999999999998</v>
      </c>
      <c r="O62" s="14">
        <f>N62*VLOOKUP('Données projet'!$B$9,Paramètres!$A$1:$I$89,3,0)*VLOOKUP('Données projet'!$B$9,Paramètres!$A$1:$I$89,5,0)</f>
        <v>186.75071999999997</v>
      </c>
      <c r="P62" s="14">
        <f t="shared" si="33"/>
        <v>46.820863587839391</v>
      </c>
      <c r="Q62" s="22">
        <f t="shared" si="53"/>
        <v>406.80384141548689</v>
      </c>
      <c r="R62" s="62">
        <f t="shared" si="0"/>
        <v>667.49324860932961</v>
      </c>
      <c r="S62" s="62">
        <f ca="1">AVERAGE(OFFSET($R$3,0,0,'Données projet'!$E$9+1,1))-AVERAGE(OFFSET($H$3,0,0,'Données projet'!$E$9+1,1))</f>
        <v>406.64650428071837</v>
      </c>
      <c r="T62" s="62">
        <f t="shared" si="34"/>
        <v>250.47702091764884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0.25429194488763213</v>
      </c>
      <c r="AA62" s="23">
        <f>EXP(-LN(2)/25)*AA61+(1-EXP(-LN(2)/25))/(LN(2)/25)*Calculateur!V62*Calculateur!X62*VLOOKUP('Données projet'!$B$9,Paramètres!$A$1:$I$89,3,0)*0.475*44/12</f>
        <v>1.0065128137197288</v>
      </c>
      <c r="AB62" s="23">
        <f>EXP(-LN(2)/2)*AB61+(1-EXP(-LN(2)/2))/(LN(2)/2)*V62*Y62*VLOOKUP('Données projet'!$B$9,Paramètres!$A$1:$I$89,3,0)*0.475*44/12</f>
        <v>5.9371915819944631E-4</v>
      </c>
      <c r="AC62" s="24">
        <f t="shared" si="3"/>
        <v>1.2613984777655605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214</v>
      </c>
      <c r="L63" s="13">
        <f>VLOOKUP(A63,'Données projet'!$A$35:$I$55,9,0)</f>
        <v>7.6</v>
      </c>
      <c r="M63" s="13">
        <f t="array" ref="M63">INDEX(L:L,MIN(IF(ISNUMBER(L63:L259),ROW(L63:L259),"")))</f>
        <v>7.6</v>
      </c>
      <c r="N63" s="14">
        <f>IF('Données projet'!$A$36&gt;35,N62+M63-V62,IF(A63&lt;'Données projet'!$A$36,$K$205^A63,IF(A63='Données projet'!$A$36,'Données projet'!$B$36,N62+M63-V62)))</f>
        <v>213.99999999999997</v>
      </c>
      <c r="O63" s="14">
        <f>N63*VLOOKUP('Données projet'!$B$9,Paramètres!$A$1:$I$89,3,0)*VLOOKUP('Données projet'!$B$9,Paramètres!$A$1:$I$89,5,0)</f>
        <v>193.62719999999996</v>
      </c>
      <c r="P63" s="14">
        <f t="shared" si="33"/>
        <v>48.340990547231193</v>
      </c>
      <c r="Q63" s="22">
        <f t="shared" si="53"/>
        <v>421.42793186976087</v>
      </c>
      <c r="R63" s="62">
        <f t="shared" si="0"/>
        <v>682.68363820123841</v>
      </c>
      <c r="S63" s="62">
        <f ca="1">AVERAGE(OFFSET($R$3,0,0,'Données projet'!$E$9+1,1))-AVERAGE(OFFSET($H$3,0,0,'Données projet'!$E$9+1,1))</f>
        <v>406.64650428071837</v>
      </c>
      <c r="T63" s="62">
        <f t="shared" si="34"/>
        <v>250.47702091764884</v>
      </c>
      <c r="U63" s="16">
        <f>IF(ISNA(VLOOKUP(A63,'Données projet'!$A$35:$I$55,3,0)),0,VLOOKUP(A63,'Données projet'!$A$35:$I$55,3,0))</f>
        <v>8</v>
      </c>
      <c r="V63" s="16">
        <f>IF(ISNA(VLOOKUP(A63,'Données projet'!$A$35:$I$55,4,0)),0,VLOOKUP(A63,'Données projet'!$A$35:$I$55,4,0))</f>
        <v>21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0.24930543495115692</v>
      </c>
      <c r="AA63" s="23">
        <f>EXP(-LN(2)/25)*AA62+(1-EXP(-LN(2)/25))/(LN(2)/25)*Calculateur!V63*Calculateur!X63*VLOOKUP('Données projet'!$B$9,Paramètres!$A$1:$I$89,3,0)*0.475*44/12</f>
        <v>0.97898966789835429</v>
      </c>
      <c r="AB63" s="23">
        <f>EXP(-LN(2)/2)*AB62+(1-EXP(-LN(2)/2))/(LN(2)/2)*V63*Y63*VLOOKUP('Données projet'!$B$9,Paramètres!$A$1:$I$89,3,0)*0.475*44/12</f>
        <v>4.1982284288319708E-4</v>
      </c>
      <c r="AC63" s="24">
        <f t="shared" si="3"/>
        <v>1.2287149256923944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7.2</v>
      </c>
      <c r="N64" s="14">
        <f>IF('Données projet'!$A$36&gt;35,N63+M64-V63,IF(A64&lt;'Données projet'!$A$36,$K$205^A64,IF(A64='Données projet'!$A$36,'Données projet'!$B$36,N63+M64-V63)))</f>
        <v>200.19999999999996</v>
      </c>
      <c r="O64" s="14">
        <f>N64*VLOOKUP('Données projet'!$B$9,Paramètres!$A$1:$I$89,3,0)*VLOOKUP('Données projet'!$B$9,Paramètres!$A$1:$I$89,5,0)</f>
        <v>181.14095999999995</v>
      </c>
      <c r="P64" s="14">
        <f t="shared" si="33"/>
        <v>45.575935320610945</v>
      </c>
      <c r="Q64" s="22">
        <f t="shared" si="53"/>
        <v>394.86525935006392</v>
      </c>
      <c r="R64" s="62">
        <f t="shared" si="0"/>
        <v>656.67744079519321</v>
      </c>
      <c r="S64" s="62">
        <f ca="1">AVERAGE(OFFSET($R$3,0,0,'Données projet'!$E$9+1,1))-AVERAGE(OFFSET($H$3,0,0,'Données projet'!$E$9+1,1))</f>
        <v>406.64650428071837</v>
      </c>
      <c r="T64" s="62">
        <f t="shared" si="34"/>
        <v>250.47702091764884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0.24441670743306526</v>
      </c>
      <c r="AA64" s="23">
        <f>EXP(-LN(2)/25)*AA63+(1-EXP(-LN(2)/25))/(LN(2)/25)*Calculateur!V64*Calculateur!X64*VLOOKUP('Données projet'!$B$9,Paramètres!$A$1:$I$89,3,0)*0.475*44/12</f>
        <v>0.9522191439468447</v>
      </c>
      <c r="AB64" s="23">
        <f>EXP(-LN(2)/2)*AB63+(1-EXP(-LN(2)/2))/(LN(2)/2)*V64*Y64*VLOOKUP('Données projet'!$B$9,Paramètres!$A$1:$I$89,3,0)*0.475*44/12</f>
        <v>2.9685957909972316E-4</v>
      </c>
      <c r="AC64" s="24">
        <f t="shared" si="3"/>
        <v>1.1969327109590098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7.2</v>
      </c>
      <c r="N65" s="14">
        <f>IF('Données projet'!$A$36&gt;35,N64+M65-V64,IF(A65&lt;'Données projet'!$A$36,$K$205^A65,IF(A65='Données projet'!$A$36,'Données projet'!$B$36,N64+M65-V64)))</f>
        <v>207.39999999999995</v>
      </c>
      <c r="O65" s="14">
        <f>N65*VLOOKUP('Données projet'!$B$9,Paramètres!$A$1:$I$89,3,0)*VLOOKUP('Données projet'!$B$9,Paramètres!$A$1:$I$89,5,0)</f>
        <v>187.65551999999994</v>
      </c>
      <c r="P65" s="14">
        <f t="shared" si="33"/>
        <v>47.021247649900147</v>
      </c>
      <c r="Q65" s="22">
        <f t="shared" si="53"/>
        <v>408.72870365690932</v>
      </c>
      <c r="R65" s="62">
        <f t="shared" si="0"/>
        <v>671.08770661656058</v>
      </c>
      <c r="S65" s="62">
        <f ca="1">AVERAGE(OFFSET($R$3,0,0,'Données projet'!$E$9+1,1))-AVERAGE(OFFSET($H$3,0,0,'Données projet'!$E$9+1,1))</f>
        <v>406.64650428071837</v>
      </c>
      <c r="T65" s="62">
        <f t="shared" si="34"/>
        <v>250.47702091764884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0.23962384487977401</v>
      </c>
      <c r="AA65" s="23">
        <f>EXP(-LN(2)/25)*AA64+(1-EXP(-LN(2)/25))/(LN(2)/25)*Calculateur!V65*Calculateur!X65*VLOOKUP('Données projet'!$B$9,Paramètres!$A$1:$I$89,3,0)*0.475*44/12</f>
        <v>0.92618066138058974</v>
      </c>
      <c r="AB65" s="23">
        <f>EXP(-LN(2)/2)*AB64+(1-EXP(-LN(2)/2))/(LN(2)/2)*V65*Y65*VLOOKUP('Données projet'!$B$9,Paramètres!$A$1:$I$89,3,0)*0.475*44/12</f>
        <v>2.0991142144159854E-4</v>
      </c>
      <c r="AC65" s="24">
        <f t="shared" si="3"/>
        <v>1.1660144176818052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7.2</v>
      </c>
      <c r="N66" s="14">
        <f>IF('Données projet'!$A$36&gt;35,N65+M66-V65,IF(A66&lt;'Données projet'!$A$36,$K$205^A66,IF(A66='Données projet'!$A$36,'Données projet'!$B$36,N65+M66-V65)))</f>
        <v>214.59999999999994</v>
      </c>
      <c r="O66" s="14">
        <f>N66*VLOOKUP('Données projet'!$B$9,Paramètres!$A$1:$I$89,3,0)*VLOOKUP('Données projet'!$B$9,Paramètres!$A$1:$I$89,5,0)</f>
        <v>194.17007999999996</v>
      </c>
      <c r="P66" s="14">
        <f t="shared" si="33"/>
        <v>48.460730182351035</v>
      </c>
      <c r="Q66" s="22">
        <f t="shared" si="53"/>
        <v>422.5819944009279</v>
      </c>
      <c r="R66" s="62">
        <f t="shared" si="0"/>
        <v>685.47833274433401</v>
      </c>
      <c r="S66" s="62">
        <f ca="1">AVERAGE(OFFSET($R$3,0,0,'Données projet'!$E$9+1,1))-AVERAGE(OFFSET($H$3,0,0,'Données projet'!$E$9+1,1))</f>
        <v>406.64650428071837</v>
      </c>
      <c r="T66" s="62">
        <f t="shared" si="34"/>
        <v>250.47702091764884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0.23492496743779528</v>
      </c>
      <c r="AA66" s="23">
        <f>EXP(-LN(2)/25)*AA65+(1-EXP(-LN(2)/25))/(LN(2)/25)*Calculateur!V66*Calculateur!X66*VLOOKUP('Données projet'!$B$9,Paramètres!$A$1:$I$89,3,0)*0.475*44/12</f>
        <v>0.90085420248941339</v>
      </c>
      <c r="AB66" s="23">
        <f>EXP(-LN(2)/2)*AB65+(1-EXP(-LN(2)/2))/(LN(2)/2)*V66*Y66*VLOOKUP('Données projet'!$B$9,Paramètres!$A$1:$I$89,3,0)*0.475*44/12</f>
        <v>1.4842978954986158E-4</v>
      </c>
      <c r="AC66" s="24">
        <f t="shared" si="3"/>
        <v>1.1359275997167584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7.2</v>
      </c>
      <c r="N67" s="14">
        <f>IF('Données projet'!$A$36&gt;35,N66+M67-V66,IF(A67&lt;'Données projet'!$A$36,$K$205^A67,IF(A67='Données projet'!$A$36,'Données projet'!$B$36,N66+M67-V66)))</f>
        <v>221.79999999999993</v>
      </c>
      <c r="O67" s="14">
        <f>N67*VLOOKUP('Données projet'!$B$9,Paramètres!$A$1:$I$89,3,0)*VLOOKUP('Données projet'!$B$9,Paramètres!$A$1:$I$89,5,0)</f>
        <v>200.68463999999992</v>
      </c>
      <c r="P67" s="14">
        <f t="shared" si="33"/>
        <v>49.894600936700193</v>
      </c>
      <c r="Q67" s="22">
        <f t="shared" ref="Q67:Q98" si="54">(O67+P67)*0.475*44/12</f>
        <v>436.42551129808606</v>
      </c>
      <c r="R67" s="62">
        <f t="shared" ref="R67:R130" si="55">Q67+(I67+J67)*44/12</f>
        <v>699.84986345764082</v>
      </c>
      <c r="S67" s="62">
        <f ca="1">AVERAGE(OFFSET($R$3,0,0,'Données projet'!$E$9+1,1))-AVERAGE(OFFSET($H$3,0,0,'Données projet'!$E$9+1,1))</f>
        <v>406.64650428071837</v>
      </c>
      <c r="T67" s="62">
        <f t="shared" si="34"/>
        <v>250.47702091764884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0.23031823211642152</v>
      </c>
      <c r="AA67" s="23">
        <f>EXP(-LN(2)/25)*AA66+(1-EXP(-LN(2)/25))/(LN(2)/25)*Calculateur!V67*Calculateur!X67*VLOOKUP('Données projet'!$B$9,Paramètres!$A$1:$I$89,3,0)*0.475*44/12</f>
        <v>0.87622029694847681</v>
      </c>
      <c r="AB67" s="23">
        <f>EXP(-LN(2)/2)*AB66+(1-EXP(-LN(2)/2))/(LN(2)/2)*V67*Y67*VLOOKUP('Données projet'!$B$9,Paramètres!$A$1:$I$89,3,0)*0.475*44/12</f>
        <v>1.0495571072079927E-4</v>
      </c>
      <c r="AC67" s="24">
        <f t="shared" si="3"/>
        <v>1.1066434847756192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229</v>
      </c>
      <c r="L68" s="13">
        <f>VLOOKUP(A68,'Données projet'!$A$35:$I$55,9,0)</f>
        <v>7.2</v>
      </c>
      <c r="M68" s="13">
        <f t="array" ref="M68">INDEX(L:L,MIN(IF(ISNUMBER(L68:L264),ROW(L68:L264),"")))</f>
        <v>7.2</v>
      </c>
      <c r="N68" s="14">
        <f>IF('Données projet'!$A$36&gt;35,N67+M68-V67,IF(A68&lt;'Données projet'!$A$36,$K$205^A68,IF(A68='Données projet'!$A$36,'Données projet'!$B$36,N67+M68-V67)))</f>
        <v>228.99999999999991</v>
      </c>
      <c r="O68" s="14">
        <f>N68*VLOOKUP('Données projet'!$B$9,Paramètres!$A$1:$I$89,3,0)*VLOOKUP('Données projet'!$B$9,Paramètres!$A$1:$I$89,5,0)</f>
        <v>207.19919999999991</v>
      </c>
      <c r="P68" s="14">
        <f t="shared" si="33"/>
        <v>51.3230629736655</v>
      </c>
      <c r="Q68" s="22">
        <f t="shared" si="54"/>
        <v>450.25960801246725</v>
      </c>
      <c r="R68" s="62">
        <f t="shared" si="55"/>
        <v>714.20281412892245</v>
      </c>
      <c r="S68" s="62">
        <f ca="1">AVERAGE(OFFSET($R$3,0,0,'Données projet'!$E$9+1,1))-AVERAGE(OFFSET($H$3,0,0,'Données projet'!$E$9+1,1))</f>
        <v>406.64650428071837</v>
      </c>
      <c r="T68" s="62">
        <f t="shared" si="34"/>
        <v>250.47702091764884</v>
      </c>
      <c r="U68" s="16">
        <f>IF(ISNA(VLOOKUP(A68,'Données projet'!$A$35:$I$55,3,0)),0,VLOOKUP(A68,'Données projet'!$A$35:$I$55,3,0))</f>
        <v>9</v>
      </c>
      <c r="V68" s="16">
        <f>IF(ISNA(VLOOKUP(A68,'Données projet'!$A$35:$I$55,4,0)),0,VLOOKUP(A68,'Données projet'!$A$35:$I$55,4,0))</f>
        <v>21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0.22580183206486881</v>
      </c>
      <c r="AA68" s="23">
        <f>EXP(-LN(2)/25)*AA67+(1-EXP(-LN(2)/25))/(LN(2)/25)*Calculateur!V68*Calculateur!X68*VLOOKUP('Données projet'!$B$9,Paramètres!$A$1:$I$89,3,0)*0.475*44/12</f>
        <v>0.85226000684999792</v>
      </c>
      <c r="AB68" s="23">
        <f>EXP(-LN(2)/2)*AB67+(1-EXP(-LN(2)/2))/(LN(2)/2)*V68*Y68*VLOOKUP('Données projet'!$B$9,Paramètres!$A$1:$I$89,3,0)*0.475*44/12</f>
        <v>7.4214894774930789E-5</v>
      </c>
      <c r="AC68" s="24">
        <f t="shared" ref="AC68:AC131" si="57">SUM(Z68:AB68)</f>
        <v>1.0781360538096418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6.8</v>
      </c>
      <c r="N69" s="14">
        <f>IF('Données projet'!$A$36&gt;35,N68+M69-V68,IF(A69&lt;'Données projet'!$A$36,$K$205^A69,IF(A69='Données projet'!$A$36,'Données projet'!$B$36,N68+M69-V68)))</f>
        <v>214.79999999999993</v>
      </c>
      <c r="O69" s="14">
        <f>N69*VLOOKUP('Données projet'!$B$9,Paramètres!$A$1:$I$89,3,0)*VLOOKUP('Données projet'!$B$9,Paramètres!$A$1:$I$89,5,0)</f>
        <v>194.35103999999993</v>
      </c>
      <c r="P69" s="14">
        <f t="shared" ref="P69:P132" si="87">EXP(-1.0587+0.8836*LN(O69)+0.284)</f>
        <v>48.500634729810159</v>
      </c>
      <c r="Q69" s="22">
        <f t="shared" si="54"/>
        <v>422.96666682108594</v>
      </c>
      <c r="R69" s="62">
        <f t="shared" si="55"/>
        <v>687.41972593827302</v>
      </c>
      <c r="S69" s="62">
        <f ca="1">AVERAGE(OFFSET($R$3,0,0,'Données projet'!$E$9+1,1))-AVERAGE(OFFSET($H$3,0,0,'Données projet'!$E$9+1,1))</f>
        <v>406.64650428071837</v>
      </c>
      <c r="T69" s="62">
        <f t="shared" ref="T69:T132" si="88">$T$3</f>
        <v>250.47702091764884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0.22137399586359502</v>
      </c>
      <c r="AA69" s="23">
        <f>EXP(-LN(2)/25)*AA68+(1-EXP(-LN(2)/25))/(LN(2)/25)*Calculateur!V69*Calculateur!X69*VLOOKUP('Données projet'!$B$9,Paramètres!$A$1:$I$89,3,0)*0.475*44/12</f>
        <v>0.82895491214427885</v>
      </c>
      <c r="AB69" s="23">
        <f>EXP(-LN(2)/2)*AB68+(1-EXP(-LN(2)/2))/(LN(2)/2)*V69*Y69*VLOOKUP('Données projet'!$B$9,Paramètres!$A$1:$I$89,3,0)*0.475*44/12</f>
        <v>5.2477855360399635E-5</v>
      </c>
      <c r="AC69" s="24">
        <f t="shared" si="57"/>
        <v>1.0503813858632343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6.8</v>
      </c>
      <c r="N70" s="14">
        <f>IF('Données projet'!$A$36&gt;35,N69+M70-V69,IF(A70&lt;'Données projet'!$A$36,$K$205^A70,IF(A70='Données projet'!$A$36,'Données projet'!$B$36,N69+M70-V69)))</f>
        <v>221.59999999999994</v>
      </c>
      <c r="O70" s="14">
        <f>N70*VLOOKUP('Données projet'!$B$9,Paramètres!$A$1:$I$89,3,0)*VLOOKUP('Données projet'!$B$9,Paramètres!$A$1:$I$89,5,0)</f>
        <v>200.50367999999995</v>
      </c>
      <c r="P70" s="14">
        <f t="shared" si="87"/>
        <v>49.854845135229887</v>
      </c>
      <c r="Q70" s="22">
        <f t="shared" si="54"/>
        <v>436.04109794385857</v>
      </c>
      <c r="R70" s="62">
        <f t="shared" si="55"/>
        <v>700.99516525207548</v>
      </c>
      <c r="S70" s="62">
        <f ca="1">AVERAGE(OFFSET($R$3,0,0,'Données projet'!$E$9+1,1))-AVERAGE(OFFSET($H$3,0,0,'Données projet'!$E$9+1,1))</f>
        <v>406.64650428071837</v>
      </c>
      <c r="T70" s="62">
        <f t="shared" si="88"/>
        <v>250.47702091764884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0.2170329868295148</v>
      </c>
      <c r="AA70" s="23">
        <f>EXP(-LN(2)/25)*AA69+(1-EXP(-LN(2)/25))/(LN(2)/25)*Calculateur!V70*Calculateur!X70*VLOOKUP('Données projet'!$B$9,Paramètres!$A$1:$I$89,3,0)*0.475*44/12</f>
        <v>0.80628709647884933</v>
      </c>
      <c r="AB70" s="23">
        <f>EXP(-LN(2)/2)*AB69+(1-EXP(-LN(2)/2))/(LN(2)/2)*V70*Y70*VLOOKUP('Données projet'!$B$9,Paramètres!$A$1:$I$89,3,0)*0.475*44/12</f>
        <v>3.7107447387465395E-5</v>
      </c>
      <c r="AC70" s="24">
        <f t="shared" si="57"/>
        <v>1.0233571907557517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6.8</v>
      </c>
      <c r="N71" s="14">
        <f>IF('Données projet'!$A$36&gt;35,N70+M71-V70,IF(A71&lt;'Données projet'!$A$36,$K$205^A71,IF(A71='Données projet'!$A$36,'Données projet'!$B$36,N70+M71-V70)))</f>
        <v>228.39999999999995</v>
      </c>
      <c r="O71" s="14">
        <f>N71*VLOOKUP('Données projet'!$B$9,Paramètres!$A$1:$I$89,3,0)*VLOOKUP('Données projet'!$B$9,Paramètres!$A$1:$I$89,5,0)</f>
        <v>206.65631999999994</v>
      </c>
      <c r="P71" s="14">
        <f t="shared" si="87"/>
        <v>51.20422634371338</v>
      </c>
      <c r="Q71" s="22">
        <f t="shared" si="54"/>
        <v>449.10711821530072</v>
      </c>
      <c r="R71" s="62">
        <f t="shared" si="55"/>
        <v>714.55350234251955</v>
      </c>
      <c r="S71" s="62">
        <f ca="1">AVERAGE(OFFSET($R$3,0,0,'Données projet'!$E$9+1,1))-AVERAGE(OFFSET($H$3,0,0,'Données projet'!$E$9+1,1))</f>
        <v>406.64650428071837</v>
      </c>
      <c r="T71" s="62">
        <f t="shared" si="88"/>
        <v>250.47702091764884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0.21277710233483885</v>
      </c>
      <c r="AA71" s="23">
        <f>EXP(-LN(2)/25)*AA70+(1-EXP(-LN(2)/25))/(LN(2)/25)*Calculateur!V71*Calculateur!X71*VLOOKUP('Données projet'!$B$9,Paramètres!$A$1:$I$89,3,0)*0.475*44/12</f>
        <v>0.78423913342483964</v>
      </c>
      <c r="AB71" s="23">
        <f>EXP(-LN(2)/2)*AB70+(1-EXP(-LN(2)/2))/(LN(2)/2)*V71*Y71*VLOOKUP('Données projet'!$B$9,Paramètres!$A$1:$I$89,3,0)*0.475*44/12</f>
        <v>2.6238927680199818E-5</v>
      </c>
      <c r="AC71" s="24">
        <f t="shared" si="57"/>
        <v>0.99704247468735863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6.8</v>
      </c>
      <c r="N72" s="14">
        <f>IF('Données projet'!$A$36&gt;35,N71+M72-V71,IF(A72&lt;'Données projet'!$A$36,$K$205^A72,IF(A72='Données projet'!$A$36,'Données projet'!$B$36,N71+M72-V71)))</f>
        <v>235.19999999999996</v>
      </c>
      <c r="O72" s="14">
        <f>N72*VLOOKUP('Données projet'!$B$9,Paramètres!$A$1:$I$89,3,0)*VLOOKUP('Données projet'!$B$9,Paramètres!$A$1:$I$89,5,0)</f>
        <v>212.80895999999996</v>
      </c>
      <c r="P72" s="14">
        <f t="shared" si="87"/>
        <v>52.548938637485847</v>
      </c>
      <c r="Q72" s="22">
        <f t="shared" si="54"/>
        <v>462.16500679362099</v>
      </c>
      <c r="R72" s="62">
        <f t="shared" si="55"/>
        <v>728.0951671436876</v>
      </c>
      <c r="S72" s="62">
        <f ca="1">AVERAGE(OFFSET($R$3,0,0,'Données projet'!$E$9+1,1))-AVERAGE(OFFSET($H$3,0,0,'Données projet'!$E$9+1,1))</f>
        <v>406.64650428071837</v>
      </c>
      <c r="T72" s="62">
        <f t="shared" si="88"/>
        <v>250.47702091764884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0.20860467313927025</v>
      </c>
      <c r="AA72" s="23">
        <f>EXP(-LN(2)/25)*AA71+(1-EXP(-LN(2)/25))/(LN(2)/25)*Calculateur!V72*Calculateur!X72*VLOOKUP('Données projet'!$B$9,Paramètres!$A$1:$I$89,3,0)*0.475*44/12</f>
        <v>0.76279407307999381</v>
      </c>
      <c r="AB72" s="23">
        <f>EXP(-LN(2)/2)*AB71+(1-EXP(-LN(2)/2))/(LN(2)/2)*V72*Y72*VLOOKUP('Données projet'!$B$9,Paramètres!$A$1:$I$89,3,0)*0.475*44/12</f>
        <v>1.8553723693732697E-5</v>
      </c>
      <c r="AC72" s="24">
        <f t="shared" si="57"/>
        <v>0.97141729994295778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242</v>
      </c>
      <c r="L73" s="13">
        <f>VLOOKUP(A73,'Données projet'!$A$35:$I$55,9,0)</f>
        <v>6.8</v>
      </c>
      <c r="M73" s="13">
        <f t="array" ref="M73">INDEX(L:L,MIN(IF(ISNUMBER(L73:L269),ROW(L73:L269),"")))</f>
        <v>6.8</v>
      </c>
      <c r="N73" s="14">
        <f>IF('Données projet'!$A$36&gt;35,N72+M73-V72,IF(A73&lt;'Données projet'!$A$36,$K$205^A73,IF(A73='Données projet'!$A$36,'Données projet'!$B$36,N72+M73-V72)))</f>
        <v>241.99999999999997</v>
      </c>
      <c r="O73" s="14">
        <f>N73*VLOOKUP('Données projet'!$B$9,Paramètres!$A$1:$I$89,3,0)*VLOOKUP('Données projet'!$B$9,Paramètres!$A$1:$I$89,5,0)</f>
        <v>218.96159999999998</v>
      </c>
      <c r="P73" s="14">
        <f t="shared" si="87"/>
        <v>53.88913250370743</v>
      </c>
      <c r="Q73" s="22">
        <f t="shared" si="54"/>
        <v>475.21502577729035</v>
      </c>
      <c r="R73" s="62">
        <f t="shared" si="55"/>
        <v>741.62056991429984</v>
      </c>
      <c r="S73" s="62">
        <f ca="1">AVERAGE(OFFSET($R$3,0,0,'Données projet'!$E$9+1,1))-AVERAGE(OFFSET($H$3,0,0,'Données projet'!$E$9+1,1))</f>
        <v>406.64650428071837</v>
      </c>
      <c r="T73" s="62">
        <f t="shared" si="88"/>
        <v>250.47702091764884</v>
      </c>
      <c r="U73" s="16">
        <f>IF(ISNA(VLOOKUP(A73,'Données projet'!$A$35:$I$55,3,0)),0,VLOOKUP(A73,'Données projet'!$A$35:$I$55,3,0))</f>
        <v>10</v>
      </c>
      <c r="V73" s="16">
        <f>IF(ISNA(VLOOKUP(A73,'Données projet'!$A$35:$I$55,4,0)),0,VLOOKUP(A73,'Données projet'!$A$35:$I$55,4,0))</f>
        <v>21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0.20451406273529624</v>
      </c>
      <c r="AA73" s="23">
        <f>EXP(-LN(2)/25)*AA72+(1-EXP(-LN(2)/25))/(LN(2)/25)*Calculateur!V73*Calculateur!X73*VLOOKUP('Données projet'!$B$9,Paramètres!$A$1:$I$89,3,0)*0.475*44/12</f>
        <v>0.74193542903802445</v>
      </c>
      <c r="AB73" s="23">
        <f>EXP(-LN(2)/2)*AB72+(1-EXP(-LN(2)/2))/(LN(2)/2)*V73*Y73*VLOOKUP('Données projet'!$B$9,Paramètres!$A$1:$I$89,3,0)*0.475*44/12</f>
        <v>1.3119463840099909E-5</v>
      </c>
      <c r="AC73" s="24">
        <f t="shared" si="57"/>
        <v>0.9464626112371608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6.2</v>
      </c>
      <c r="N74" s="14">
        <f>IF('Données projet'!$A$36&gt;35,N73+M74-V73,IF(A74&lt;'Données projet'!$A$36,$K$205^A74,IF(A74='Données projet'!$A$36,'Données projet'!$B$36,N73+M74-V73)))</f>
        <v>227.19999999999996</v>
      </c>
      <c r="O74" s="14">
        <f>N74*VLOOKUP('Données projet'!$B$9,Paramètres!$A$1:$I$89,3,0)*VLOOKUP('Données projet'!$B$9,Paramètres!$A$1:$I$89,5,0)</f>
        <v>205.57055999999997</v>
      </c>
      <c r="P74" s="14">
        <f t="shared" si="87"/>
        <v>50.966443946767392</v>
      </c>
      <c r="Q74" s="22">
        <f t="shared" si="54"/>
        <v>446.80194854061978</v>
      </c>
      <c r="R74" s="62">
        <f t="shared" si="55"/>
        <v>713.67462961866772</v>
      </c>
      <c r="S74" s="62">
        <f ca="1">AVERAGE(OFFSET($R$3,0,0,'Données projet'!$E$9+1,1))-AVERAGE(OFFSET($H$3,0,0,'Données projet'!$E$9+1,1))</f>
        <v>406.64650428071837</v>
      </c>
      <c r="T74" s="62">
        <f t="shared" si="88"/>
        <v>250.47702091764884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0.20050366670631817</v>
      </c>
      <c r="AA74" s="23">
        <f>EXP(-LN(2)/25)*AA73+(1-EXP(-LN(2)/25))/(LN(2)/25)*Calculateur!V74*Calculateur!X74*VLOOKUP('Données projet'!$B$9,Paramètres!$A$1:$I$89,3,0)*0.475*44/12</f>
        <v>0.72164716571429122</v>
      </c>
      <c r="AB74" s="23">
        <f>EXP(-LN(2)/2)*AB73+(1-EXP(-LN(2)/2))/(LN(2)/2)*V74*Y74*VLOOKUP('Données projet'!$B$9,Paramètres!$A$1:$I$89,3,0)*0.475*44/12</f>
        <v>9.2768618468663486E-6</v>
      </c>
      <c r="AC74" s="24">
        <f t="shared" si="57"/>
        <v>0.92216010928245618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6.2</v>
      </c>
      <c r="N75" s="14">
        <f>IF('Données projet'!$A$36&gt;35,N74+M75-V74,IF(A75&lt;'Données projet'!$A$36,$K$205^A75,IF(A75='Données projet'!$A$36,'Données projet'!$B$36,N74+M75-V74)))</f>
        <v>233.39999999999995</v>
      </c>
      <c r="O75" s="14">
        <f>N75*VLOOKUP('Données projet'!$B$9,Paramètres!$A$1:$I$89,3,0)*VLOOKUP('Données projet'!$B$9,Paramètres!$A$1:$I$89,5,0)</f>
        <v>211.18031999999994</v>
      </c>
      <c r="P75" s="14">
        <f t="shared" si="87"/>
        <v>52.193431117443019</v>
      </c>
      <c r="Q75" s="22">
        <f t="shared" si="54"/>
        <v>458.70928319621316</v>
      </c>
      <c r="R75" s="62">
        <f t="shared" si="55"/>
        <v>726.04099743373422</v>
      </c>
      <c r="S75" s="62">
        <f ca="1">AVERAGE(OFFSET($R$3,0,0,'Données projet'!$E$9+1,1))-AVERAGE(OFFSET($H$3,0,0,'Données projet'!$E$9+1,1))</f>
        <v>406.64650428071837</v>
      </c>
      <c r="T75" s="62">
        <f t="shared" si="88"/>
        <v>250.47702091764884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0.19657191209736832</v>
      </c>
      <c r="AA75" s="23">
        <f>EXP(-LN(2)/25)*AA74+(1-EXP(-LN(2)/25))/(LN(2)/25)*Calculateur!V75*Calculateur!X75*VLOOKUP('Données projet'!$B$9,Paramètres!$A$1:$I$89,3,0)*0.475*44/12</f>
        <v>0.70191368601805881</v>
      </c>
      <c r="AB75" s="23">
        <f>EXP(-LN(2)/2)*AB74+(1-EXP(-LN(2)/2))/(LN(2)/2)*V75*Y75*VLOOKUP('Données projet'!$B$9,Paramètres!$A$1:$I$89,3,0)*0.475*44/12</f>
        <v>6.5597319200499544E-6</v>
      </c>
      <c r="AC75" s="24">
        <f t="shared" si="57"/>
        <v>0.89849215784734726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6.2</v>
      </c>
      <c r="N76" s="14">
        <f>IF('Données projet'!$A$36&gt;35,N75+M76-V75,IF(A76&lt;'Données projet'!$A$36,$K$205^A76,IF(A76='Données projet'!$A$36,'Données projet'!$B$36,N75+M76-V75)))</f>
        <v>239.59999999999994</v>
      </c>
      <c r="O76" s="14">
        <f>N76*VLOOKUP('Données projet'!$B$9,Paramètres!$A$1:$I$89,3,0)*VLOOKUP('Données projet'!$B$9,Paramètres!$A$1:$I$89,5,0)</f>
        <v>216.79007999999996</v>
      </c>
      <c r="P76" s="14">
        <f t="shared" si="87"/>
        <v>53.416629794462551</v>
      </c>
      <c r="Q76" s="22">
        <f t="shared" si="54"/>
        <v>470.61001955868886</v>
      </c>
      <c r="R76" s="62">
        <f t="shared" si="55"/>
        <v>738.39280375661065</v>
      </c>
      <c r="S76" s="62">
        <f ca="1">AVERAGE(OFFSET($R$3,0,0,'Données projet'!$E$9+1,1))-AVERAGE(OFFSET($H$3,0,0,'Données projet'!$E$9+1,1))</f>
        <v>406.64650428071837</v>
      </c>
      <c r="T76" s="62">
        <f t="shared" si="88"/>
        <v>250.47702091764884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0.19271725679816645</v>
      </c>
      <c r="AA76" s="23">
        <f>EXP(-LN(2)/25)*AA75+(1-EXP(-LN(2)/25))/(LN(2)/25)*Calculateur!V76*Calculateur!X76*VLOOKUP('Données projet'!$B$9,Paramètres!$A$1:$I$89,3,0)*0.475*44/12</f>
        <v>0.68271981936185844</v>
      </c>
      <c r="AB76" s="23">
        <f>EXP(-LN(2)/2)*AB75+(1-EXP(-LN(2)/2))/(LN(2)/2)*V76*Y76*VLOOKUP('Données projet'!$B$9,Paramètres!$A$1:$I$89,3,0)*0.475*44/12</f>
        <v>4.6384309234331743E-6</v>
      </c>
      <c r="AC76" s="24">
        <f t="shared" si="57"/>
        <v>0.87544171459094833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6.2</v>
      </c>
      <c r="N77" s="14">
        <f>IF('Données projet'!$A$36&gt;35,N76+M77-V76,IF(A77&lt;'Données projet'!$A$36,$K$205^A77,IF(A77='Données projet'!$A$36,'Données projet'!$B$36,N76+M77-V76)))</f>
        <v>245.79999999999993</v>
      </c>
      <c r="O77" s="14">
        <f>N77*VLOOKUP('Données projet'!$B$9,Paramètres!$A$1:$I$89,3,0)*VLOOKUP('Données projet'!$B$9,Paramètres!$A$1:$I$89,5,0)</f>
        <v>222.3998399999999</v>
      </c>
      <c r="P77" s="14">
        <f t="shared" si="87"/>
        <v>54.636149281681448</v>
      </c>
      <c r="Q77" s="22">
        <f t="shared" si="54"/>
        <v>482.50434799892832</v>
      </c>
      <c r="R77" s="62">
        <f t="shared" si="55"/>
        <v>750.73037710187918</v>
      </c>
      <c r="S77" s="62">
        <f ca="1">AVERAGE(OFFSET($R$3,0,0,'Données projet'!$E$9+1,1))-AVERAGE(OFFSET($H$3,0,0,'Données projet'!$E$9+1,1))</f>
        <v>406.64650428071837</v>
      </c>
      <c r="T77" s="62">
        <f t="shared" si="88"/>
        <v>250.47702091764884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0.18893818893827435</v>
      </c>
      <c r="AA77" s="23">
        <f>EXP(-LN(2)/25)*AA76+(1-EXP(-LN(2)/25))/(LN(2)/25)*Calculateur!V77*Calculateur!X77*VLOOKUP('Données projet'!$B$9,Paramètres!$A$1:$I$89,3,0)*0.475*44/12</f>
        <v>0.66405080999873345</v>
      </c>
      <c r="AB77" s="23">
        <f>EXP(-LN(2)/2)*AB76+(1-EXP(-LN(2)/2))/(LN(2)/2)*V77*Y77*VLOOKUP('Données projet'!$B$9,Paramètres!$A$1:$I$89,3,0)*0.475*44/12</f>
        <v>3.2798659600249772E-6</v>
      </c>
      <c r="AC77" s="24">
        <f t="shared" si="57"/>
        <v>0.85299227880296791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252</v>
      </c>
      <c r="L78" s="13">
        <f>VLOOKUP(A78,'Données projet'!$A$35:$I$55,9,0)</f>
        <v>6.2</v>
      </c>
      <c r="M78" s="13">
        <f t="array" ref="M78">INDEX(L:L,MIN(IF(ISNUMBER(L78:L274),ROW(L78:L274),"")))</f>
        <v>6.2</v>
      </c>
      <c r="N78" s="14">
        <f>IF('Données projet'!$A$36&gt;35,N77+M78-V77,IF(A78&lt;'Données projet'!$A$36,$K$205^A78,IF(A78='Données projet'!$A$36,'Données projet'!$B$36,N77+M78-V77)))</f>
        <v>251.99999999999991</v>
      </c>
      <c r="O78" s="14">
        <f>N78*VLOOKUP('Données projet'!$B$9,Paramètres!$A$1:$I$89,3,0)*VLOOKUP('Données projet'!$B$9,Paramètres!$A$1:$I$89,5,0)</f>
        <v>228.00959999999992</v>
      </c>
      <c r="P78" s="14">
        <f t="shared" si="87"/>
        <v>55.852093054619829</v>
      </c>
      <c r="Q78" s="22">
        <f t="shared" si="54"/>
        <v>494.3924487367961</v>
      </c>
      <c r="R78" s="62">
        <f t="shared" si="55"/>
        <v>763.0540334366209</v>
      </c>
      <c r="S78" s="62">
        <f ca="1">AVERAGE(OFFSET($R$3,0,0,'Données projet'!$E$9+1,1))-AVERAGE(OFFSET($H$3,0,0,'Données projet'!$E$9+1,1))</f>
        <v>406.64650428071837</v>
      </c>
      <c r="T78" s="62">
        <f t="shared" si="88"/>
        <v>250.47702091764884</v>
      </c>
      <c r="U78" s="16">
        <f>IF(ISNA(VLOOKUP(A78,'Données projet'!$A$35:$I$55,3,0)),0,VLOOKUP(A78,'Données projet'!$A$35:$I$55,3,0))</f>
        <v>11</v>
      </c>
      <c r="V78" s="16">
        <f>IF(ISNA(VLOOKUP(A78,'Données projet'!$A$35:$I$55,4,0)),0,VLOOKUP(A78,'Données projet'!$A$35:$I$55,4,0))</f>
        <v>21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0.18523322629411096</v>
      </c>
      <c r="AA78" s="23">
        <f>EXP(-LN(2)/25)*AA77+(1-EXP(-LN(2)/25))/(LN(2)/25)*Calculateur!V78*Calculateur!X78*VLOOKUP('Données projet'!$B$9,Paramètres!$A$1:$I$89,3,0)*0.475*44/12</f>
        <v>0.64589230567840372</v>
      </c>
      <c r="AB78" s="23">
        <f>EXP(-LN(2)/2)*AB77+(1-EXP(-LN(2)/2))/(LN(2)/2)*V78*Y78*VLOOKUP('Données projet'!$B$9,Paramètres!$A$1:$I$89,3,0)*0.475*44/12</f>
        <v>2.3192154617165872E-6</v>
      </c>
      <c r="AC78" s="24">
        <f t="shared" si="57"/>
        <v>0.83112785118797639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6</v>
      </c>
      <c r="N79" s="14">
        <f>IF('Données projet'!$A$36&gt;35,N78+M79-V78,IF(A79&lt;'Données projet'!$A$36,$K$205^A79,IF(A79='Données projet'!$A$36,'Données projet'!$B$36,N78+M79-V78)))</f>
        <v>236.99999999999989</v>
      </c>
      <c r="O79" s="14">
        <f>N79*VLOOKUP('Données projet'!$B$9,Paramètres!$A$1:$I$89,3,0)*VLOOKUP('Données projet'!$B$9,Paramètres!$A$1:$I$89,5,0)</f>
        <v>214.43759999999989</v>
      </c>
      <c r="P79" s="14">
        <f t="shared" si="87"/>
        <v>52.904129603372375</v>
      </c>
      <c r="Q79" s="22">
        <f t="shared" si="54"/>
        <v>465.62017905920658</v>
      </c>
      <c r="R79" s="62">
        <f t="shared" si="55"/>
        <v>734.70976344005601</v>
      </c>
      <c r="S79" s="62">
        <f ca="1">AVERAGE(OFFSET($R$3,0,0,'Données projet'!$E$9+1,1))-AVERAGE(OFFSET($H$3,0,0,'Données projet'!$E$9+1,1))</f>
        <v>406.64650428071837</v>
      </c>
      <c r="T79" s="62">
        <f t="shared" si="88"/>
        <v>250.47702091764884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0.18160091570759551</v>
      </c>
      <c r="AA79" s="23">
        <f>EXP(-LN(2)/25)*AA78+(1-EXP(-LN(2)/25))/(LN(2)/25)*Calculateur!V79*Calculateur!X79*VLOOKUP('Données projet'!$B$9,Paramètres!$A$1:$I$89,3,0)*0.475*44/12</f>
        <v>0.62823034661362764</v>
      </c>
      <c r="AB79" s="23">
        <f>EXP(-LN(2)/2)*AB78+(1-EXP(-LN(2)/2))/(LN(2)/2)*V79*Y79*VLOOKUP('Données projet'!$B$9,Paramètres!$A$1:$I$89,3,0)*0.475*44/12</f>
        <v>1.6399329800124886E-6</v>
      </c>
      <c r="AC79" s="24">
        <f t="shared" si="57"/>
        <v>0.80983290225420312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6</v>
      </c>
      <c r="N80" s="14">
        <f>IF('Données projet'!$A$36&gt;35,N79+M80-V79,IF(A80&lt;'Données projet'!$A$36,$K$205^A80,IF(A80='Données projet'!$A$36,'Données projet'!$B$36,N79+M80-V79)))</f>
        <v>242.99999999999989</v>
      </c>
      <c r="O80" s="14">
        <f>N80*VLOOKUP('Données projet'!$B$9,Paramètres!$A$1:$I$89,3,0)*VLOOKUP('Données projet'!$B$9,Paramètres!$A$1:$I$89,5,0)</f>
        <v>219.86639999999989</v>
      </c>
      <c r="P80" s="14">
        <f t="shared" si="87"/>
        <v>54.085847394182416</v>
      </c>
      <c r="Q80" s="22">
        <f t="shared" si="54"/>
        <v>477.13349754486745</v>
      </c>
      <c r="R80" s="62">
        <f t="shared" si="55"/>
        <v>746.64365676913974</v>
      </c>
      <c r="S80" s="62">
        <f ca="1">AVERAGE(OFFSET($R$3,0,0,'Données projet'!$E$9+1,1))-AVERAGE(OFFSET($H$3,0,0,'Données projet'!$E$9+1,1))</f>
        <v>406.64650428071837</v>
      </c>
      <c r="T80" s="62">
        <f t="shared" si="88"/>
        <v>250.47702091764884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0.17803983251619096</v>
      </c>
      <c r="AA80" s="23">
        <f>EXP(-LN(2)/25)*AA79+(1-EXP(-LN(2)/25))/(LN(2)/25)*Calculateur!V80*Calculateur!X80*VLOOKUP('Données projet'!$B$9,Paramètres!$A$1:$I$89,3,0)*0.475*44/12</f>
        <v>0.61105135474827987</v>
      </c>
      <c r="AB80" s="23">
        <f>EXP(-LN(2)/2)*AB79+(1-EXP(-LN(2)/2))/(LN(2)/2)*V80*Y80*VLOOKUP('Données projet'!$B$9,Paramètres!$A$1:$I$89,3,0)*0.475*44/12</f>
        <v>1.1596077308582936E-6</v>
      </c>
      <c r="AC80" s="24">
        <f t="shared" si="57"/>
        <v>0.78909234687220164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6</v>
      </c>
      <c r="N81" s="14">
        <f>IF('Données projet'!$A$36&gt;35,N80+M81-V80,IF(A81&lt;'Données projet'!$A$36,$K$205^A81,IF(A81='Données projet'!$A$36,'Données projet'!$B$36,N80+M81-V80)))</f>
        <v>248.99999999999989</v>
      </c>
      <c r="O81" s="14">
        <f>N81*VLOOKUP('Données projet'!$B$9,Paramètres!$A$1:$I$89,3,0)*VLOOKUP('Données projet'!$B$9,Paramètres!$A$1:$I$89,5,0)</f>
        <v>225.29519999999991</v>
      </c>
      <c r="P81" s="14">
        <f t="shared" si="87"/>
        <v>55.264173352293078</v>
      </c>
      <c r="Q81" s="22">
        <f t="shared" si="54"/>
        <v>488.64090858857691</v>
      </c>
      <c r="R81" s="62">
        <f t="shared" si="55"/>
        <v>758.56434662300308</v>
      </c>
      <c r="S81" s="62">
        <f ca="1">AVERAGE(OFFSET($R$3,0,0,'Données projet'!$E$9+1,1))-AVERAGE(OFFSET($H$3,0,0,'Données projet'!$E$9+1,1))</f>
        <v>406.64650428071837</v>
      </c>
      <c r="T81" s="62">
        <f t="shared" si="88"/>
        <v>250.47702091764884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0.17454857999412357</v>
      </c>
      <c r="AA81" s="23">
        <f>EXP(-LN(2)/25)*AA80+(1-EXP(-LN(2)/25))/(LN(2)/25)*Calculateur!V81*Calculateur!X81*VLOOKUP('Données projet'!$B$9,Paramètres!$A$1:$I$89,3,0)*0.475*44/12</f>
        <v>0.59434212331889402</v>
      </c>
      <c r="AB81" s="23">
        <f>EXP(-LN(2)/2)*AB80+(1-EXP(-LN(2)/2))/(LN(2)/2)*V81*Y81*VLOOKUP('Données projet'!$B$9,Paramètres!$A$1:$I$89,3,0)*0.475*44/12</f>
        <v>8.199664900062443E-7</v>
      </c>
      <c r="AC81" s="24">
        <f t="shared" si="57"/>
        <v>0.7688915232795076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6</v>
      </c>
      <c r="N82" s="14">
        <f>IF('Données projet'!$A$36&gt;35,N81+M82-V81,IF(A82&lt;'Données projet'!$A$36,$K$205^A82,IF(A82='Données projet'!$A$36,'Données projet'!$B$36,N81+M82-V81)))</f>
        <v>254.99999999999989</v>
      </c>
      <c r="O82" s="14">
        <f>N82*VLOOKUP('Données projet'!$B$9,Paramètres!$A$1:$I$89,3,0)*VLOOKUP('Données projet'!$B$9,Paramètres!$A$1:$I$89,5,0)</f>
        <v>230.72399999999988</v>
      </c>
      <c r="P82" s="14">
        <f t="shared" si="87"/>
        <v>56.439198612082045</v>
      </c>
      <c r="Q82" s="22">
        <f t="shared" si="54"/>
        <v>500.14257091604264</v>
      </c>
      <c r="R82" s="62">
        <f t="shared" si="55"/>
        <v>770.47211829721959</v>
      </c>
      <c r="S82" s="62">
        <f ca="1">AVERAGE(OFFSET($R$3,0,0,'Données projet'!$E$9+1,1))-AVERAGE(OFFSET($H$3,0,0,'Données projet'!$E$9+1,1))</f>
        <v>406.64650428071837</v>
      </c>
      <c r="T82" s="62">
        <f t="shared" si="88"/>
        <v>250.47702091764884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0.17112578880456014</v>
      </c>
      <c r="AA82" s="23">
        <f>EXP(-LN(2)/25)*AA81+(1-EXP(-LN(2)/25))/(LN(2)/25)*Calculateur!V82*Calculateur!X82*VLOOKUP('Données projet'!$B$9,Paramètres!$A$1:$I$89,3,0)*0.475*44/12</f>
        <v>0.578089806701645</v>
      </c>
      <c r="AB82" s="23">
        <f>EXP(-LN(2)/2)*AB81+(1-EXP(-LN(2)/2))/(LN(2)/2)*V82*Y82*VLOOKUP('Données projet'!$B$9,Paramètres!$A$1:$I$89,3,0)*0.475*44/12</f>
        <v>5.7980386542914679E-7</v>
      </c>
      <c r="AC82" s="24">
        <f t="shared" si="57"/>
        <v>0.74921617531007068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261</v>
      </c>
      <c r="L83" s="13">
        <f>VLOOKUP(A83,'Données projet'!$A$35:$I$55,9,0)</f>
        <v>6</v>
      </c>
      <c r="M83" s="13">
        <f t="array" ref="M83">INDEX(L:L,MIN(IF(ISNUMBER(L83:L279),ROW(L83:L279),"")))</f>
        <v>6</v>
      </c>
      <c r="N83" s="14">
        <f>IF('Données projet'!$A$36&gt;35,N82+M83-V82,IF(A83&lt;'Données projet'!$A$36,$K$205^A83,IF(A83='Données projet'!$A$36,'Données projet'!$B$36,N82+M83-V82)))</f>
        <v>260.99999999999989</v>
      </c>
      <c r="O83" s="14">
        <f>N83*VLOOKUP('Données projet'!$B$9,Paramètres!$A$1:$I$89,3,0)*VLOOKUP('Données projet'!$B$9,Paramètres!$A$1:$I$89,5,0)</f>
        <v>236.15279999999987</v>
      </c>
      <c r="P83" s="14">
        <f t="shared" si="87"/>
        <v>57.61100977459931</v>
      </c>
      <c r="Q83" s="22">
        <f t="shared" si="54"/>
        <v>511.63863535742689</v>
      </c>
      <c r="R83" s="62">
        <f t="shared" si="55"/>
        <v>782.36724699611295</v>
      </c>
      <c r="S83" s="62">
        <f ca="1">AVERAGE(OFFSET($R$3,0,0,'Données projet'!$E$9+1,1))-AVERAGE(OFFSET($H$3,0,0,'Données projet'!$E$9+1,1))</f>
        <v>406.64650428071837</v>
      </c>
      <c r="T83" s="62">
        <f t="shared" si="88"/>
        <v>250.47702091764884</v>
      </c>
      <c r="U83" s="16">
        <f>IF(ISNA(VLOOKUP(A83,'Données projet'!$A$35:$I$55,3,0)),0,VLOOKUP(A83,'Données projet'!$A$35:$I$55,3,0))</f>
        <v>12</v>
      </c>
      <c r="V83" s="16">
        <f>IF(ISNA(VLOOKUP(A83,'Données projet'!$A$35:$I$55,4,0)),0,VLOOKUP(A83,'Données projet'!$A$35:$I$55,4,0))</f>
        <v>21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0.16777011646252757</v>
      </c>
      <c r="AA83" s="23">
        <f>EXP(-LN(2)/25)*AA82+(1-EXP(-LN(2)/25))/(LN(2)/25)*Calculateur!V83*Calculateur!X83*VLOOKUP('Données projet'!$B$9,Paramètres!$A$1:$I$89,3,0)*0.475*44/12</f>
        <v>0.56228191053696686</v>
      </c>
      <c r="AB83" s="23">
        <f>EXP(-LN(2)/2)*AB82+(1-EXP(-LN(2)/2))/(LN(2)/2)*V83*Y83*VLOOKUP('Données projet'!$B$9,Paramètres!$A$1:$I$89,3,0)*0.475*44/12</f>
        <v>4.0998324500312215E-7</v>
      </c>
      <c r="AC83" s="24">
        <f t="shared" si="57"/>
        <v>0.73005243698273947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5.8</v>
      </c>
      <c r="N84" s="14">
        <f>IF('Données projet'!$A$36&gt;35,N83+M84-V83,IF(A84&lt;'Données projet'!$A$36,$K$205^A84,IF(A84='Données projet'!$A$36,'Données projet'!$B$36,N83+M84-V83)))</f>
        <v>245.7999999999999</v>
      </c>
      <c r="O84" s="14">
        <f>N84*VLOOKUP('Données projet'!$B$9,Paramètres!$A$1:$I$89,3,0)*VLOOKUP('Données projet'!$B$9,Paramètres!$A$1:$I$89,5,0)</f>
        <v>222.3998399999999</v>
      </c>
      <c r="P84" s="14">
        <f t="shared" si="87"/>
        <v>54.636149281681448</v>
      </c>
      <c r="Q84" s="22">
        <f t="shared" si="54"/>
        <v>482.50434799892832</v>
      </c>
      <c r="R84" s="62">
        <f t="shared" si="55"/>
        <v>753.62510102242982</v>
      </c>
      <c r="S84" s="62">
        <f ca="1">AVERAGE(OFFSET($R$3,0,0,'Données projet'!$E$9+1,1))-AVERAGE(OFFSET($H$3,0,0,'Données projet'!$E$9+1,1))</f>
        <v>406.64650428071837</v>
      </c>
      <c r="T84" s="62">
        <f t="shared" si="88"/>
        <v>250.47702091764884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0.16448024680836423</v>
      </c>
      <c r="AA84" s="23">
        <f>EXP(-LN(2)/25)*AA83+(1-EXP(-LN(2)/25))/(LN(2)/25)*Calculateur!V84*Calculateur!X84*VLOOKUP('Données projet'!$B$9,Paramètres!$A$1:$I$89,3,0)*0.475*44/12</f>
        <v>0.54690628212421288</v>
      </c>
      <c r="AB84" s="23">
        <f>EXP(-LN(2)/2)*AB83+(1-EXP(-LN(2)/2))/(LN(2)/2)*V84*Y84*VLOOKUP('Données projet'!$B$9,Paramètres!$A$1:$I$89,3,0)*0.475*44/12</f>
        <v>2.8990193271457339E-7</v>
      </c>
      <c r="AC84" s="24">
        <f t="shared" si="57"/>
        <v>0.71138681883450983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5.8</v>
      </c>
      <c r="N85" s="14">
        <f>IF('Données projet'!$A$36&gt;35,N84+M85-V84,IF(A85&lt;'Données projet'!$A$36,$K$205^A85,IF(A85='Données projet'!$A$36,'Données projet'!$B$36,N84+M85-V84)))</f>
        <v>251.59999999999991</v>
      </c>
      <c r="O85" s="14">
        <f>N85*VLOOKUP('Données projet'!$B$9,Paramètres!$A$1:$I$89,3,0)*VLOOKUP('Données projet'!$B$9,Paramètres!$A$1:$I$89,5,0)</f>
        <v>227.64767999999992</v>
      </c>
      <c r="P85" s="14">
        <f t="shared" si="87"/>
        <v>55.773751036838313</v>
      </c>
      <c r="Q85" s="22">
        <f t="shared" si="54"/>
        <v>493.62565905582659</v>
      </c>
      <c r="R85" s="62">
        <f t="shared" si="55"/>
        <v>765.13175068781356</v>
      </c>
      <c r="S85" s="62">
        <f ca="1">AVERAGE(OFFSET($R$3,0,0,'Données projet'!$E$9+1,1))-AVERAGE(OFFSET($H$3,0,0,'Données projet'!$E$9+1,1))</f>
        <v>406.64650428071837</v>
      </c>
      <c r="T85" s="62">
        <f t="shared" si="88"/>
        <v>250.47702091764884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0.16125488949149669</v>
      </c>
      <c r="AA85" s="23">
        <f>EXP(-LN(2)/25)*AA84+(1-EXP(-LN(2)/25))/(LN(2)/25)*Calculateur!V85*Calculateur!X85*VLOOKUP('Données projet'!$B$9,Paramètres!$A$1:$I$89,3,0)*0.475*44/12</f>
        <v>0.53195110107897492</v>
      </c>
      <c r="AB85" s="23">
        <f>EXP(-LN(2)/2)*AB84+(1-EXP(-LN(2)/2))/(LN(2)/2)*V85*Y85*VLOOKUP('Données projet'!$B$9,Paramètres!$A$1:$I$89,3,0)*0.475*44/12</f>
        <v>2.0499162250156108E-7</v>
      </c>
      <c r="AC85" s="24">
        <f t="shared" si="57"/>
        <v>0.69320619556209406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5.8</v>
      </c>
      <c r="N86" s="14">
        <f>IF('Données projet'!$A$36&gt;35,N85+M86-V85,IF(A86&lt;'Données projet'!$A$36,$K$205^A86,IF(A86='Données projet'!$A$36,'Données projet'!$B$36,N85+M86-V85)))</f>
        <v>257.39999999999992</v>
      </c>
      <c r="O86" s="14">
        <f>N86*VLOOKUP('Données projet'!$B$9,Paramètres!$A$1:$I$89,3,0)*VLOOKUP('Données projet'!$B$9,Paramètres!$A$1:$I$89,5,0)</f>
        <v>232.89551999999992</v>
      </c>
      <c r="P86" s="14">
        <f t="shared" si="87"/>
        <v>56.908304063818662</v>
      </c>
      <c r="Q86" s="22">
        <f t="shared" si="54"/>
        <v>504.74166024448397</v>
      </c>
      <c r="R86" s="62">
        <f t="shared" si="55"/>
        <v>776.62640572158739</v>
      </c>
      <c r="S86" s="62">
        <f ca="1">AVERAGE(OFFSET($R$3,0,0,'Données projet'!$E$9+1,1))-AVERAGE(OFFSET($H$3,0,0,'Données projet'!$E$9+1,1))</f>
        <v>406.64650428071837</v>
      </c>
      <c r="T86" s="62">
        <f t="shared" si="88"/>
        <v>250.47702091764884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0.15809277946433919</v>
      </c>
      <c r="AA86" s="23">
        <f>EXP(-LN(2)/25)*AA85+(1-EXP(-LN(2)/25))/(LN(2)/25)*Calculateur!V86*Calculateur!X86*VLOOKUP('Données projet'!$B$9,Paramètres!$A$1:$I$89,3,0)*0.475*44/12</f>
        <v>0.51740487024587778</v>
      </c>
      <c r="AB86" s="23">
        <f>EXP(-LN(2)/2)*AB85+(1-EXP(-LN(2)/2))/(LN(2)/2)*V86*Y86*VLOOKUP('Données projet'!$B$9,Paramètres!$A$1:$I$89,3,0)*0.475*44/12</f>
        <v>1.449509663572867E-7</v>
      </c>
      <c r="AC86" s="24">
        <f t="shared" si="57"/>
        <v>0.67549779466118332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5.8</v>
      </c>
      <c r="N87" s="14">
        <f>IF('Données projet'!$A$36&gt;35,N86+M87-V86,IF(A87&lt;'Données projet'!$A$36,$K$205^A87,IF(A87='Données projet'!$A$36,'Données projet'!$B$36,N86+M87-V86)))</f>
        <v>263.19999999999993</v>
      </c>
      <c r="O87" s="14">
        <f>N87*VLOOKUP('Données projet'!$B$9,Paramètres!$A$1:$I$89,3,0)*VLOOKUP('Données projet'!$B$9,Paramètres!$A$1:$I$89,5,0)</f>
        <v>238.14335999999992</v>
      </c>
      <c r="P87" s="14">
        <f t="shared" si="87"/>
        <v>58.039884968630489</v>
      </c>
      <c r="Q87" s="22">
        <f t="shared" si="54"/>
        <v>515.85248498703129</v>
      </c>
      <c r="R87" s="62">
        <f t="shared" si="55"/>
        <v>788.1093155115816</v>
      </c>
      <c r="S87" s="62">
        <f ca="1">AVERAGE(OFFSET($R$3,0,0,'Données projet'!$E$9+1,1))-AVERAGE(OFFSET($H$3,0,0,'Données projet'!$E$9+1,1))</f>
        <v>406.64650428071837</v>
      </c>
      <c r="T87" s="62">
        <f t="shared" si="88"/>
        <v>250.47702091764884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0.15499267648611759</v>
      </c>
      <c r="AA87" s="23">
        <f>EXP(-LN(2)/25)*AA86+(1-EXP(-LN(2)/25))/(LN(2)/25)*Calculateur!V87*Calculateur!X87*VLOOKUP('Données projet'!$B$9,Paramètres!$A$1:$I$89,3,0)*0.475*44/12</f>
        <v>0.50325640685986472</v>
      </c>
      <c r="AB87" s="23">
        <f>EXP(-LN(2)/2)*AB86+(1-EXP(-LN(2)/2))/(LN(2)/2)*V87*Y87*VLOOKUP('Données projet'!$B$9,Paramètres!$A$1:$I$89,3,0)*0.475*44/12</f>
        <v>1.0249581125078054E-7</v>
      </c>
      <c r="AC87" s="24">
        <f t="shared" si="57"/>
        <v>0.65824918584179359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>
        <f>VLOOKUP(A88,'Données projet'!$A$35:$I$55,2,0)</f>
        <v>269</v>
      </c>
      <c r="L88" s="13">
        <f>VLOOKUP(A88,'Données projet'!$A$35:$I$55,9,0)</f>
        <v>5.8</v>
      </c>
      <c r="M88" s="13">
        <f t="array" ref="M88">INDEX(L:L,MIN(IF(ISNUMBER(L88:L284),ROW(L88:L284),"")))</f>
        <v>5.8</v>
      </c>
      <c r="N88" s="14">
        <f>IF('Données projet'!$A$36&gt;35,N87+M88-V87,IF(A88&lt;'Données projet'!$A$36,$K$205^A88,IF(A88='Données projet'!$A$36,'Données projet'!$B$36,N87+M88-V87)))</f>
        <v>268.99999999999994</v>
      </c>
      <c r="O88" s="14">
        <f>N88*VLOOKUP('Données projet'!$B$9,Paramètres!$A$1:$I$89,3,0)*VLOOKUP('Données projet'!$B$9,Paramètres!$A$1:$I$89,5,0)</f>
        <v>243.39119999999994</v>
      </c>
      <c r="P88" s="14">
        <f t="shared" si="87"/>
        <v>59.168566788241527</v>
      </c>
      <c r="Q88" s="22">
        <f t="shared" si="54"/>
        <v>526.95826048952051</v>
      </c>
      <c r="R88" s="62">
        <f t="shared" si="55"/>
        <v>799.58072121780197</v>
      </c>
      <c r="S88" s="62">
        <f ca="1">AVERAGE(OFFSET($R$3,0,0,'Données projet'!$E$9+1,1))-AVERAGE(OFFSET($H$3,0,0,'Données projet'!$E$9+1,1))</f>
        <v>406.64650428071837</v>
      </c>
      <c r="T88" s="62">
        <f t="shared" si="88"/>
        <v>250.47702091764884</v>
      </c>
      <c r="U88" s="16">
        <f>IF(ISNA(VLOOKUP(A88,'Données projet'!$A$35:$I$55,3,0)),0,VLOOKUP(A88,'Données projet'!$A$35:$I$55,3,0))</f>
        <v>13</v>
      </c>
      <c r="V88" s="16">
        <f>IF(ISNA(VLOOKUP(A88,'Données projet'!$A$35:$I$55,4,0)),0,VLOOKUP(A88,'Données projet'!$A$35:$I$55,4,0))</f>
        <v>21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0.15195336463642281</v>
      </c>
      <c r="AA88" s="23">
        <f>EXP(-LN(2)/25)*AA87+(1-EXP(-LN(2)/25))/(LN(2)/25)*Calculateur!V88*Calculateur!X88*VLOOKUP('Données projet'!$B$9,Paramètres!$A$1:$I$89,3,0)*0.475*44/12</f>
        <v>0.48949483394917748</v>
      </c>
      <c r="AB88" s="23">
        <f>EXP(-LN(2)/2)*AB87+(1-EXP(-LN(2)/2))/(LN(2)/2)*V88*Y88*VLOOKUP('Données projet'!$B$9,Paramètres!$A$1:$I$89,3,0)*0.475*44/12</f>
        <v>7.2475483178643349E-8</v>
      </c>
      <c r="AC88" s="24">
        <f t="shared" si="57"/>
        <v>0.64144827106108349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5.4</v>
      </c>
      <c r="N89" s="14">
        <f>IF('Données projet'!$A$36&gt;35,N88+M89-V88,IF(A89&lt;'Données projet'!$A$36,$K$205^A89,IF(A89='Données projet'!$A$36,'Données projet'!$B$36,N88+M89-V88)))</f>
        <v>253.39999999999992</v>
      </c>
      <c r="O89" s="14">
        <f>N89*VLOOKUP('Données projet'!$B$9,Paramètres!$A$1:$I$89,3,0)*VLOOKUP('Données projet'!$B$9,Paramètres!$A$1:$I$89,5,0)</f>
        <v>229.27631999999994</v>
      </c>
      <c r="P89" s="14">
        <f t="shared" si="87"/>
        <v>56.126176307517476</v>
      </c>
      <c r="Q89" s="22">
        <f t="shared" si="54"/>
        <v>497.07601440225949</v>
      </c>
      <c r="R89" s="62">
        <f t="shared" si="55"/>
        <v>770.05776246766413</v>
      </c>
      <c r="S89" s="62">
        <f ca="1">AVERAGE(OFFSET($R$3,0,0,'Données projet'!$E$9+1,1))-AVERAGE(OFFSET($H$3,0,0,'Données projet'!$E$9+1,1))</f>
        <v>406.64650428071837</v>
      </c>
      <c r="T89" s="62">
        <f t="shared" si="88"/>
        <v>250.47702091764884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0.14897365183830336</v>
      </c>
      <c r="AA89" s="23">
        <f>EXP(-LN(2)/25)*AA88+(1-EXP(-LN(2)/25))/(LN(2)/25)*Calculateur!V89*Calculateur!X89*VLOOKUP('Données projet'!$B$9,Paramètres!$A$1:$I$89,3,0)*0.475*44/12</f>
        <v>0.47610957197342263</v>
      </c>
      <c r="AB89" s="23">
        <f>EXP(-LN(2)/2)*AB88+(1-EXP(-LN(2)/2))/(LN(2)/2)*V89*Y89*VLOOKUP('Données projet'!$B$9,Paramètres!$A$1:$I$89,3,0)*0.475*44/12</f>
        <v>5.1247905625390269E-8</v>
      </c>
      <c r="AC89" s="24">
        <f t="shared" si="57"/>
        <v>0.62508327505963157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5.4</v>
      </c>
      <c r="N90" s="14">
        <f>IF('Données projet'!$A$36&gt;35,N89+M90-V89,IF(A90&lt;'Données projet'!$A$36,$K$205^A90,IF(A90='Données projet'!$A$36,'Données projet'!$B$36,N89+M90-V89)))</f>
        <v>258.7999999999999</v>
      </c>
      <c r="O90" s="14">
        <f>N90*VLOOKUP('Données projet'!$B$9,Paramètres!$A$1:$I$89,3,0)*VLOOKUP('Données projet'!$B$9,Paramètres!$A$1:$I$89,5,0)</f>
        <v>234.16223999999988</v>
      </c>
      <c r="P90" s="14">
        <f t="shared" si="87"/>
        <v>57.181713578143047</v>
      </c>
      <c r="Q90" s="22">
        <f t="shared" si="54"/>
        <v>507.42405248193222</v>
      </c>
      <c r="R90" s="62">
        <f t="shared" si="55"/>
        <v>780.75885505240706</v>
      </c>
      <c r="S90" s="62">
        <f ca="1">AVERAGE(OFFSET($R$3,0,0,'Données projet'!$E$9+1,1))-AVERAGE(OFFSET($H$3,0,0,'Données projet'!$E$9+1,1))</f>
        <v>406.64650428071837</v>
      </c>
      <c r="T90" s="62">
        <f t="shared" si="88"/>
        <v>250.47702091764884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0.14605236939070967</v>
      </c>
      <c r="AA90" s="23">
        <f>EXP(-LN(2)/25)*AA89+(1-EXP(-LN(2)/25))/(LN(2)/25)*Calculateur!V90*Calculateur!X90*VLOOKUP('Données projet'!$B$9,Paramètres!$A$1:$I$89,3,0)*0.475*44/12</f>
        <v>0.46309033069029515</v>
      </c>
      <c r="AB90" s="23">
        <f>EXP(-LN(2)/2)*AB89+(1-EXP(-LN(2)/2))/(LN(2)/2)*V90*Y90*VLOOKUP('Données projet'!$B$9,Paramètres!$A$1:$I$89,3,0)*0.475*44/12</f>
        <v>3.6237741589321674E-8</v>
      </c>
      <c r="AC90" s="24">
        <f t="shared" si="57"/>
        <v>0.60914273631874638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5.4</v>
      </c>
      <c r="N91" s="14">
        <f>IF('Données projet'!$A$36&gt;35,N90+M91-V90,IF(A91&lt;'Données projet'!$A$36,$K$205^A91,IF(A91='Données projet'!$A$36,'Données projet'!$B$36,N90+M91-V90)))</f>
        <v>264.19999999999987</v>
      </c>
      <c r="O91" s="14">
        <f>N91*VLOOKUP('Données projet'!$B$9,Paramètres!$A$1:$I$89,3,0)*VLOOKUP('Données projet'!$B$9,Paramètres!$A$1:$I$89,5,0)</f>
        <v>239.04815999999985</v>
      </c>
      <c r="P91" s="14">
        <f t="shared" si="87"/>
        <v>58.234690128947292</v>
      </c>
      <c r="Q91" s="22">
        <f t="shared" si="54"/>
        <v>517.76763064124964</v>
      </c>
      <c r="R91" s="62">
        <f t="shared" si="55"/>
        <v>791.44936301044334</v>
      </c>
      <c r="S91" s="62">
        <f ca="1">AVERAGE(OFFSET($R$3,0,0,'Données projet'!$E$9+1,1))-AVERAGE(OFFSET($H$3,0,0,'Données projet'!$E$9+1,1))</f>
        <v>406.64650428071837</v>
      </c>
      <c r="T91" s="62">
        <f t="shared" si="88"/>
        <v>250.47702091764884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0.14318837151010697</v>
      </c>
      <c r="AA91" s="23">
        <f>EXP(-LN(2)/25)*AA90+(1-EXP(-LN(2)/25))/(LN(2)/25)*Calculateur!V91*Calculateur!X91*VLOOKUP('Données projet'!$B$9,Paramètres!$A$1:$I$89,3,0)*0.475*44/12</f>
        <v>0.45042710124470692</v>
      </c>
      <c r="AB91" s="23">
        <f>EXP(-LN(2)/2)*AB90+(1-EXP(-LN(2)/2))/(LN(2)/2)*V91*Y91*VLOOKUP('Données projet'!$B$9,Paramètres!$A$1:$I$89,3,0)*0.475*44/12</f>
        <v>2.5623952812695134E-8</v>
      </c>
      <c r="AC91" s="24">
        <f t="shared" si="57"/>
        <v>0.5936154983787667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5.4</v>
      </c>
      <c r="N92" s="14">
        <f>IF('Données projet'!$A$36&gt;35,N91+M92-V91,IF(A92&lt;'Données projet'!$A$36,$K$205^A92,IF(A92='Données projet'!$A$36,'Données projet'!$B$36,N91+M92-V91)))</f>
        <v>269.59999999999985</v>
      </c>
      <c r="O92" s="14">
        <f>N92*VLOOKUP('Données projet'!$B$9,Paramètres!$A$1:$I$89,3,0)*VLOOKUP('Données projet'!$B$9,Paramètres!$A$1:$I$89,5,0)</f>
        <v>243.93407999999988</v>
      </c>
      <c r="P92" s="14">
        <f t="shared" si="87"/>
        <v>59.285164329617594</v>
      </c>
      <c r="Q92" s="22">
        <f t="shared" si="54"/>
        <v>528.10685054075043</v>
      </c>
      <c r="R92" s="62">
        <f t="shared" si="55"/>
        <v>802.12949425227407</v>
      </c>
      <c r="S92" s="62">
        <f ca="1">AVERAGE(OFFSET($R$3,0,0,'Données projet'!$E$9+1,1))-AVERAGE(OFFSET($H$3,0,0,'Données projet'!$E$9+1,1))</f>
        <v>406.64650428071837</v>
      </c>
      <c r="T92" s="62">
        <f t="shared" si="88"/>
        <v>250.47702091764884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0.14038053488107666</v>
      </c>
      <c r="AA92" s="23">
        <f>EXP(-LN(2)/25)*AA91+(1-EXP(-LN(2)/25))/(LN(2)/25)*Calculateur!V92*Calculateur!X92*VLOOKUP('Données projet'!$B$9,Paramètres!$A$1:$I$89,3,0)*0.475*44/12</f>
        <v>0.43811014847423863</v>
      </c>
      <c r="AB92" s="23">
        <f>EXP(-LN(2)/2)*AB91+(1-EXP(-LN(2)/2))/(LN(2)/2)*V92*Y92*VLOOKUP('Données projet'!$B$9,Paramètres!$A$1:$I$89,3,0)*0.475*44/12</f>
        <v>1.8118870794660837E-8</v>
      </c>
      <c r="AC92" s="24">
        <f t="shared" si="57"/>
        <v>0.57849070147418613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275</v>
      </c>
      <c r="L93" s="13">
        <f>VLOOKUP(A93,'Données projet'!$A$35:$I$55,9,0)</f>
        <v>5.4</v>
      </c>
      <c r="M93" s="13">
        <f t="array" ref="M93">INDEX(L:L,MIN(IF(ISNUMBER(L93:L289),ROW(L93:L289),"")))</f>
        <v>5.4</v>
      </c>
      <c r="N93" s="14">
        <f>IF('Données projet'!$A$36&gt;35,N92+M93-V92,IF(A93&lt;'Données projet'!$A$36,$K$205^A93,IF(A93='Données projet'!$A$36,'Données projet'!$B$36,N92+M93-V92)))</f>
        <v>274.99999999999983</v>
      </c>
      <c r="O93" s="14">
        <f>N93*VLOOKUP('Données projet'!$B$9,Paramètres!$A$1:$I$89,3,0)*VLOOKUP('Données projet'!$B$9,Paramètres!$A$1:$I$89,5,0)</f>
        <v>248.81999999999982</v>
      </c>
      <c r="P93" s="14">
        <f t="shared" si="87"/>
        <v>60.333192077890018</v>
      </c>
      <c r="Q93" s="22">
        <f t="shared" si="54"/>
        <v>538.44180953565808</v>
      </c>
      <c r="R93" s="62">
        <f t="shared" si="55"/>
        <v>812.79945053988581</v>
      </c>
      <c r="S93" s="62">
        <f ca="1">AVERAGE(OFFSET($R$3,0,0,'Données projet'!$E$9+1,1))-AVERAGE(OFFSET($H$3,0,0,'Données projet'!$E$9+1,1))</f>
        <v>406.64650428071837</v>
      </c>
      <c r="T93" s="62">
        <f t="shared" si="88"/>
        <v>250.47702091764884</v>
      </c>
      <c r="U93" s="16">
        <f>IF(ISNA(VLOOKUP(A93,'Données projet'!$A$35:$I$55,3,0)),0,VLOOKUP(A93,'Données projet'!$A$35:$I$55,3,0))</f>
        <v>14</v>
      </c>
      <c r="V93" s="16">
        <f>IF(ISNA(VLOOKUP(A93,'Données projet'!$A$35:$I$55,4,0)),0,VLOOKUP(A93,'Données projet'!$A$35:$I$55,4,0))</f>
        <v>21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0.13762775821573039</v>
      </c>
      <c r="AA93" s="23">
        <f>EXP(-LN(2)/25)*AA92+(1-EXP(-LN(2)/25))/(LN(2)/25)*Calculateur!V93*Calculateur!X93*VLOOKUP('Données projet'!$B$9,Paramètres!$A$1:$I$89,3,0)*0.475*44/12</f>
        <v>0.42613000342499918</v>
      </c>
      <c r="AB93" s="23">
        <f>EXP(-LN(2)/2)*AB92+(1-EXP(-LN(2)/2))/(LN(2)/2)*V93*Y93*VLOOKUP('Données projet'!$B$9,Paramètres!$A$1:$I$89,3,0)*0.475*44/12</f>
        <v>1.2811976406347567E-8</v>
      </c>
      <c r="AC93" s="24">
        <f t="shared" si="57"/>
        <v>0.56375777445270592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5</v>
      </c>
      <c r="N94" s="14">
        <f>IF('Données projet'!$A$36&gt;35,N93+M94-V93,IF(A94&lt;'Données projet'!$A$36,$K$205^A94,IF(A94='Données projet'!$A$36,'Données projet'!$B$36,N93+M94-V93)))</f>
        <v>258.99999999999983</v>
      </c>
      <c r="O94" s="14">
        <f>N94*VLOOKUP('Données projet'!$B$9,Paramètres!$A$1:$I$89,3,0)*VLOOKUP('Données projet'!$B$9,Paramètres!$A$1:$I$89,5,0)</f>
        <v>234.34319999999983</v>
      </c>
      <c r="P94" s="14">
        <f t="shared" si="87"/>
        <v>57.220758006491614</v>
      </c>
      <c r="Q94" s="22">
        <f t="shared" si="54"/>
        <v>507.80722686130588</v>
      </c>
      <c r="R94" s="62">
        <f t="shared" si="55"/>
        <v>782.49405370415093</v>
      </c>
      <c r="S94" s="62">
        <f ca="1">AVERAGE(OFFSET($R$3,0,0,'Données projet'!$E$9+1,1))-AVERAGE(OFFSET($H$3,0,0,'Données projet'!$E$9+1,1))</f>
        <v>406.64650428071837</v>
      </c>
      <c r="T94" s="62">
        <f t="shared" si="88"/>
        <v>250.47702091764884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0.13492896182176359</v>
      </c>
      <c r="AA94" s="23">
        <f>EXP(-LN(2)/25)*AA93+(1-EXP(-LN(2)/25))/(LN(2)/25)*Calculateur!V94*Calculateur!X94*VLOOKUP('Données projet'!$B$9,Paramètres!$A$1:$I$89,3,0)*0.475*44/12</f>
        <v>0.41447745607213965</v>
      </c>
      <c r="AB94" s="23">
        <f>EXP(-LN(2)/2)*AB93+(1-EXP(-LN(2)/2))/(LN(2)/2)*V94*Y94*VLOOKUP('Données projet'!$B$9,Paramètres!$A$1:$I$89,3,0)*0.475*44/12</f>
        <v>9.0594353973304186E-9</v>
      </c>
      <c r="AC94" s="24">
        <f t="shared" si="57"/>
        <v>0.54940642695333863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5</v>
      </c>
      <c r="N95" s="14">
        <f>IF('Données projet'!$A$36&gt;35,N94+M95-V94,IF(A95&lt;'Données projet'!$A$36,$K$205^A95,IF(A95='Données projet'!$A$36,'Données projet'!$B$36,N94+M95-V94)))</f>
        <v>263.99999999999983</v>
      </c>
      <c r="O95" s="14">
        <f>N95*VLOOKUP('Données projet'!$B$9,Paramètres!$A$1:$I$89,3,0)*VLOOKUP('Données projet'!$B$9,Paramètres!$A$1:$I$89,5,0)</f>
        <v>238.86719999999983</v>
      </c>
      <c r="P95" s="14">
        <f t="shared" si="87"/>
        <v>58.195735973104156</v>
      </c>
      <c r="Q95" s="22">
        <f t="shared" si="54"/>
        <v>517.38461348648946</v>
      </c>
      <c r="R95" s="62">
        <f t="shared" si="55"/>
        <v>792.39491552960112</v>
      </c>
      <c r="S95" s="62">
        <f ca="1">AVERAGE(OFFSET($R$3,0,0,'Données projet'!$E$9+1,1))-AVERAGE(OFFSET($H$3,0,0,'Données projet'!$E$9+1,1))</f>
        <v>406.64650428071837</v>
      </c>
      <c r="T95" s="62">
        <f t="shared" si="88"/>
        <v>250.47702091764884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0.13228308717897921</v>
      </c>
      <c r="AA95" s="23">
        <f>EXP(-LN(2)/25)*AA94+(1-EXP(-LN(2)/25))/(LN(2)/25)*Calculateur!V95*Calculateur!X95*VLOOKUP('Données projet'!$B$9,Paramètres!$A$1:$I$89,3,0)*0.475*44/12</f>
        <v>0.40314354823942489</v>
      </c>
      <c r="AB95" s="23">
        <f>EXP(-LN(2)/2)*AB94+(1-EXP(-LN(2)/2))/(LN(2)/2)*V95*Y95*VLOOKUP('Données projet'!$B$9,Paramètres!$A$1:$I$89,3,0)*0.475*44/12</f>
        <v>6.4059882031737836E-9</v>
      </c>
      <c r="AC95" s="24">
        <f t="shared" si="57"/>
        <v>0.53542664182439226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5</v>
      </c>
      <c r="N96" s="14">
        <f>IF('Données projet'!$A$36&gt;35,N95+M96-V95,IF(A96&lt;'Données projet'!$A$36,$K$205^A96,IF(A96='Données projet'!$A$36,'Données projet'!$B$36,N95+M96-V95)))</f>
        <v>268.99999999999983</v>
      </c>
      <c r="O96" s="14">
        <f>N96*VLOOKUP('Données projet'!$B$9,Paramètres!$A$1:$I$89,3,0)*VLOOKUP('Données projet'!$B$9,Paramètres!$A$1:$I$89,5,0)</f>
        <v>243.39119999999986</v>
      </c>
      <c r="P96" s="14">
        <f t="shared" si="87"/>
        <v>59.168566788241527</v>
      </c>
      <c r="Q96" s="22">
        <f t="shared" si="54"/>
        <v>526.95826048952051</v>
      </c>
      <c r="R96" s="62">
        <f t="shared" si="55"/>
        <v>802.28642616135653</v>
      </c>
      <c r="S96" s="62">
        <f ca="1">AVERAGE(OFFSET($R$3,0,0,'Données projet'!$E$9+1,1))-AVERAGE(OFFSET($H$3,0,0,'Données projet'!$E$9+1,1))</f>
        <v>406.64650428071837</v>
      </c>
      <c r="T96" s="62">
        <f t="shared" si="88"/>
        <v>250.47702091764884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0.12968909652411564</v>
      </c>
      <c r="AA96" s="23">
        <f>EXP(-LN(2)/25)*AA95+(1-EXP(-LN(2)/25))/(LN(2)/25)*Calculateur!V96*Calculateur!X96*VLOOKUP('Données projet'!$B$9,Paramètres!$A$1:$I$89,3,0)*0.475*44/12</f>
        <v>0.39211956671241999</v>
      </c>
      <c r="AB96" s="23">
        <f>EXP(-LN(2)/2)*AB95+(1-EXP(-LN(2)/2))/(LN(2)/2)*V96*Y96*VLOOKUP('Données projet'!$B$9,Paramètres!$A$1:$I$89,3,0)*0.475*44/12</f>
        <v>4.5297176986652093E-9</v>
      </c>
      <c r="AC96" s="24">
        <f t="shared" si="57"/>
        <v>0.52180866776625334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5</v>
      </c>
      <c r="N97" s="14">
        <f>IF('Données projet'!$A$36&gt;35,N96+M97-V96,IF(A97&lt;'Données projet'!$A$36,$K$205^A97,IF(A97='Données projet'!$A$36,'Données projet'!$B$36,N96+M97-V96)))</f>
        <v>273.99999999999983</v>
      </c>
      <c r="O97" s="14">
        <f>N97*VLOOKUP('Données projet'!$B$9,Paramètres!$A$1:$I$89,3,0)*VLOOKUP('Données projet'!$B$9,Paramètres!$A$1:$I$89,5,0)</f>
        <v>247.91519999999986</v>
      </c>
      <c r="P97" s="14">
        <f t="shared" si="87"/>
        <v>60.139294964297406</v>
      </c>
      <c r="Q97" s="22">
        <f t="shared" si="54"/>
        <v>536.52824539615096</v>
      </c>
      <c r="R97" s="62">
        <f t="shared" si="55"/>
        <v>812.16876047338951</v>
      </c>
      <c r="S97" s="62">
        <f ca="1">AVERAGE(OFFSET($R$3,0,0,'Données projet'!$E$9+1,1))-AVERAGE(OFFSET($H$3,0,0,'Données projet'!$E$9+1,1))</f>
        <v>406.64650428071837</v>
      </c>
      <c r="T97" s="62">
        <f t="shared" si="88"/>
        <v>250.47702091764884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0.1271459724438159</v>
      </c>
      <c r="AA97" s="23">
        <f>EXP(-LN(2)/25)*AA96+(1-EXP(-LN(2)/25))/(LN(2)/25)*Calculateur!V97*Calculateur!X97*VLOOKUP('Données projet'!$B$9,Paramètres!$A$1:$I$89,3,0)*0.475*44/12</f>
        <v>0.38139703653999707</v>
      </c>
      <c r="AB97" s="23">
        <f>EXP(-LN(2)/2)*AB96+(1-EXP(-LN(2)/2))/(LN(2)/2)*V97*Y97*VLOOKUP('Données projet'!$B$9,Paramètres!$A$1:$I$89,3,0)*0.475*44/12</f>
        <v>3.2029941015868918E-9</v>
      </c>
      <c r="AC97" s="24">
        <f t="shared" si="57"/>
        <v>0.50854301218680709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279</v>
      </c>
      <c r="L98" s="13">
        <f>VLOOKUP(A98,'Données projet'!$A$35:$I$55,9,0)</f>
        <v>5</v>
      </c>
      <c r="M98" s="13">
        <f t="array" ref="M98">INDEX(L:L,MIN(IF(ISNUMBER(L98:L294),ROW(L98:L294),"")))</f>
        <v>5</v>
      </c>
      <c r="N98" s="14">
        <f>IF('Données projet'!$A$36&gt;35,N97+M98-V97,IF(A98&lt;'Données projet'!$A$36,$K$205^A98,IF(A98='Données projet'!$A$36,'Données projet'!$B$36,N97+M98-V97)))</f>
        <v>278.99999999999983</v>
      </c>
      <c r="O98" s="14">
        <f>N98*VLOOKUP('Données projet'!$B$9,Paramètres!$A$1:$I$89,3,0)*VLOOKUP('Données projet'!$B$9,Paramètres!$A$1:$I$89,5,0)</f>
        <v>252.43919999999983</v>
      </c>
      <c r="P98" s="14">
        <f t="shared" si="87"/>
        <v>61.107963296116218</v>
      </c>
      <c r="Q98" s="22">
        <f t="shared" si="54"/>
        <v>546.09464274073537</v>
      </c>
      <c r="R98" s="62">
        <f t="shared" si="55"/>
        <v>822.04208865950136</v>
      </c>
      <c r="S98" s="62">
        <f ca="1">AVERAGE(OFFSET($R$3,0,0,'Données projet'!$E$9+1,1))-AVERAGE(OFFSET($H$3,0,0,'Données projet'!$E$9+1,1))</f>
        <v>406.64650428071837</v>
      </c>
      <c r="T98" s="62">
        <f t="shared" si="88"/>
        <v>250.47702091764884</v>
      </c>
      <c r="U98" s="16">
        <f>IF(ISNA(VLOOKUP(A98,'Données projet'!$A$35:$I$55,3,0)),0,VLOOKUP(A98,'Données projet'!$A$35:$I$55,3,0))</f>
        <v>15</v>
      </c>
      <c r="V98" s="16">
        <f>IF(ISNA(VLOOKUP(A98,'Données projet'!$A$35:$I$55,4,0)),0,VLOOKUP(A98,'Données projet'!$A$35:$I$55,4,0))</f>
        <v>21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0.1246527174755783</v>
      </c>
      <c r="AA98" s="23">
        <f>EXP(-LN(2)/25)*AA97+(1-EXP(-LN(2)/25))/(LN(2)/25)*Calculateur!V98*Calculateur!X98*VLOOKUP('Données projet'!$B$9,Paramètres!$A$1:$I$89,3,0)*0.475*44/12</f>
        <v>0.37096771451901239</v>
      </c>
      <c r="AB98" s="23">
        <f>EXP(-LN(2)/2)*AB97+(1-EXP(-LN(2)/2))/(LN(2)/2)*V98*Y98*VLOOKUP('Données projet'!$B$9,Paramètres!$A$1:$I$89,3,0)*0.475*44/12</f>
        <v>2.2648588493326046E-9</v>
      </c>
      <c r="AC98" s="24">
        <f t="shared" si="57"/>
        <v>0.49562043425944957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4.8</v>
      </c>
      <c r="N99" s="14">
        <f>IF('Données projet'!$A$36&gt;35,N98+M99-V98,IF(A99&lt;'Données projet'!$A$36,$K$205^A99,IF(A99='Données projet'!$A$36,'Données projet'!$B$36,N98+M99-V98)))</f>
        <v>262.79999999999984</v>
      </c>
      <c r="O99" s="14">
        <f>N99*VLOOKUP('Données projet'!$B$9,Paramètres!$A$1:$I$89,3,0)*VLOOKUP('Données projet'!$B$9,Paramètres!$A$1:$I$89,5,0)</f>
        <v>237.78143999999983</v>
      </c>
      <c r="P99" s="14">
        <f t="shared" si="87"/>
        <v>57.9619387969109</v>
      </c>
      <c r="Q99" s="22">
        <f t="shared" ref="Q99:Q130" si="107">(O99+P99)*0.475*44/12</f>
        <v>515.08638473795281</v>
      </c>
      <c r="R99" s="62">
        <f t="shared" si="55"/>
        <v>791.33543693434024</v>
      </c>
      <c r="S99" s="62">
        <f ca="1">AVERAGE(OFFSET($R$3,0,0,'Données projet'!$E$9+1,1))-AVERAGE(OFFSET($H$3,0,0,'Données projet'!$E$9+1,1))</f>
        <v>406.64650428071837</v>
      </c>
      <c r="T99" s="62">
        <f t="shared" si="88"/>
        <v>250.47702091764884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0.12220835371653246</v>
      </c>
      <c r="AA99" s="23">
        <f>EXP(-LN(2)/25)*AA98+(1-EXP(-LN(2)/25))/(LN(2)/25)*Calculateur!V99*Calculateur!X99*VLOOKUP('Données projet'!$B$9,Paramètres!$A$1:$I$89,3,0)*0.475*44/12</f>
        <v>0.36082358285714577</v>
      </c>
      <c r="AB99" s="23">
        <f>EXP(-LN(2)/2)*AB98+(1-EXP(-LN(2)/2))/(LN(2)/2)*V99*Y99*VLOOKUP('Données projet'!$B$9,Paramètres!$A$1:$I$89,3,0)*0.475*44/12</f>
        <v>1.6014970507934459E-9</v>
      </c>
      <c r="AC99" s="24">
        <f t="shared" si="57"/>
        <v>0.48303193817517531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4.8</v>
      </c>
      <c r="N100" s="14">
        <f>IF('Données projet'!$A$36&gt;35,N99+M100-V99,IF(A100&lt;'Données projet'!$A$36,$K$205^A100,IF(A100='Données projet'!$A$36,'Données projet'!$B$36,N99+M100-V99)))</f>
        <v>267.59999999999985</v>
      </c>
      <c r="O100" s="14">
        <f>N100*VLOOKUP('Données projet'!$B$9,Paramètres!$A$1:$I$89,3,0)*VLOOKUP('Données projet'!$B$9,Paramètres!$A$1:$I$89,5,0)</f>
        <v>242.12447999999986</v>
      </c>
      <c r="P100" s="14">
        <f t="shared" si="87"/>
        <v>58.896387987806008</v>
      </c>
      <c r="Q100" s="22">
        <f t="shared" si="107"/>
        <v>524.27801174542856</v>
      </c>
      <c r="R100" s="62">
        <f t="shared" si="55"/>
        <v>800.82343802481137</v>
      </c>
      <c r="S100" s="62">
        <f ca="1">AVERAGE(OFFSET($R$3,0,0,'Données projet'!$E$9+1,1))-AVERAGE(OFFSET($H$3,0,0,'Données projet'!$E$9+1,1))</f>
        <v>406.64650428071837</v>
      </c>
      <c r="T100" s="62">
        <f t="shared" si="88"/>
        <v>250.47702091764884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0.11981192243988684</v>
      </c>
      <c r="AA100" s="23">
        <f>EXP(-LN(2)/25)*AA99+(1-EXP(-LN(2)/25))/(LN(2)/25)*Calculateur!V100*Calculateur!X100*VLOOKUP('Données projet'!$B$9,Paramètres!$A$1:$I$89,3,0)*0.475*44/12</f>
        <v>0.35095684300902957</v>
      </c>
      <c r="AB100" s="23">
        <f>EXP(-LN(2)/2)*AB99+(1-EXP(-LN(2)/2))/(LN(2)/2)*V100*Y100*VLOOKUP('Données projet'!$B$9,Paramètres!$A$1:$I$89,3,0)*0.475*44/12</f>
        <v>1.1324294246663023E-9</v>
      </c>
      <c r="AC100" s="24">
        <f t="shared" si="57"/>
        <v>0.47076876658134587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4.8</v>
      </c>
      <c r="N101" s="14">
        <f>IF('Données projet'!$A$36&gt;35,N100+M101-V100,IF(A101&lt;'Données projet'!$A$36,$K$205^A101,IF(A101='Données projet'!$A$36,'Données projet'!$B$36,N100+M101-V100)))</f>
        <v>272.39999999999986</v>
      </c>
      <c r="O101" s="14">
        <f>N101*VLOOKUP('Données projet'!$B$9,Paramètres!$A$1:$I$89,3,0)*VLOOKUP('Données projet'!$B$9,Paramètres!$A$1:$I$89,5,0)</f>
        <v>246.46751999999987</v>
      </c>
      <c r="P101" s="14">
        <f t="shared" si="87"/>
        <v>59.828888074216977</v>
      </c>
      <c r="Q101" s="22">
        <f t="shared" si="107"/>
        <v>533.46624406259423</v>
      </c>
      <c r="R101" s="62">
        <f t="shared" si="55"/>
        <v>810.3029029972256</v>
      </c>
      <c r="S101" s="62">
        <f ca="1">AVERAGE(OFFSET($R$3,0,0,'Données projet'!$E$9+1,1))-AVERAGE(OFFSET($H$3,0,0,'Données projet'!$E$9+1,1))</f>
        <v>406.64650428071837</v>
      </c>
      <c r="T101" s="62">
        <f t="shared" si="88"/>
        <v>250.47702091764884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0.11746248371889749</v>
      </c>
      <c r="AA101" s="23">
        <f>EXP(-LN(2)/25)*AA100+(1-EXP(-LN(2)/25))/(LN(2)/25)*Calculateur!V101*Calculateur!X101*VLOOKUP('Données projet'!$B$9,Paramètres!$A$1:$I$89,3,0)*0.475*44/12</f>
        <v>0.34135990968092939</v>
      </c>
      <c r="AB101" s="23">
        <f>EXP(-LN(2)/2)*AB100+(1-EXP(-LN(2)/2))/(LN(2)/2)*V101*Y101*VLOOKUP('Données projet'!$B$9,Paramètres!$A$1:$I$89,3,0)*0.475*44/12</f>
        <v>8.0074852539672295E-10</v>
      </c>
      <c r="AC101" s="24">
        <f t="shared" si="57"/>
        <v>0.45882239420057541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4.8</v>
      </c>
      <c r="N102" s="14">
        <f>IF('Données projet'!$A$36&gt;35,N101+M102-V101,IF(A102&lt;'Données projet'!$A$36,$K$205^A102,IF(A102='Données projet'!$A$36,'Données projet'!$B$36,N101+M102-V101)))</f>
        <v>277.19999999999987</v>
      </c>
      <c r="O102" s="14">
        <f>N102*VLOOKUP('Données projet'!$B$9,Paramètres!$A$1:$I$89,3,0)*VLOOKUP('Données projet'!$B$9,Paramètres!$A$1:$I$89,5,0)</f>
        <v>250.8105599999999</v>
      </c>
      <c r="P102" s="14">
        <f t="shared" si="87"/>
        <v>60.75947736410869</v>
      </c>
      <c r="Q102" s="22">
        <f t="shared" si="107"/>
        <v>542.65114840915578</v>
      </c>
      <c r="R102" s="62">
        <f t="shared" si="55"/>
        <v>819.77398776356586</v>
      </c>
      <c r="S102" s="62">
        <f ca="1">AVERAGE(OFFSET($R$3,0,0,'Données projet'!$E$9+1,1))-AVERAGE(OFFSET($H$3,0,0,'Données projet'!$E$9+1,1))</f>
        <v>406.64650428071837</v>
      </c>
      <c r="T102" s="62">
        <f t="shared" si="88"/>
        <v>250.47702091764884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0.11515911605821062</v>
      </c>
      <c r="AA102" s="23">
        <f>EXP(-LN(2)/25)*AA101+(1-EXP(-LN(2)/25))/(LN(2)/25)*Calculateur!V102*Calculateur!X102*VLOOKUP('Données projet'!$B$9,Paramètres!$A$1:$I$89,3,0)*0.475*44/12</f>
        <v>0.33202540499936689</v>
      </c>
      <c r="AB102" s="23">
        <f>EXP(-LN(2)/2)*AB101+(1-EXP(-LN(2)/2))/(LN(2)/2)*V102*Y102*VLOOKUP('Données projet'!$B$9,Paramètres!$A$1:$I$89,3,0)*0.475*44/12</f>
        <v>5.6621471233315116E-10</v>
      </c>
      <c r="AC102" s="24">
        <f t="shared" si="57"/>
        <v>0.44718452162379219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282</v>
      </c>
      <c r="L103" s="13">
        <f>VLOOKUP(A103,'Données projet'!$A$35:$I$55,9,0)</f>
        <v>4.8</v>
      </c>
      <c r="M103" s="13">
        <f t="array" ref="M103">INDEX(L:L,MIN(IF(ISNUMBER(L103:L299),ROW(L103:L299),"")))</f>
        <v>4.8</v>
      </c>
      <c r="N103" s="14">
        <f>IF('Données projet'!$A$36&gt;35,N102+M103-V102,IF(A103&lt;'Données projet'!$A$36,$K$205^A103,IF(A103='Données projet'!$A$36,'Données projet'!$B$36,N102+M103-V102)))</f>
        <v>281.99999999999989</v>
      </c>
      <c r="O103" s="14">
        <f>N103*VLOOKUP('Données projet'!$B$9,Paramètres!$A$1:$I$89,3,0)*VLOOKUP('Données projet'!$B$9,Paramètres!$A$1:$I$89,5,0)</f>
        <v>255.15359999999987</v>
      </c>
      <c r="P103" s="14">
        <f t="shared" si="87"/>
        <v>61.688192762754376</v>
      </c>
      <c r="Q103" s="22">
        <f t="shared" si="107"/>
        <v>551.83278906179692</v>
      </c>
      <c r="R103" s="62">
        <f t="shared" si="55"/>
        <v>829.23684424550606</v>
      </c>
      <c r="S103" s="62">
        <f ca="1">AVERAGE(OFFSET($R$3,0,0,'Données projet'!$E$9+1,1))-AVERAGE(OFFSET($H$3,0,0,'Données projet'!$E$9+1,1))</f>
        <v>406.64650428071837</v>
      </c>
      <c r="T103" s="62">
        <f t="shared" si="88"/>
        <v>250.47702091764884</v>
      </c>
      <c r="U103" s="16">
        <f>IF(ISNA(VLOOKUP(A103,'Données projet'!$A$35:$I$55,3,0)),0,VLOOKUP(A103,'Données projet'!$A$35:$I$55,3,0))</f>
        <v>16</v>
      </c>
      <c r="V103" s="16">
        <f>IF(ISNA(VLOOKUP(A103,'Données projet'!$A$35:$I$55,4,0)),0,VLOOKUP(A103,'Données projet'!$A$35:$I$55,4,0))</f>
        <v>21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0.11290091603243427</v>
      </c>
      <c r="AA103" s="23">
        <f>EXP(-LN(2)/25)*AA102+(1-EXP(-LN(2)/25))/(LN(2)/25)*Calculateur!V103*Calculateur!X103*VLOOKUP('Données projet'!$B$9,Paramètres!$A$1:$I$89,3,0)*0.475*44/12</f>
        <v>0.32294615283920203</v>
      </c>
      <c r="AB103" s="23">
        <f>EXP(-LN(2)/2)*AB102+(1-EXP(-LN(2)/2))/(LN(2)/2)*V103*Y103*VLOOKUP('Données projet'!$B$9,Paramètres!$A$1:$I$89,3,0)*0.475*44/12</f>
        <v>4.0037426269836148E-10</v>
      </c>
      <c r="AC103" s="24">
        <f t="shared" si="57"/>
        <v>0.43584706927201056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4.5999999999999996</v>
      </c>
      <c r="N104" s="14">
        <f>IF('Données projet'!$A$36&gt;35,N103+M104-V103,IF(A104&lt;'Données projet'!$A$36,$K$205^A104,IF(A104='Données projet'!$A$36,'Données projet'!$B$36,N103+M104-V103)))</f>
        <v>265.59999999999991</v>
      </c>
      <c r="O104" s="14">
        <f>N104*VLOOKUP('Données projet'!$B$9,Paramètres!$A$1:$I$89,3,0)*VLOOKUP('Données projet'!$B$9,Paramètres!$A$1:$I$89,5,0)</f>
        <v>240.31487999999993</v>
      </c>
      <c r="P104" s="14">
        <f t="shared" si="87"/>
        <v>58.50727327751612</v>
      </c>
      <c r="Q104" s="22">
        <f t="shared" si="107"/>
        <v>520.44858362500713</v>
      </c>
      <c r="R104" s="62">
        <f t="shared" si="55"/>
        <v>798.12897617208159</v>
      </c>
      <c r="S104" s="62">
        <f ca="1">AVERAGE(OFFSET($R$3,0,0,'Données projet'!$E$9+1,1))-AVERAGE(OFFSET($H$3,0,0,'Données projet'!$E$9+1,1))</f>
        <v>406.64650428071837</v>
      </c>
      <c r="T104" s="62">
        <f t="shared" si="88"/>
        <v>250.47702091764884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0.11068699793179738</v>
      </c>
      <c r="AA104" s="23">
        <f>EXP(-LN(2)/25)*AA103+(1-EXP(-LN(2)/25))/(LN(2)/25)*Calculateur!V104*Calculateur!X104*VLOOKUP('Données projet'!$B$9,Paramètres!$A$1:$I$89,3,0)*0.475*44/12</f>
        <v>0.31411517330681399</v>
      </c>
      <c r="AB104" s="23">
        <f>EXP(-LN(2)/2)*AB103+(1-EXP(-LN(2)/2))/(LN(2)/2)*V104*Y104*VLOOKUP('Données projet'!$B$9,Paramètres!$A$1:$I$89,3,0)*0.475*44/12</f>
        <v>2.8310735616657558E-10</v>
      </c>
      <c r="AC104" s="24">
        <f t="shared" si="57"/>
        <v>0.42480217152171873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4.5999999999999996</v>
      </c>
      <c r="N105" s="14">
        <f>IF('Données projet'!$A$36&gt;35,N104+M105-V104,IF(A105&lt;'Données projet'!$A$36,$K$205^A105,IF(A105='Données projet'!$A$36,'Données projet'!$B$36,N104+M105-V104)))</f>
        <v>270.19999999999993</v>
      </c>
      <c r="O105" s="14">
        <f>N105*VLOOKUP('Données projet'!$B$9,Paramètres!$A$1:$I$89,3,0)*VLOOKUP('Données projet'!$B$9,Paramètres!$A$1:$I$89,5,0)</f>
        <v>244.47695999999993</v>
      </c>
      <c r="P105" s="14">
        <f t="shared" si="87"/>
        <v>59.401731670234192</v>
      </c>
      <c r="Q105" s="22">
        <f t="shared" si="107"/>
        <v>529.25538799232447</v>
      </c>
      <c r="R105" s="62">
        <f t="shared" si="55"/>
        <v>807.20732406730735</v>
      </c>
      <c r="S105" s="62">
        <f ca="1">AVERAGE(OFFSET($R$3,0,0,'Données projet'!$E$9+1,1))-AVERAGE(OFFSET($H$3,0,0,'Données projet'!$E$9+1,1))</f>
        <v>406.64650428071837</v>
      </c>
      <c r="T105" s="62">
        <f t="shared" si="88"/>
        <v>250.47702091764884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0.10851649341475728</v>
      </c>
      <c r="AA105" s="23">
        <f>EXP(-LN(2)/25)*AA104+(1-EXP(-LN(2)/25))/(LN(2)/25)*Calculateur!V105*Calculateur!X105*VLOOKUP('Données projet'!$B$9,Paramètres!$A$1:$I$89,3,0)*0.475*44/12</f>
        <v>0.3055256773741401</v>
      </c>
      <c r="AB105" s="23">
        <f>EXP(-LN(2)/2)*AB104+(1-EXP(-LN(2)/2))/(LN(2)/2)*V105*Y105*VLOOKUP('Données projet'!$B$9,Paramètres!$A$1:$I$89,3,0)*0.475*44/12</f>
        <v>2.0018713134918074E-10</v>
      </c>
      <c r="AC105" s="24">
        <f t="shared" si="57"/>
        <v>0.41404217098908452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4.5999999999999996</v>
      </c>
      <c r="N106" s="14">
        <f>IF('Données projet'!$A$36&gt;35,N105+M106-V105,IF(A106&lt;'Données projet'!$A$36,$K$205^A106,IF(A106='Données projet'!$A$36,'Données projet'!$B$36,N105+M106-V105)))</f>
        <v>274.79999999999995</v>
      </c>
      <c r="O106" s="14">
        <f>N106*VLOOKUP('Données projet'!$B$9,Paramètres!$A$1:$I$89,3,0)*VLOOKUP('Données projet'!$B$9,Paramètres!$A$1:$I$89,5,0)</f>
        <v>248.63903999999994</v>
      </c>
      <c r="P106" s="14">
        <f t="shared" si="87"/>
        <v>60.294419230169922</v>
      </c>
      <c r="Q106" s="22">
        <f t="shared" si="107"/>
        <v>538.05910815921254</v>
      </c>
      <c r="R106" s="62">
        <f t="shared" si="55"/>
        <v>816.27787708897517</v>
      </c>
      <c r="S106" s="62">
        <f ca="1">AVERAGE(OFFSET($R$3,0,0,'Données projet'!$E$9+1,1))-AVERAGE(OFFSET($H$3,0,0,'Données projet'!$E$9+1,1))</f>
        <v>406.64650428071837</v>
      </c>
      <c r="T106" s="62">
        <f t="shared" si="88"/>
        <v>250.47702091764884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0.1063885511674193</v>
      </c>
      <c r="AA106" s="23">
        <f>EXP(-LN(2)/25)*AA105+(1-EXP(-LN(2)/25))/(LN(2)/25)*Calculateur!V106*Calculateur!X106*VLOOKUP('Données projet'!$B$9,Paramètres!$A$1:$I$89,3,0)*0.475*44/12</f>
        <v>0.29717106165944718</v>
      </c>
      <c r="AB106" s="23">
        <f>EXP(-LN(2)/2)*AB105+(1-EXP(-LN(2)/2))/(LN(2)/2)*V106*Y106*VLOOKUP('Données projet'!$B$9,Paramètres!$A$1:$I$89,3,0)*0.475*44/12</f>
        <v>1.4155367808328779E-10</v>
      </c>
      <c r="AC106" s="24">
        <f t="shared" si="57"/>
        <v>0.40355961296842013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4.5999999999999996</v>
      </c>
      <c r="N107" s="14">
        <f>IF('Données projet'!$A$36&gt;35,N106+M107-V106,IF(A107&lt;'Données projet'!$A$36,$K$205^A107,IF(A107='Données projet'!$A$36,'Données projet'!$B$36,N106+M107-V106)))</f>
        <v>279.39999999999998</v>
      </c>
      <c r="O107" s="14">
        <f>N107*VLOOKUP('Données projet'!$B$9,Paramètres!$A$1:$I$89,3,0)*VLOOKUP('Données projet'!$B$9,Paramètres!$A$1:$I$89,5,0)</f>
        <v>252.80111999999994</v>
      </c>
      <c r="P107" s="14">
        <f t="shared" si="87"/>
        <v>61.185369021394209</v>
      </c>
      <c r="Q107" s="22">
        <f t="shared" si="107"/>
        <v>546.8598017122614</v>
      </c>
      <c r="R107" s="62">
        <f t="shared" si="55"/>
        <v>825.34077454332237</v>
      </c>
      <c r="S107" s="62">
        <f ca="1">AVERAGE(OFFSET($R$3,0,0,'Données projet'!$E$9+1,1))-AVERAGE(OFFSET($H$3,0,0,'Données projet'!$E$9+1,1))</f>
        <v>406.64650428071837</v>
      </c>
      <c r="T107" s="62">
        <f t="shared" si="88"/>
        <v>250.47702091764884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0.104302336569635</v>
      </c>
      <c r="AA107" s="23">
        <f>EXP(-LN(2)/25)*AA106+(1-EXP(-LN(2)/25))/(LN(2)/25)*Calculateur!V107*Calculateur!X107*VLOOKUP('Données projet'!$B$9,Paramètres!$A$1:$I$89,3,0)*0.475*44/12</f>
        <v>0.28904490335082267</v>
      </c>
      <c r="AB107" s="23">
        <f>EXP(-LN(2)/2)*AB106+(1-EXP(-LN(2)/2))/(LN(2)/2)*V107*Y107*VLOOKUP('Données projet'!$B$9,Paramètres!$A$1:$I$89,3,0)*0.475*44/12</f>
        <v>1.0009356567459037E-10</v>
      </c>
      <c r="AC107" s="24">
        <f t="shared" si="57"/>
        <v>0.39334724002055121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>
        <f>VLOOKUP(A108,'Données projet'!$A$35:$I$55,2,0)</f>
        <v>284</v>
      </c>
      <c r="L108" s="13">
        <f>VLOOKUP(A108,'Données projet'!$A$35:$I$55,9,0)</f>
        <v>4.5999999999999996</v>
      </c>
      <c r="M108" s="13">
        <f t="array" ref="M108">INDEX(L:L,MIN(IF(ISNUMBER(L108:L304),ROW(L108:L304),"")))</f>
        <v>4.5999999999999996</v>
      </c>
      <c r="N108" s="14">
        <f>IF('Données projet'!$A$36&gt;35,N107+M108-V107,IF(A108&lt;'Données projet'!$A$36,$K$205^A108,IF(A108='Données projet'!$A$36,'Données projet'!$B$36,N107+M108-V107)))</f>
        <v>284</v>
      </c>
      <c r="O108" s="14">
        <f>N108*VLOOKUP('Données projet'!$B$9,Paramètres!$A$1:$I$89,3,0)*VLOOKUP('Données projet'!$B$9,Paramètres!$A$1:$I$89,5,0)</f>
        <v>256.96320000000003</v>
      </c>
      <c r="P108" s="14">
        <f t="shared" si="87"/>
        <v>62.074612956838024</v>
      </c>
      <c r="Q108" s="22">
        <f t="shared" si="107"/>
        <v>555.65752423315951</v>
      </c>
      <c r="R108" s="62">
        <f t="shared" si="55"/>
        <v>834.39615231403127</v>
      </c>
      <c r="S108" s="62">
        <f ca="1">AVERAGE(OFFSET($R$3,0,0,'Données projet'!$E$9+1,1))-AVERAGE(OFFSET($H$3,0,0,'Données projet'!$E$9+1,1))</f>
        <v>406.64650428071837</v>
      </c>
      <c r="T108" s="62">
        <f t="shared" si="88"/>
        <v>250.47702091764884</v>
      </c>
      <c r="U108" s="16">
        <f>IF(ISNA(VLOOKUP(A108,'Données projet'!$A$35:$I$55,3,0)),0,VLOOKUP(A108,'Données projet'!$A$35:$I$55,3,0))</f>
        <v>17</v>
      </c>
      <c r="V108" s="16">
        <f>IF(ISNA(VLOOKUP(A108,'Données projet'!$A$35:$I$55,4,0)),0,VLOOKUP(A108,'Données projet'!$A$35:$I$55,4,0))</f>
        <v>20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0.10225703136764799</v>
      </c>
      <c r="AA108" s="23">
        <f>EXP(-LN(2)/25)*AA107+(1-EXP(-LN(2)/25))/(LN(2)/25)*Calculateur!V108*Calculateur!X108*VLOOKUP('Données projet'!$B$9,Paramètres!$A$1:$I$89,3,0)*0.475*44/12</f>
        <v>0.28114095526848359</v>
      </c>
      <c r="AB108" s="23">
        <f>EXP(-LN(2)/2)*AB107+(1-EXP(-LN(2)/2))/(LN(2)/2)*V108*Y108*VLOOKUP('Données projet'!$B$9,Paramètres!$A$1:$I$89,3,0)*0.475*44/12</f>
        <v>7.0776839041643895E-11</v>
      </c>
      <c r="AC108" s="24">
        <f t="shared" si="57"/>
        <v>0.38339798670690839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4.2</v>
      </c>
      <c r="N109" s="14">
        <f>IF('Données projet'!$A$36&gt;35,N108+M109-V108,IF(A109&lt;'Données projet'!$A$36,$K$205^A109,IF(A109='Données projet'!$A$36,'Données projet'!$B$36,N108+M109-V108)))</f>
        <v>268.2</v>
      </c>
      <c r="O109" s="14">
        <f>N109*VLOOKUP('Données projet'!$B$9,Paramètres!$A$1:$I$89,3,0)*VLOOKUP('Données projet'!$B$9,Paramètres!$A$1:$I$89,5,0)</f>
        <v>242.66735999999997</v>
      </c>
      <c r="P109" s="14">
        <f t="shared" si="87"/>
        <v>59.013056290731797</v>
      </c>
      <c r="Q109" s="22">
        <f t="shared" si="107"/>
        <v>525.42672503969118</v>
      </c>
      <c r="R109" s="62">
        <f t="shared" si="55"/>
        <v>804.41853862782023</v>
      </c>
      <c r="S109" s="62">
        <f ca="1">AVERAGE(OFFSET($R$3,0,0,'Données projet'!$E$9+1,1))-AVERAGE(OFFSET($H$3,0,0,'Données projet'!$E$9+1,1))</f>
        <v>406.64650428071837</v>
      </c>
      <c r="T109" s="62">
        <f t="shared" si="88"/>
        <v>250.47702091764884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0.10025183335315896</v>
      </c>
      <c r="AA109" s="23">
        <f>EXP(-LN(2)/25)*AA108+(1-EXP(-LN(2)/25))/(LN(2)/25)*Calculateur!V109*Calculateur!X109*VLOOKUP('Données projet'!$B$9,Paramètres!$A$1:$I$89,3,0)*0.475*44/12</f>
        <v>0.27345314106210661</v>
      </c>
      <c r="AB109" s="23">
        <f>EXP(-LN(2)/2)*AB108+(1-EXP(-LN(2)/2))/(LN(2)/2)*V109*Y109*VLOOKUP('Données projet'!$B$9,Paramètres!$A$1:$I$89,3,0)*0.475*44/12</f>
        <v>5.0046782837295185E-11</v>
      </c>
      <c r="AC109" s="24">
        <f t="shared" si="57"/>
        <v>0.37370497446531237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4.2</v>
      </c>
      <c r="N110" s="14">
        <f>IF('Données projet'!$A$36&gt;35,N109+M110-V109,IF(A110&lt;'Données projet'!$A$36,$K$205^A110,IF(A110='Données projet'!$A$36,'Données projet'!$B$36,N109+M110-V109)))</f>
        <v>272.39999999999998</v>
      </c>
      <c r="O110" s="14">
        <f>N110*VLOOKUP('Données projet'!$B$9,Paramètres!$A$1:$I$89,3,0)*VLOOKUP('Données projet'!$B$9,Paramètres!$A$1:$I$89,5,0)</f>
        <v>246.46751999999995</v>
      </c>
      <c r="P110" s="14">
        <f t="shared" si="87"/>
        <v>59.828888074216977</v>
      </c>
      <c r="Q110" s="22">
        <f t="shared" si="107"/>
        <v>533.46624406259446</v>
      </c>
      <c r="R110" s="62">
        <f t="shared" si="55"/>
        <v>812.7068509554681</v>
      </c>
      <c r="S110" s="62">
        <f ca="1">AVERAGE(OFFSET($R$3,0,0,'Données projet'!$E$9+1,1))-AVERAGE(OFFSET($H$3,0,0,'Données projet'!$E$9+1,1))</f>
        <v>406.64650428071837</v>
      </c>
      <c r="T110" s="62">
        <f t="shared" si="88"/>
        <v>250.47702091764884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9.8285956048684037E-2</v>
      </c>
      <c r="AA110" s="23">
        <f>EXP(-LN(2)/25)*AA109+(1-EXP(-LN(2)/25))/(LN(2)/25)*Calculateur!V110*Calculateur!X110*VLOOKUP('Données projet'!$B$9,Paramètres!$A$1:$I$89,3,0)*0.475*44/12</f>
        <v>0.26597555053948763</v>
      </c>
      <c r="AB110" s="23">
        <f>EXP(-LN(2)/2)*AB109+(1-EXP(-LN(2)/2))/(LN(2)/2)*V110*Y110*VLOOKUP('Données projet'!$B$9,Paramètres!$A$1:$I$89,3,0)*0.475*44/12</f>
        <v>3.5388419520821948E-11</v>
      </c>
      <c r="AC110" s="24">
        <f t="shared" si="57"/>
        <v>0.36426150662356011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4.2</v>
      </c>
      <c r="N111" s="14">
        <f>IF('Données projet'!$A$36&gt;35,N110+M111-V110,IF(A111&lt;'Données projet'!$A$36,$K$205^A111,IF(A111='Données projet'!$A$36,'Données projet'!$B$36,N110+M111-V110)))</f>
        <v>276.59999999999997</v>
      </c>
      <c r="O111" s="14">
        <f>N111*VLOOKUP('Données projet'!$B$9,Paramètres!$A$1:$I$89,3,0)*VLOOKUP('Données projet'!$B$9,Paramètres!$A$1:$I$89,5,0)</f>
        <v>250.26767999999996</v>
      </c>
      <c r="P111" s="14">
        <f t="shared" si="87"/>
        <v>60.643256925083442</v>
      </c>
      <c r="Q111" s="22">
        <f t="shared" si="107"/>
        <v>541.50321514452014</v>
      </c>
      <c r="R111" s="62">
        <f t="shared" si="55"/>
        <v>820.98829933451952</v>
      </c>
      <c r="S111" s="62">
        <f ca="1">AVERAGE(OFFSET($R$3,0,0,'Données projet'!$E$9+1,1))-AVERAGE(OFFSET($H$3,0,0,'Données projet'!$E$9+1,1))</f>
        <v>406.64650428071837</v>
      </c>
      <c r="T111" s="62">
        <f t="shared" si="88"/>
        <v>250.47702091764884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9.6358628399083102E-2</v>
      </c>
      <c r="AA111" s="23">
        <f>EXP(-LN(2)/25)*AA110+(1-EXP(-LN(2)/25))/(LN(2)/25)*Calculateur!V111*Calculateur!X111*VLOOKUP('Données projet'!$B$9,Paramètres!$A$1:$I$89,3,0)*0.475*44/12</f>
        <v>0.25870243512293906</v>
      </c>
      <c r="AB111" s="23">
        <f>EXP(-LN(2)/2)*AB110+(1-EXP(-LN(2)/2))/(LN(2)/2)*V111*Y111*VLOOKUP('Données projet'!$B$9,Paramètres!$A$1:$I$89,3,0)*0.475*44/12</f>
        <v>2.5023391418647592E-11</v>
      </c>
      <c r="AC111" s="24">
        <f t="shared" si="57"/>
        <v>0.35506106354704553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4.2</v>
      </c>
      <c r="N112" s="14">
        <f>IF('Données projet'!$A$36&gt;35,N111+M112-V111,IF(A112&lt;'Données projet'!$A$36,$K$205^A112,IF(A112='Données projet'!$A$36,'Données projet'!$B$36,N111+M112-V111)))</f>
        <v>280.79999999999995</v>
      </c>
      <c r="O112" s="14">
        <f>N112*VLOOKUP('Données projet'!$B$9,Paramètres!$A$1:$I$89,3,0)*VLOOKUP('Données projet'!$B$9,Paramètres!$A$1:$I$89,5,0)</f>
        <v>254.06783999999996</v>
      </c>
      <c r="P112" s="14">
        <f t="shared" si="87"/>
        <v>61.456187622750718</v>
      </c>
      <c r="Q112" s="22">
        <f t="shared" si="107"/>
        <v>549.53768144295748</v>
      </c>
      <c r="R112" s="62">
        <f t="shared" si="55"/>
        <v>829.26300179554676</v>
      </c>
      <c r="S112" s="62">
        <f ca="1">AVERAGE(OFFSET($R$3,0,0,'Données projet'!$E$9+1,1))-AVERAGE(OFFSET($H$3,0,0,'Données projet'!$E$9+1,1))</f>
        <v>406.64650428071837</v>
      </c>
      <c r="T112" s="62">
        <f t="shared" si="88"/>
        <v>250.47702091764884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9.4469094469137052E-2</v>
      </c>
      <c r="AA112" s="23">
        <f>EXP(-LN(2)/25)*AA111+(1-EXP(-LN(2)/25))/(LN(2)/25)*Calculateur!V112*Calculateur!X112*VLOOKUP('Données projet'!$B$9,Paramètres!$A$1:$I$89,3,0)*0.475*44/12</f>
        <v>0.25162820342993247</v>
      </c>
      <c r="AB112" s="23">
        <f>EXP(-LN(2)/2)*AB111+(1-EXP(-LN(2)/2))/(LN(2)/2)*V112*Y112*VLOOKUP('Données projet'!$B$9,Paramètres!$A$1:$I$89,3,0)*0.475*44/12</f>
        <v>1.7694209760410974E-11</v>
      </c>
      <c r="AC112" s="24">
        <f t="shared" si="57"/>
        <v>0.34609729791676375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285</v>
      </c>
      <c r="L113" s="13">
        <f>VLOOKUP(A113,'Données projet'!$A$35:$I$55,9,0)</f>
        <v>4.2</v>
      </c>
      <c r="M113" s="13">
        <f t="array" ref="M113">INDEX(L:L,MIN(IF(ISNUMBER(L113:L309),ROW(L113:L309),"")))</f>
        <v>4.2</v>
      </c>
      <c r="N113" s="14">
        <f>IF('Données projet'!$A$36&gt;35,N112+M113-V112,IF(A113&lt;'Données projet'!$A$36,$K$205^A113,IF(A113='Données projet'!$A$36,'Données projet'!$B$36,N112+M113-V112)))</f>
        <v>284.99999999999994</v>
      </c>
      <c r="O113" s="14">
        <f>N113*VLOOKUP('Données projet'!$B$9,Paramètres!$A$1:$I$89,3,0)*VLOOKUP('Données projet'!$B$9,Paramètres!$A$1:$I$89,5,0)</f>
        <v>257.86799999999994</v>
      </c>
      <c r="P113" s="14">
        <f t="shared" si="87"/>
        <v>62.267704162827528</v>
      </c>
      <c r="Q113" s="22">
        <f t="shared" si="107"/>
        <v>557.56968475025781</v>
      </c>
      <c r="R113" s="62">
        <f t="shared" si="55"/>
        <v>837.53107370510361</v>
      </c>
      <c r="S113" s="62">
        <f ca="1">AVERAGE(OFFSET($R$3,0,0,'Données projet'!$E$9+1,1))-AVERAGE(OFFSET($H$3,0,0,'Données projet'!$E$9+1,1))</f>
        <v>406.64650428071837</v>
      </c>
      <c r="T113" s="62">
        <f t="shared" si="88"/>
        <v>250.47702091764884</v>
      </c>
      <c r="U113" s="16">
        <f>IF(ISNA(VLOOKUP(A113,'Données projet'!$A$35:$I$55,3,0)),0,VLOOKUP(A113,'Données projet'!$A$35:$I$55,3,0))</f>
        <v>18</v>
      </c>
      <c r="V113" s="16">
        <f>IF(ISNA(VLOOKUP(A113,'Données projet'!$A$35:$I$55,4,0)),0,VLOOKUP(A113,'Données projet'!$A$35:$I$55,4,0))</f>
        <v>19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9.2616613147055354E-2</v>
      </c>
      <c r="AA113" s="23">
        <f>EXP(-LN(2)/25)*AA112+(1-EXP(-LN(2)/25))/(LN(2)/25)*Calculateur!V113*Calculateur!X113*VLOOKUP('Données projet'!$B$9,Paramètres!$A$1:$I$89,3,0)*0.475*44/12</f>
        <v>0.24474741697458885</v>
      </c>
      <c r="AB113" s="23">
        <f>EXP(-LN(2)/2)*AB112+(1-EXP(-LN(2)/2))/(LN(2)/2)*V113*Y113*VLOOKUP('Données projet'!$B$9,Paramètres!$A$1:$I$89,3,0)*0.475*44/12</f>
        <v>1.2511695709323796E-11</v>
      </c>
      <c r="AC113" s="24">
        <f t="shared" si="57"/>
        <v>0.33736403013415589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3.8</v>
      </c>
      <c r="N114" s="14">
        <f>IF('Données projet'!$A$36&gt;35,N113+M114-V113,IF(A114&lt;'Données projet'!$A$36,$K$205^A114,IF(A114='Données projet'!$A$36,'Données projet'!$B$36,N113+M114-V113)))</f>
        <v>269.79999999999995</v>
      </c>
      <c r="O114" s="14">
        <f>N114*VLOOKUP('Données projet'!$B$9,Paramètres!$A$1:$I$89,3,0)*VLOOKUP('Données projet'!$B$9,Paramètres!$A$1:$I$89,5,0)</f>
        <v>244.11503999999994</v>
      </c>
      <c r="P114" s="14">
        <f t="shared" si="87"/>
        <v>59.324023461759012</v>
      </c>
      <c r="Q114" s="22">
        <f t="shared" si="107"/>
        <v>528.48970219589683</v>
      </c>
      <c r="R114" s="62">
        <f t="shared" si="55"/>
        <v>808.68306449052034</v>
      </c>
      <c r="S114" s="62">
        <f ca="1">AVERAGE(OFFSET($R$3,0,0,'Données projet'!$E$9+1,1))-AVERAGE(OFFSET($H$3,0,0,'Données projet'!$E$9+1,1))</f>
        <v>406.64650428071837</v>
      </c>
      <c r="T114" s="62">
        <f t="shared" si="88"/>
        <v>250.47702091764884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9.0800457853797645E-2</v>
      </c>
      <c r="AA114" s="23">
        <f>EXP(-LN(2)/25)*AA113+(1-EXP(-LN(2)/25))/(LN(2)/25)*Calculateur!V114*Calculateur!X114*VLOOKUP('Données projet'!$B$9,Paramètres!$A$1:$I$89,3,0)*0.475*44/12</f>
        <v>0.23805478598671143</v>
      </c>
      <c r="AB114" s="23">
        <f>EXP(-LN(2)/2)*AB113+(1-EXP(-LN(2)/2))/(LN(2)/2)*V114*Y114*VLOOKUP('Données projet'!$B$9,Paramètres!$A$1:$I$89,3,0)*0.475*44/12</f>
        <v>8.8471048802054869E-12</v>
      </c>
      <c r="AC114" s="24">
        <f t="shared" si="57"/>
        <v>0.32885524384935616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3.8</v>
      </c>
      <c r="N115" s="14">
        <f>IF('Données projet'!$A$36&gt;35,N114+M115-V114,IF(A115&lt;'Données projet'!$A$36,$K$205^A115,IF(A115='Données projet'!$A$36,'Données projet'!$B$36,N114+M115-V114)))</f>
        <v>273.59999999999997</v>
      </c>
      <c r="O115" s="14">
        <f>N115*VLOOKUP('Données projet'!$B$9,Paramètres!$A$1:$I$89,3,0)*VLOOKUP('Données projet'!$B$9,Paramètres!$A$1:$I$89,5,0)</f>
        <v>247.55327999999994</v>
      </c>
      <c r="P115" s="14">
        <f t="shared" si="87"/>
        <v>60.061713068870255</v>
      </c>
      <c r="Q115" s="22">
        <f t="shared" si="107"/>
        <v>535.76277959494894</v>
      </c>
      <c r="R115" s="62">
        <f t="shared" si="55"/>
        <v>816.18409101051975</v>
      </c>
      <c r="S115" s="62">
        <f ca="1">AVERAGE(OFFSET($R$3,0,0,'Données projet'!$E$9+1,1))-AVERAGE(OFFSET($H$3,0,0,'Données projet'!$E$9+1,1))</f>
        <v>406.64650428071837</v>
      </c>
      <c r="T115" s="62">
        <f t="shared" si="88"/>
        <v>250.47702091764884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8.9019916258095369E-2</v>
      </c>
      <c r="AA115" s="23">
        <f>EXP(-LN(2)/25)*AA114+(1-EXP(-LN(2)/25))/(LN(2)/25)*Calculateur!V115*Calculateur!X115*VLOOKUP('Données projet'!$B$9,Paramètres!$A$1:$I$89,3,0)*0.475*44/12</f>
        <v>0.23154516534514769</v>
      </c>
      <c r="AB115" s="23">
        <f>EXP(-LN(2)/2)*AB114+(1-EXP(-LN(2)/2))/(LN(2)/2)*V115*Y115*VLOOKUP('Données projet'!$B$9,Paramètres!$A$1:$I$89,3,0)*0.475*44/12</f>
        <v>6.2558478546618981E-12</v>
      </c>
      <c r="AC115" s="24">
        <f t="shared" si="57"/>
        <v>0.32056508160949887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3.8</v>
      </c>
      <c r="N116" s="14">
        <f>IF('Données projet'!$A$36&gt;35,N115+M116-V115,IF(A116&lt;'Données projet'!$A$36,$K$205^A116,IF(A116='Données projet'!$A$36,'Données projet'!$B$36,N115+M116-V115)))</f>
        <v>277.39999999999998</v>
      </c>
      <c r="O116" s="14">
        <f>N116*VLOOKUP('Données projet'!$B$9,Paramètres!$A$1:$I$89,3,0)*VLOOKUP('Données projet'!$B$9,Paramètres!$A$1:$I$89,5,0)</f>
        <v>250.99151999999995</v>
      </c>
      <c r="P116" s="14">
        <f t="shared" si="87"/>
        <v>60.798211000769406</v>
      </c>
      <c r="Q116" s="22">
        <f t="shared" si="107"/>
        <v>543.03378149300659</v>
      </c>
      <c r="R116" s="62">
        <f t="shared" si="55"/>
        <v>823.67908762189427</v>
      </c>
      <c r="S116" s="62">
        <f ca="1">AVERAGE(OFFSET($R$3,0,0,'Données projet'!$E$9+1,1))-AVERAGE(OFFSET($H$3,0,0,'Données projet'!$E$9+1,1))</f>
        <v>406.64650428071837</v>
      </c>
      <c r="T116" s="62">
        <f t="shared" si="88"/>
        <v>250.47702091764884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8.7274289997061674E-2</v>
      </c>
      <c r="AA116" s="23">
        <f>EXP(-LN(2)/25)*AA115+(1-EXP(-LN(2)/25))/(LN(2)/25)*Calculateur!V116*Calculateur!X116*VLOOKUP('Données projet'!$B$9,Paramètres!$A$1:$I$89,3,0)*0.475*44/12</f>
        <v>0.22521355062235357</v>
      </c>
      <c r="AB116" s="23">
        <f>EXP(-LN(2)/2)*AB115+(1-EXP(-LN(2)/2))/(LN(2)/2)*V116*Y116*VLOOKUP('Données projet'!$B$9,Paramètres!$A$1:$I$89,3,0)*0.475*44/12</f>
        <v>4.4235524401027434E-12</v>
      </c>
      <c r="AC116" s="24">
        <f t="shared" si="57"/>
        <v>0.31248784062383883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3.8</v>
      </c>
      <c r="N117" s="14">
        <f>IF('Données projet'!$A$36&gt;35,N116+M117-V116,IF(A117&lt;'Données projet'!$A$36,$K$205^A117,IF(A117='Données projet'!$A$36,'Données projet'!$B$36,N116+M117-V116)))</f>
        <v>281.2</v>
      </c>
      <c r="O117" s="14">
        <f>N117*VLOOKUP('Données projet'!$B$9,Paramètres!$A$1:$I$89,3,0)*VLOOKUP('Données projet'!$B$9,Paramètres!$A$1:$I$89,5,0)</f>
        <v>254.42975999999996</v>
      </c>
      <c r="P117" s="14">
        <f t="shared" si="87"/>
        <v>61.533535468549189</v>
      </c>
      <c r="Q117" s="22">
        <f t="shared" si="107"/>
        <v>550.30273960772308</v>
      </c>
      <c r="R117" s="62">
        <f t="shared" si="55"/>
        <v>831.16815464242859</v>
      </c>
      <c r="S117" s="62">
        <f ca="1">AVERAGE(OFFSET($R$3,0,0,'Données projet'!$E$9+1,1))-AVERAGE(OFFSET($H$3,0,0,'Données projet'!$E$9+1,1))</f>
        <v>406.64650428071837</v>
      </c>
      <c r="T117" s="62">
        <f t="shared" si="88"/>
        <v>250.47702091764884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8.556289440227996E-2</v>
      </c>
      <c r="AA117" s="23">
        <f>EXP(-LN(2)/25)*AA116+(1-EXP(-LN(2)/25))/(LN(2)/25)*Calculateur!V117*Calculateur!X117*VLOOKUP('Données projet'!$B$9,Paramètres!$A$1:$I$89,3,0)*0.475*44/12</f>
        <v>0.21905507423711942</v>
      </c>
      <c r="AB117" s="23">
        <f>EXP(-LN(2)/2)*AB116+(1-EXP(-LN(2)/2))/(LN(2)/2)*V117*Y117*VLOOKUP('Données projet'!$B$9,Paramètres!$A$1:$I$89,3,0)*0.475*44/12</f>
        <v>3.127923927330949E-12</v>
      </c>
      <c r="AC117" s="24">
        <f t="shared" si="57"/>
        <v>0.30461796864252733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>
        <f>VLOOKUP(A118,'Données projet'!$A$35:$I$55,2,0)</f>
        <v>285</v>
      </c>
      <c r="L118" s="13">
        <f>VLOOKUP(A118,'Données projet'!$A$35:$I$55,9,0)</f>
        <v>3.8</v>
      </c>
      <c r="M118" s="13">
        <f t="array" ref="M118">INDEX(L:L,MIN(IF(ISNUMBER(L118:L314),ROW(L118:L314),"")))</f>
        <v>3.8</v>
      </c>
      <c r="N118" s="14">
        <f>IF('Données projet'!$A$36&gt;35,N117+M118-V117,IF(A118&lt;'Données projet'!$A$36,$K$205^A118,IF(A118='Données projet'!$A$36,'Données projet'!$B$36,N117+M118-V117)))</f>
        <v>285</v>
      </c>
      <c r="O118" s="14">
        <f>N118*VLOOKUP('Données projet'!$B$9,Paramètres!$A$1:$I$89,3,0)*VLOOKUP('Données projet'!$B$9,Paramètres!$A$1:$I$89,5,0)</f>
        <v>257.86799999999999</v>
      </c>
      <c r="P118" s="14">
        <f t="shared" si="87"/>
        <v>62.267704162827528</v>
      </c>
      <c r="Q118" s="22">
        <f t="shared" si="107"/>
        <v>557.56968475025803</v>
      </c>
      <c r="R118" s="62">
        <f t="shared" si="55"/>
        <v>838.65139029335523</v>
      </c>
      <c r="S118" s="62">
        <f ca="1">AVERAGE(OFFSET($R$3,0,0,'Données projet'!$E$9+1,1))-AVERAGE(OFFSET($H$3,0,0,'Données projet'!$E$9+1,1))</f>
        <v>406.64650428071837</v>
      </c>
      <c r="T118" s="62">
        <f t="shared" si="88"/>
        <v>250.47702091764884</v>
      </c>
      <c r="U118" s="16">
        <f>IF(ISNA(VLOOKUP(A118,'Données projet'!$A$35:$I$55,3,0)),0,VLOOKUP(A118,'Données projet'!$A$35:$I$55,3,0))</f>
        <v>19</v>
      </c>
      <c r="V118" s="16">
        <f>IF(ISNA(VLOOKUP(A118,'Données projet'!$A$35:$I$55,4,0)),0,VLOOKUP(A118,'Données projet'!$A$35:$I$55,4,0))</f>
        <v>18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8.3885058231263673E-2</v>
      </c>
      <c r="AA118" s="23">
        <f>EXP(-LN(2)/25)*AA117+(1-EXP(-LN(2)/25))/(LN(2)/25)*Calculateur!V118*Calculateur!X118*VLOOKUP('Données projet'!$B$9,Paramètres!$A$1:$I$89,3,0)*0.475*44/12</f>
        <v>0.2130650017124997</v>
      </c>
      <c r="AB118" s="23">
        <f>EXP(-LN(2)/2)*AB117+(1-EXP(-LN(2)/2))/(LN(2)/2)*V118*Y118*VLOOKUP('Données projet'!$B$9,Paramètres!$A$1:$I$89,3,0)*0.475*44/12</f>
        <v>2.2117762200513717E-12</v>
      </c>
      <c r="AC118" s="24">
        <f t="shared" si="57"/>
        <v>0.29695005994597518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3.6</v>
      </c>
      <c r="N119" s="14">
        <f>IF('Données projet'!$A$36&gt;35,N118+M119-V118,IF(A119&lt;'Données projet'!$A$36,$K$205^A119,IF(A119='Données projet'!$A$36,'Données projet'!$B$36,N118+M119-V118)))</f>
        <v>270.60000000000002</v>
      </c>
      <c r="O119" s="14">
        <f>N119*VLOOKUP('Données projet'!$B$9,Paramètres!$A$1:$I$89,3,0)*VLOOKUP('Données projet'!$B$9,Paramètres!$A$1:$I$89,5,0)</f>
        <v>244.83888000000002</v>
      </c>
      <c r="P119" s="14">
        <f t="shared" si="87"/>
        <v>59.479426489427787</v>
      </c>
      <c r="Q119" s="22">
        <f t="shared" si="107"/>
        <v>530.02105046908684</v>
      </c>
      <c r="R119" s="62">
        <f t="shared" si="55"/>
        <v>811.31529436380833</v>
      </c>
      <c r="S119" s="62">
        <f ca="1">AVERAGE(OFFSET($R$3,0,0,'Données projet'!$E$9+1,1))-AVERAGE(OFFSET($H$3,0,0,'Données projet'!$E$9+1,1))</f>
        <v>406.64650428071837</v>
      </c>
      <c r="T119" s="62">
        <f t="shared" si="88"/>
        <v>250.47702091764884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8.2240123404182006E-2</v>
      </c>
      <c r="AA119" s="23">
        <f>EXP(-LN(2)/25)*AA118+(1-EXP(-LN(2)/25))/(LN(2)/25)*Calculateur!V119*Calculateur!X119*VLOOKUP('Données projet'!$B$9,Paramètres!$A$1:$I$89,3,0)*0.475*44/12</f>
        <v>0.20723872803606994</v>
      </c>
      <c r="AB119" s="23">
        <f>EXP(-LN(2)/2)*AB118+(1-EXP(-LN(2)/2))/(LN(2)/2)*V119*Y119*VLOOKUP('Données projet'!$B$9,Paramètres!$A$1:$I$89,3,0)*0.475*44/12</f>
        <v>1.5639619636654745E-12</v>
      </c>
      <c r="AC119" s="24">
        <f t="shared" si="57"/>
        <v>0.2894788514418159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3.6</v>
      </c>
      <c r="N120" s="14">
        <f>IF('Données projet'!$A$36&gt;35,N119+M120-V119,IF(A120&lt;'Données projet'!$A$36,$K$205^A120,IF(A120='Données projet'!$A$36,'Données projet'!$B$36,N119+M120-V119)))</f>
        <v>274.20000000000005</v>
      </c>
      <c r="O120" s="14">
        <f>N120*VLOOKUP('Données projet'!$B$9,Paramètres!$A$1:$I$89,3,0)*VLOOKUP('Données projet'!$B$9,Paramètres!$A$1:$I$89,5,0)</f>
        <v>248.09616</v>
      </c>
      <c r="P120" s="14">
        <f t="shared" si="87"/>
        <v>60.178080967364686</v>
      </c>
      <c r="Q120" s="22">
        <f t="shared" si="107"/>
        <v>536.91096968482668</v>
      </c>
      <c r="R120" s="62">
        <f t="shared" si="55"/>
        <v>818.41406486593633</v>
      </c>
      <c r="S120" s="62">
        <f ca="1">AVERAGE(OFFSET($R$3,0,0,'Données projet'!$E$9+1,1))-AVERAGE(OFFSET($H$3,0,0,'Données projet'!$E$9+1,1))</f>
        <v>406.64650428071837</v>
      </c>
      <c r="T120" s="62">
        <f t="shared" si="88"/>
        <v>250.47702091764884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8.0627444745748234E-2</v>
      </c>
      <c r="AA120" s="23">
        <f>EXP(-LN(2)/25)*AA119+(1-EXP(-LN(2)/25))/(LN(2)/25)*Calculateur!V120*Calculateur!X120*VLOOKUP('Données projet'!$B$9,Paramètres!$A$1:$I$89,3,0)*0.475*44/12</f>
        <v>0.20157177411971255</v>
      </c>
      <c r="AB120" s="23">
        <f>EXP(-LN(2)/2)*AB119+(1-EXP(-LN(2)/2))/(LN(2)/2)*V120*Y120*VLOOKUP('Données projet'!$B$9,Paramètres!$A$1:$I$89,3,0)*0.475*44/12</f>
        <v>1.1058881100256859E-12</v>
      </c>
      <c r="AC120" s="24">
        <f t="shared" si="57"/>
        <v>0.28219921886656668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3.6</v>
      </c>
      <c r="N121" s="14">
        <f>IF('Données projet'!$A$36&gt;35,N120+M121-V120,IF(A121&lt;'Données projet'!$A$36,$K$205^A121,IF(A121='Données projet'!$A$36,'Données projet'!$B$36,N120+M121-V120)))</f>
        <v>277.80000000000007</v>
      </c>
      <c r="O121" s="14">
        <f>N121*VLOOKUP('Données projet'!$B$9,Paramètres!$A$1:$I$89,3,0)*VLOOKUP('Données projet'!$B$9,Paramètres!$A$1:$I$89,5,0)</f>
        <v>251.35344000000003</v>
      </c>
      <c r="P121" s="14">
        <f t="shared" si="87"/>
        <v>60.875668525285015</v>
      </c>
      <c r="Q121" s="22">
        <f t="shared" si="107"/>
        <v>543.79903068153806</v>
      </c>
      <c r="R121" s="62">
        <f t="shared" si="55"/>
        <v>825.50735404613852</v>
      </c>
      <c r="S121" s="62">
        <f ca="1">AVERAGE(OFFSET($R$3,0,0,'Données projet'!$E$9+1,1))-AVERAGE(OFFSET($H$3,0,0,'Données projet'!$E$9+1,1))</f>
        <v>406.64650428071837</v>
      </c>
      <c r="T121" s="62">
        <f t="shared" si="88"/>
        <v>250.47702091764884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7.9046389732169486E-2</v>
      </c>
      <c r="AA121" s="23">
        <f>EXP(-LN(2)/25)*AA120+(1-EXP(-LN(2)/25))/(LN(2)/25)*Calculateur!V121*Calculateur!X121*VLOOKUP('Données projet'!$B$9,Paramètres!$A$1:$I$89,3,0)*0.475*44/12</f>
        <v>0.1960597833562101</v>
      </c>
      <c r="AB121" s="23">
        <f>EXP(-LN(2)/2)*AB120+(1-EXP(-LN(2)/2))/(LN(2)/2)*V121*Y121*VLOOKUP('Données projet'!$B$9,Paramètres!$A$1:$I$89,3,0)*0.475*44/12</f>
        <v>7.8198098183273726E-13</v>
      </c>
      <c r="AC121" s="24">
        <f t="shared" si="57"/>
        <v>0.27510617308916158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3.6</v>
      </c>
      <c r="N122" s="14">
        <f>IF('Données projet'!$A$36&gt;35,N121+M122-V121,IF(A122&lt;'Données projet'!$A$36,$K$205^A122,IF(A122='Données projet'!$A$36,'Données projet'!$B$36,N121+M122-V121)))</f>
        <v>281.40000000000009</v>
      </c>
      <c r="O122" s="14">
        <f>N122*VLOOKUP('Données projet'!$B$9,Paramètres!$A$1:$I$89,3,0)*VLOOKUP('Données projet'!$B$9,Paramètres!$A$1:$I$89,5,0)</f>
        <v>254.61072000000007</v>
      </c>
      <c r="P122" s="14">
        <f t="shared" si="87"/>
        <v>61.572204587965729</v>
      </c>
      <c r="Q122" s="22">
        <f t="shared" si="107"/>
        <v>550.68526032404031</v>
      </c>
      <c r="R122" s="62">
        <f t="shared" si="55"/>
        <v>832.59525162196951</v>
      </c>
      <c r="S122" s="62">
        <f ca="1">AVERAGE(OFFSET($R$3,0,0,'Données projet'!$E$9+1,1))-AVERAGE(OFFSET($H$3,0,0,'Données projet'!$E$9+1,1))</f>
        <v>406.64650428071837</v>
      </c>
      <c r="T122" s="62">
        <f t="shared" si="88"/>
        <v>250.47702091764884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7.7496338243058682E-2</v>
      </c>
      <c r="AA122" s="23">
        <f>EXP(-LN(2)/25)*AA121+(1-EXP(-LN(2)/25))/(LN(2)/25)*Calculateur!V122*Calculateur!X122*VLOOKUP('Données projet'!$B$9,Paramètres!$A$1:$I$89,3,0)*0.475*44/12</f>
        <v>0.19069851826999865</v>
      </c>
      <c r="AB122" s="23">
        <f>EXP(-LN(2)/2)*AB121+(1-EXP(-LN(2)/2))/(LN(2)/2)*V122*Y122*VLOOKUP('Données projet'!$B$9,Paramètres!$A$1:$I$89,3,0)*0.475*44/12</f>
        <v>5.5294405501284293E-13</v>
      </c>
      <c r="AC122" s="24">
        <f t="shared" si="57"/>
        <v>0.26819485651361025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285</v>
      </c>
      <c r="L123" s="13">
        <f>VLOOKUP(A123,'Données projet'!$A$35:$I$55,9,0)</f>
        <v>3.6</v>
      </c>
      <c r="M123" s="13">
        <f t="array" ref="M123">INDEX(L:L,MIN(IF(ISNUMBER(L123:L319),ROW(L123:L319),"")))</f>
        <v>3.6</v>
      </c>
      <c r="N123" s="14">
        <f>IF('Données projet'!$A$36&gt;35,N122+M123-V122,IF(A123&lt;'Données projet'!$A$36,$K$205^A123,IF(A123='Données projet'!$A$36,'Données projet'!$B$36,N122+M123-V122)))</f>
        <v>285.00000000000011</v>
      </c>
      <c r="O123" s="14">
        <f>N123*VLOOKUP('Données projet'!$B$9,Paramètres!$A$1:$I$89,3,0)*VLOOKUP('Données projet'!$B$9,Paramètres!$A$1:$I$89,5,0)</f>
        <v>257.86800000000011</v>
      </c>
      <c r="P123" s="14">
        <f t="shared" si="87"/>
        <v>62.267704162827528</v>
      </c>
      <c r="Q123" s="22">
        <f t="shared" si="107"/>
        <v>557.56968475025815</v>
      </c>
      <c r="R123" s="62">
        <f t="shared" si="55"/>
        <v>839.67784549373482</v>
      </c>
      <c r="S123" s="62">
        <f ca="1">AVERAGE(OFFSET($R$3,0,0,'Données projet'!$E$9+1,1))-AVERAGE(OFFSET($H$3,0,0,'Données projet'!$E$9+1,1))</f>
        <v>406.64650428071837</v>
      </c>
      <c r="T123" s="62">
        <f t="shared" si="88"/>
        <v>250.47702091764884</v>
      </c>
      <c r="U123" s="16">
        <f>IF(ISNA(VLOOKUP(A123,'Données projet'!$A$35:$I$55,3,0)),0,VLOOKUP(A123,'Données projet'!$A$35:$I$55,3,0))</f>
        <v>20</v>
      </c>
      <c r="V123" s="16">
        <f>IF(ISNA(VLOOKUP(A123,'Données projet'!$A$35:$I$55,4,0)),0,VLOOKUP(A123,'Données projet'!$A$35:$I$55,4,0))</f>
        <v>285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7.5976682318211294E-2</v>
      </c>
      <c r="AA123" s="23">
        <f>EXP(-LN(2)/25)*AA122+(1-EXP(-LN(2)/25))/(LN(2)/25)*Calculateur!V123*Calculateur!X123*VLOOKUP('Données projet'!$B$9,Paramètres!$A$1:$I$89,3,0)*0.475*44/12</f>
        <v>0.18548385725950631</v>
      </c>
      <c r="AB123" s="23">
        <f>EXP(-LN(2)/2)*AB122+(1-EXP(-LN(2)/2))/(LN(2)/2)*V123*Y123*VLOOKUP('Données projet'!$B$9,Paramètres!$A$1:$I$89,3,0)*0.475*44/12</f>
        <v>3.9099049091636863E-13</v>
      </c>
      <c r="AC123" s="24">
        <f t="shared" si="57"/>
        <v>0.26146053957810855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1.0286385077051818E-13</v>
      </c>
      <c r="P124" s="14">
        <f t="shared" si="87"/>
        <v>1.5402366592183556E-12</v>
      </c>
      <c r="Q124" s="22">
        <f t="shared" si="107"/>
        <v>2.8617333882306215E-12</v>
      </c>
      <c r="R124" s="62">
        <f t="shared" si="55"/>
        <v>282.30289239218723</v>
      </c>
      <c r="S124" s="62">
        <f ca="1">AVERAGE(OFFSET($R$3,0,0,'Données projet'!$E$9+1,1))-AVERAGE(OFFSET($H$3,0,0,'Données projet'!$E$9+1,1))</f>
        <v>406.64650428071837</v>
      </c>
      <c r="T124" s="62">
        <f t="shared" si="88"/>
        <v>250.47702091764884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7.4486825919151567E-2</v>
      </c>
      <c r="AA124" s="23">
        <f>EXP(-LN(2)/25)*AA123+(1-EXP(-LN(2)/25))/(LN(2)/25)*Calculateur!V124*Calculateur!X124*VLOOKUP('Données projet'!$B$9,Paramètres!$A$1:$I$89,3,0)*0.475*44/12</f>
        <v>0.18041179142857297</v>
      </c>
      <c r="AB124" s="23">
        <f>EXP(-LN(2)/2)*AB123+(1-EXP(-LN(2)/2))/(LN(2)/2)*V124*Y124*VLOOKUP('Données projet'!$B$9,Paramètres!$A$1:$I$89,3,0)*0.475*44/12</f>
        <v>2.7647202750642147E-13</v>
      </c>
      <c r="AC124" s="24">
        <f t="shared" si="57"/>
        <v>0.25489861734800101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1.0286385077051818E-13</v>
      </c>
      <c r="P125" s="14">
        <f t="shared" si="87"/>
        <v>1.5402366592183556E-12</v>
      </c>
      <c r="Q125" s="22">
        <f t="shared" si="107"/>
        <v>2.8617333882306215E-12</v>
      </c>
      <c r="R125" s="62">
        <f t="shared" si="55"/>
        <v>282.49424588214464</v>
      </c>
      <c r="S125" s="62">
        <f ca="1">AVERAGE(OFFSET($R$3,0,0,'Données projet'!$E$9+1,1))-AVERAGE(OFFSET($H$3,0,0,'Données projet'!$E$9+1,1))</f>
        <v>406.64650428071837</v>
      </c>
      <c r="T125" s="62">
        <f t="shared" si="88"/>
        <v>250.47702091764884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7.3026184695354726E-2</v>
      </c>
      <c r="AA125" s="23">
        <f>EXP(-LN(2)/25)*AA124+(1-EXP(-LN(2)/25))/(LN(2)/25)*Calculateur!V125*Calculateur!X125*VLOOKUP('Données projet'!$B$9,Paramètres!$A$1:$I$89,3,0)*0.475*44/12</f>
        <v>0.17547842150451487</v>
      </c>
      <c r="AB125" s="23">
        <f>EXP(-LN(2)/2)*AB124+(1-EXP(-LN(2)/2))/(LN(2)/2)*V125*Y125*VLOOKUP('Données projet'!$B$9,Paramètres!$A$1:$I$89,3,0)*0.475*44/12</f>
        <v>1.9549524545818431E-13</v>
      </c>
      <c r="AC125" s="24">
        <f t="shared" si="57"/>
        <v>0.24850460620006506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1.0286385077051818E-13</v>
      </c>
      <c r="P126" s="14">
        <f t="shared" si="87"/>
        <v>1.5402366592183556E-12</v>
      </c>
      <c r="Q126" s="22">
        <f t="shared" si="107"/>
        <v>2.8617333882306215E-12</v>
      </c>
      <c r="R126" s="62">
        <f t="shared" si="55"/>
        <v>282.68227981685351</v>
      </c>
      <c r="S126" s="62">
        <f ca="1">AVERAGE(OFFSET($R$3,0,0,'Données projet'!$E$9+1,1))-AVERAGE(OFFSET($H$3,0,0,'Données projet'!$E$9+1,1))</f>
        <v>406.64650428071837</v>
      </c>
      <c r="T126" s="62">
        <f t="shared" si="88"/>
        <v>250.47702091764884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7.1594185755053372E-2</v>
      </c>
      <c r="AA126" s="23">
        <f>EXP(-LN(2)/25)*AA125+(1-EXP(-LN(2)/25))/(LN(2)/25)*Calculateur!V126*Calculateur!X126*VLOOKUP('Données projet'!$B$9,Paramètres!$A$1:$I$89,3,0)*0.475*44/12</f>
        <v>0.17067995484046478</v>
      </c>
      <c r="AB126" s="23">
        <f>EXP(-LN(2)/2)*AB125+(1-EXP(-LN(2)/2))/(LN(2)/2)*V126*Y126*VLOOKUP('Données projet'!$B$9,Paramètres!$A$1:$I$89,3,0)*0.475*44/12</f>
        <v>1.3823601375321073E-13</v>
      </c>
      <c r="AC126" s="24">
        <f t="shared" si="57"/>
        <v>0.24227414059565638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1.0286385077051818E-13</v>
      </c>
      <c r="P127" s="14">
        <f t="shared" si="87"/>
        <v>1.5402366592183556E-12</v>
      </c>
      <c r="Q127" s="22">
        <f t="shared" si="107"/>
        <v>2.8617333882306215E-12</v>
      </c>
      <c r="R127" s="62">
        <f t="shared" si="55"/>
        <v>282.86705178317618</v>
      </c>
      <c r="S127" s="62">
        <f ca="1">AVERAGE(OFFSET($R$3,0,0,'Données projet'!$E$9+1,1))-AVERAGE(OFFSET($H$3,0,0,'Données projet'!$E$9+1,1))</f>
        <v>406.64650428071837</v>
      </c>
      <c r="T127" s="62">
        <f t="shared" si="88"/>
        <v>250.47702091764884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7.0190267440538218E-2</v>
      </c>
      <c r="AA127" s="23">
        <f>EXP(-LN(2)/25)*AA126+(1-EXP(-LN(2)/25))/(LN(2)/25)*Calculateur!V127*Calculateur!X127*VLOOKUP('Données projet'!$B$9,Paramètres!$A$1:$I$89,3,0)*0.475*44/12</f>
        <v>0.16601270249968353</v>
      </c>
      <c r="AB127" s="23">
        <f>EXP(-LN(2)/2)*AB126+(1-EXP(-LN(2)/2))/(LN(2)/2)*V127*Y127*VLOOKUP('Données projet'!$B$9,Paramètres!$A$1:$I$89,3,0)*0.475*44/12</f>
        <v>9.7747622729092157E-14</v>
      </c>
      <c r="AC127" s="24">
        <f t="shared" si="57"/>
        <v>0.2362029699403195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1.0286385077051818E-13</v>
      </c>
      <c r="P128" s="14">
        <f t="shared" si="87"/>
        <v>1.5402366592183556E-12</v>
      </c>
      <c r="Q128" s="22">
        <f t="shared" si="107"/>
        <v>2.8617333882306215E-12</v>
      </c>
      <c r="R128" s="62">
        <f t="shared" si="55"/>
        <v>283.04861836897135</v>
      </c>
      <c r="S128" s="62">
        <f ca="1">AVERAGE(OFFSET($R$3,0,0,'Données projet'!$E$9+1,1))-AVERAGE(OFFSET($H$3,0,0,'Données projet'!$E$9+1,1))</f>
        <v>406.64650428071837</v>
      </c>
      <c r="T128" s="62">
        <f t="shared" si="88"/>
        <v>250.47702091764884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6.8813879107865086E-2</v>
      </c>
      <c r="AA128" s="23">
        <f>EXP(-LN(2)/25)*AA127+(1-EXP(-LN(2)/25))/(LN(2)/25)*Calculateur!V128*Calculateur!X128*VLOOKUP('Données projet'!$B$9,Paramètres!$A$1:$I$89,3,0)*0.475*44/12</f>
        <v>0.1614730764196011</v>
      </c>
      <c r="AB128" s="23">
        <f>EXP(-LN(2)/2)*AB127+(1-EXP(-LN(2)/2))/(LN(2)/2)*V128*Y128*VLOOKUP('Données projet'!$B$9,Paramètres!$A$1:$I$89,3,0)*0.475*44/12</f>
        <v>6.9118006876605366E-14</v>
      </c>
      <c r="AC128" s="24">
        <f t="shared" si="57"/>
        <v>0.23028695552753531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1.0286385077051818E-13</v>
      </c>
      <c r="P129" s="14">
        <f t="shared" si="87"/>
        <v>1.5402366592183556E-12</v>
      </c>
      <c r="Q129" s="22">
        <f t="shared" si="107"/>
        <v>2.8617333882306215E-12</v>
      </c>
      <c r="R129" s="62">
        <f t="shared" si="55"/>
        <v>283.22703518042505</v>
      </c>
      <c r="S129" s="62">
        <f ca="1">AVERAGE(OFFSET($R$3,0,0,'Données projet'!$E$9+1,1))-AVERAGE(OFFSET($H$3,0,0,'Données projet'!$E$9+1,1))</f>
        <v>406.64650428071837</v>
      </c>
      <c r="T129" s="62">
        <f t="shared" si="88"/>
        <v>250.47702091764884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6.7464480910881683E-2</v>
      </c>
      <c r="AA129" s="23">
        <f>EXP(-LN(2)/25)*AA128+(1-EXP(-LN(2)/25))/(LN(2)/25)*Calculateur!V129*Calculateur!X129*VLOOKUP('Données projet'!$B$9,Paramètres!$A$1:$I$89,3,0)*0.475*44/12</f>
        <v>0.15705758665340708</v>
      </c>
      <c r="AB129" s="23">
        <f>EXP(-LN(2)/2)*AB128+(1-EXP(-LN(2)/2))/(LN(2)/2)*V129*Y129*VLOOKUP('Données projet'!$B$9,Paramètres!$A$1:$I$89,3,0)*0.475*44/12</f>
        <v>4.8873811364546079E-14</v>
      </c>
      <c r="AC129" s="24">
        <f t="shared" si="57"/>
        <v>0.22452206756433765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1.0286385077051818E-13</v>
      </c>
      <c r="P130" s="14">
        <f t="shared" si="87"/>
        <v>1.5402366592183556E-12</v>
      </c>
      <c r="Q130" s="22">
        <f t="shared" si="107"/>
        <v>2.8617333882306215E-12</v>
      </c>
      <c r="R130" s="62">
        <f t="shared" si="55"/>
        <v>283.40235685908027</v>
      </c>
      <c r="S130" s="62">
        <f ca="1">AVERAGE(OFFSET($R$3,0,0,'Données projet'!$E$9+1,1))-AVERAGE(OFFSET($H$3,0,0,'Données projet'!$E$9+1,1))</f>
        <v>406.64650428071837</v>
      </c>
      <c r="T130" s="62">
        <f t="shared" si="88"/>
        <v>250.47702091764884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6.6141543589489496E-2</v>
      </c>
      <c r="AA130" s="23">
        <f>EXP(-LN(2)/25)*AA129+(1-EXP(-LN(2)/25))/(LN(2)/25)*Calculateur!V130*Calculateur!X130*VLOOKUP('Données projet'!$B$9,Paramètres!$A$1:$I$89,3,0)*0.475*44/12</f>
        <v>0.15276283868707013</v>
      </c>
      <c r="AB130" s="23">
        <f>EXP(-LN(2)/2)*AB129+(1-EXP(-LN(2)/2))/(LN(2)/2)*V130*Y130*VLOOKUP('Données projet'!$B$9,Paramètres!$A$1:$I$89,3,0)*0.475*44/12</f>
        <v>3.4559003438302683E-14</v>
      </c>
      <c r="AC130" s="24">
        <f t="shared" si="57"/>
        <v>0.21890438227659417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1.0286385077051818E-13</v>
      </c>
      <c r="P131" s="14">
        <f t="shared" si="87"/>
        <v>1.5402366592183556E-12</v>
      </c>
      <c r="Q131" s="22">
        <f t="shared" ref="Q131:Q153" si="108">(O131+P131)*0.475*44/12</f>
        <v>2.8617333882306215E-12</v>
      </c>
      <c r="R131" s="62">
        <f t="shared" ref="R131:R194" si="109">Q131+(I131+J131)*44/12</f>
        <v>283.57463709857137</v>
      </c>
      <c r="S131" s="62">
        <f ca="1">AVERAGE(OFFSET($R$3,0,0,'Données projet'!$E$9+1,1))-AVERAGE(OFFSET($H$3,0,0,'Données projet'!$E$9+1,1))</f>
        <v>406.64650428071837</v>
      </c>
      <c r="T131" s="62">
        <f t="shared" si="88"/>
        <v>250.47702091764884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6.4844548262057725E-2</v>
      </c>
      <c r="AA131" s="23">
        <f>EXP(-LN(2)/25)*AA130+(1-EXP(-LN(2)/25))/(LN(2)/25)*Calculateur!V131*Calculateur!X131*VLOOKUP('Données projet'!$B$9,Paramètres!$A$1:$I$89,3,0)*0.475*44/12</f>
        <v>0.14858553082972367</v>
      </c>
      <c r="AB131" s="23">
        <f>EXP(-LN(2)/2)*AB130+(1-EXP(-LN(2)/2))/(LN(2)/2)*V131*Y131*VLOOKUP('Données projet'!$B$9,Paramètres!$A$1:$I$89,3,0)*0.475*44/12</f>
        <v>2.4436905682273039E-14</v>
      </c>
      <c r="AC131" s="24">
        <f t="shared" si="57"/>
        <v>0.21343007909180584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1.0286385077051818E-13</v>
      </c>
      <c r="P132" s="14">
        <f t="shared" si="87"/>
        <v>1.5402366592183556E-12</v>
      </c>
      <c r="Q132" s="22">
        <f t="shared" si="108"/>
        <v>2.8617333882306215E-12</v>
      </c>
      <c r="R132" s="62">
        <f t="shared" si="109"/>
        <v>283.7439286610682</v>
      </c>
      <c r="S132" s="62">
        <f ca="1">AVERAGE(OFFSET($R$3,0,0,'Données projet'!$E$9+1,1))-AVERAGE(OFFSET($H$3,0,0,'Données projet'!$E$9+1,1))</f>
        <v>406.64650428071837</v>
      </c>
      <c r="T132" s="62">
        <f t="shared" si="88"/>
        <v>250.47702091764884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6.3572986221907851E-2</v>
      </c>
      <c r="AA132" s="23">
        <f>EXP(-LN(2)/25)*AA131+(1-EXP(-LN(2)/25))/(LN(2)/25)*Calculateur!V132*Calculateur!X132*VLOOKUP('Données projet'!$B$9,Paramètres!$A$1:$I$89,3,0)*0.475*44/12</f>
        <v>0.14452245167541142</v>
      </c>
      <c r="AB132" s="23">
        <f>EXP(-LN(2)/2)*AB131+(1-EXP(-LN(2)/2))/(LN(2)/2)*V132*Y132*VLOOKUP('Données projet'!$B$9,Paramètres!$A$1:$I$89,3,0)*0.475*44/12</f>
        <v>1.7279501719151342E-14</v>
      </c>
      <c r="AC132" s="24">
        <f t="shared" ref="AC132:AC153" si="111">SUM(Z132:AB132)</f>
        <v>0.20809543789733656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1.0286385077051818E-13</v>
      </c>
      <c r="P133" s="14">
        <f t="shared" ref="P133:P196" si="141">EXP(-1.0587+0.8836*LN(O133)+0.284)</f>
        <v>1.5402366592183556E-12</v>
      </c>
      <c r="Q133" s="22">
        <f t="shared" si="108"/>
        <v>2.8617333882306215E-12</v>
      </c>
      <c r="R133" s="62">
        <f t="shared" si="109"/>
        <v>283.91028339343495</v>
      </c>
      <c r="S133" s="62">
        <f ca="1">AVERAGE(OFFSET($R$3,0,0,'Données projet'!$E$9+1,1))-AVERAGE(OFFSET($H$3,0,0,'Données projet'!$E$9+1,1))</f>
        <v>406.64650428071837</v>
      </c>
      <c r="T133" s="62">
        <f t="shared" ref="T133:T196" si="142">$T$3</f>
        <v>250.47702091764884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6.232635873778905E-2</v>
      </c>
      <c r="AA133" s="23">
        <f>EXP(-LN(2)/25)*AA132+(1-EXP(-LN(2)/25))/(LN(2)/25)*Calculateur!V133*Calculateur!X133*VLOOKUP('Données projet'!$B$9,Paramètres!$A$1:$I$89,3,0)*0.475*44/12</f>
        <v>0.14057047763424188</v>
      </c>
      <c r="AB133" s="23">
        <f>EXP(-LN(2)/2)*AB132+(1-EXP(-LN(2)/2))/(LN(2)/2)*V133*Y133*VLOOKUP('Données projet'!$B$9,Paramètres!$A$1:$I$89,3,0)*0.475*44/12</f>
        <v>1.221845284113652E-14</v>
      </c>
      <c r="AC133" s="24">
        <f t="shared" si="111"/>
        <v>0.20289683637204314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1.0286385077051818E-13</v>
      </c>
      <c r="P134" s="14">
        <f t="shared" si="141"/>
        <v>1.5402366592183556E-12</v>
      </c>
      <c r="Q134" s="22">
        <f t="shared" si="108"/>
        <v>2.8617333882306215E-12</v>
      </c>
      <c r="R134" s="62">
        <f t="shared" si="109"/>
        <v>284.07375224310857</v>
      </c>
      <c r="S134" s="62">
        <f ca="1">AVERAGE(OFFSET($R$3,0,0,'Données projet'!$E$9+1,1))-AVERAGE(OFFSET($H$3,0,0,'Données projet'!$E$9+1,1))</f>
        <v>406.64650428071837</v>
      </c>
      <c r="T134" s="62">
        <f t="shared" si="142"/>
        <v>250.47702091764884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6.1104176858266135E-2</v>
      </c>
      <c r="AA134" s="23">
        <f>EXP(-LN(2)/25)*AA133+(1-EXP(-LN(2)/25))/(LN(2)/25)*Calculateur!V134*Calculateur!X134*VLOOKUP('Données projet'!$B$9,Paramètres!$A$1:$I$89,3,0)*0.475*44/12</f>
        <v>0.13672657053105339</v>
      </c>
      <c r="AB134" s="23">
        <f>EXP(-LN(2)/2)*AB133+(1-EXP(-LN(2)/2))/(LN(2)/2)*V134*Y134*VLOOKUP('Données projet'!$B$9,Paramètres!$A$1:$I$89,3,0)*0.475*44/12</f>
        <v>8.6397508595756708E-15</v>
      </c>
      <c r="AC134" s="24">
        <f t="shared" si="111"/>
        <v>0.19783074738932815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1.0286385077051818E-13</v>
      </c>
      <c r="P135" s="14">
        <f t="shared" si="141"/>
        <v>1.5402366592183556E-12</v>
      </c>
      <c r="Q135" s="22">
        <f t="shared" si="108"/>
        <v>2.8617333882306215E-12</v>
      </c>
      <c r="R135" s="62">
        <f t="shared" si="109"/>
        <v>284.234385273702</v>
      </c>
      <c r="S135" s="62">
        <f ca="1">AVERAGE(OFFSET($R$3,0,0,'Données projet'!$E$9+1,1))-AVERAGE(OFFSET($H$3,0,0,'Données projet'!$E$9+1,1))</f>
        <v>406.64650428071837</v>
      </c>
      <c r="T135" s="62">
        <f t="shared" si="142"/>
        <v>250.47702091764884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5.9905961219943328E-2</v>
      </c>
      <c r="AA135" s="23">
        <f>EXP(-LN(2)/25)*AA134+(1-EXP(-LN(2)/25))/(LN(2)/25)*Calculateur!V135*Calculateur!X135*VLOOKUP('Données projet'!$B$9,Paramètres!$A$1:$I$89,3,0)*0.475*44/12</f>
        <v>0.13298777526974387</v>
      </c>
      <c r="AB135" s="23">
        <f>EXP(-LN(2)/2)*AB134+(1-EXP(-LN(2)/2))/(LN(2)/2)*V135*Y135*VLOOKUP('Données projet'!$B$9,Paramètres!$A$1:$I$89,3,0)*0.475*44/12</f>
        <v>6.1092264205682598E-15</v>
      </c>
      <c r="AC135" s="24">
        <f t="shared" si="111"/>
        <v>0.1928937364896933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1.0286385077051818E-13</v>
      </c>
      <c r="P136" s="14">
        <f t="shared" si="141"/>
        <v>1.5402366592183556E-12</v>
      </c>
      <c r="Q136" s="22">
        <f t="shared" si="108"/>
        <v>2.8617333882306215E-12</v>
      </c>
      <c r="R136" s="62">
        <f t="shared" si="109"/>
        <v>284.39223168033624</v>
      </c>
      <c r="S136" s="62">
        <f ca="1">AVERAGE(OFFSET($R$3,0,0,'Données projet'!$E$9+1,1))-AVERAGE(OFFSET($H$3,0,0,'Données projet'!$E$9+1,1))</f>
        <v>406.64650428071837</v>
      </c>
      <c r="T136" s="62">
        <f t="shared" si="142"/>
        <v>250.47702091764884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5.8731241859448655E-2</v>
      </c>
      <c r="AA136" s="23">
        <f>EXP(-LN(2)/25)*AA135+(1-EXP(-LN(2)/25))/(LN(2)/25)*Calculateur!V136*Calculateur!X136*VLOOKUP('Données projet'!$B$9,Paramètres!$A$1:$I$89,3,0)*0.475*44/12</f>
        <v>0.12935121756146956</v>
      </c>
      <c r="AB136" s="23">
        <f>EXP(-LN(2)/2)*AB135+(1-EXP(-LN(2)/2))/(LN(2)/2)*V136*Y136*VLOOKUP('Données projet'!$B$9,Paramètres!$A$1:$I$89,3,0)*0.475*44/12</f>
        <v>4.3198754297878354E-15</v>
      </c>
      <c r="AC136" s="24">
        <f t="shared" si="111"/>
        <v>0.18808245942092255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1.0286385077051818E-13</v>
      </c>
      <c r="P137" s="14">
        <f t="shared" si="141"/>
        <v>1.5402366592183556E-12</v>
      </c>
      <c r="Q137" s="22">
        <f t="shared" si="108"/>
        <v>2.8617333882306215E-12</v>
      </c>
      <c r="R137" s="62">
        <f t="shared" si="109"/>
        <v>284.54733980470712</v>
      </c>
      <c r="S137" s="62">
        <f ca="1">AVERAGE(OFFSET($R$3,0,0,'Données projet'!$E$9+1,1))-AVERAGE(OFFSET($H$3,0,0,'Données projet'!$E$9+1,1))</f>
        <v>406.64650428071837</v>
      </c>
      <c r="T137" s="62">
        <f t="shared" si="142"/>
        <v>250.47702091764884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5.7579558029105221E-2</v>
      </c>
      <c r="AA137" s="23">
        <f>EXP(-LN(2)/25)*AA136+(1-EXP(-LN(2)/25))/(LN(2)/25)*Calculateur!V137*Calculateur!X137*VLOOKUP('Données projet'!$B$9,Paramètres!$A$1:$I$89,3,0)*0.475*44/12</f>
        <v>0.12581410171496626</v>
      </c>
      <c r="AB137" s="23">
        <f>EXP(-LN(2)/2)*AB136+(1-EXP(-LN(2)/2))/(LN(2)/2)*V137*Y137*VLOOKUP('Données projet'!$B$9,Paramètres!$A$1:$I$89,3,0)*0.475*44/12</f>
        <v>3.0546132102841299E-15</v>
      </c>
      <c r="AC137" s="24">
        <f t="shared" si="111"/>
        <v>0.18339365974407454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1.0286385077051818E-13</v>
      </c>
      <c r="P138" s="14">
        <f t="shared" si="141"/>
        <v>1.5402366592183556E-12</v>
      </c>
      <c r="Q138" s="22">
        <f t="shared" si="108"/>
        <v>2.8617333882306215E-12</v>
      </c>
      <c r="R138" s="62">
        <f t="shared" si="109"/>
        <v>284.69975714988999</v>
      </c>
      <c r="S138" s="62">
        <f ca="1">AVERAGE(OFFSET($R$3,0,0,'Données projet'!$E$9+1,1))-AVERAGE(OFFSET($H$3,0,0,'Données projet'!$E$9+1,1))</f>
        <v>406.64650428071837</v>
      </c>
      <c r="T138" s="62">
        <f t="shared" si="142"/>
        <v>250.47702091764884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5.6450458016217051E-2</v>
      </c>
      <c r="AA138" s="23">
        <f>EXP(-LN(2)/25)*AA137+(1-EXP(-LN(2)/25))/(LN(2)/25)*Calculateur!V138*Calculateur!X138*VLOOKUP('Données projet'!$B$9,Paramètres!$A$1:$I$89,3,0)*0.475*44/12</f>
        <v>0.12237370848729445</v>
      </c>
      <c r="AB138" s="23">
        <f>EXP(-LN(2)/2)*AB137+(1-EXP(-LN(2)/2))/(LN(2)/2)*V138*Y138*VLOOKUP('Données projet'!$B$9,Paramètres!$A$1:$I$89,3,0)*0.475*44/12</f>
        <v>2.1599377148939177E-15</v>
      </c>
      <c r="AC138" s="24">
        <f t="shared" si="111"/>
        <v>0.17882416650351368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1.0286385077051818E-13</v>
      </c>
      <c r="P139" s="14">
        <f t="shared" si="141"/>
        <v>1.5402366592183556E-12</v>
      </c>
      <c r="Q139" s="22">
        <f t="shared" si="108"/>
        <v>2.8617333882306215E-12</v>
      </c>
      <c r="R139" s="62">
        <f t="shared" si="109"/>
        <v>284.84953039488806</v>
      </c>
      <c r="S139" s="62">
        <f ca="1">AVERAGE(OFFSET($R$3,0,0,'Données projet'!$E$9+1,1))-AVERAGE(OFFSET($H$3,0,0,'Données projet'!$E$9+1,1))</f>
        <v>406.64650428071837</v>
      </c>
      <c r="T139" s="62">
        <f t="shared" si="142"/>
        <v>250.47702091764884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5.5343498965898609E-2</v>
      </c>
      <c r="AA139" s="23">
        <f>EXP(-LN(2)/25)*AA138+(1-EXP(-LN(2)/25))/(LN(2)/25)*Calculateur!V139*Calculateur!X139*VLOOKUP('Données projet'!$B$9,Paramètres!$A$1:$I$89,3,0)*0.475*44/12</f>
        <v>0.11902739299335574</v>
      </c>
      <c r="AB139" s="23">
        <f>EXP(-LN(2)/2)*AB138+(1-EXP(-LN(2)/2))/(LN(2)/2)*V139*Y139*VLOOKUP('Données projet'!$B$9,Paramètres!$A$1:$I$89,3,0)*0.475*44/12</f>
        <v>1.527306605142065E-15</v>
      </c>
      <c r="AC139" s="24">
        <f t="shared" si="111"/>
        <v>0.17437089195925587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1.0286385077051818E-13</v>
      </c>
      <c r="P140" s="14">
        <f t="shared" si="141"/>
        <v>1.5402366592183556E-12</v>
      </c>
      <c r="Q140" s="22">
        <f t="shared" si="108"/>
        <v>2.8617333882306215E-12</v>
      </c>
      <c r="R140" s="62">
        <f t="shared" si="109"/>
        <v>284.99670540892822</v>
      </c>
      <c r="S140" s="62">
        <f ca="1">AVERAGE(OFFSET($R$3,0,0,'Données projet'!$E$9+1,1))-AVERAGE(OFFSET($H$3,0,0,'Données projet'!$E$9+1,1))</f>
        <v>406.64650428071837</v>
      </c>
      <c r="T140" s="62">
        <f t="shared" si="142"/>
        <v>250.47702091764884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5.4258246707378562E-2</v>
      </c>
      <c r="AA140" s="23">
        <f>EXP(-LN(2)/25)*AA139+(1-EXP(-LN(2)/25))/(LN(2)/25)*Calculateur!V140*Calculateur!X140*VLOOKUP('Données projet'!$B$9,Paramètres!$A$1:$I$89,3,0)*0.475*44/12</f>
        <v>0.11577258267257387</v>
      </c>
      <c r="AB140" s="23">
        <f>EXP(-LN(2)/2)*AB139+(1-EXP(-LN(2)/2))/(LN(2)/2)*V140*Y140*VLOOKUP('Données projet'!$B$9,Paramètres!$A$1:$I$89,3,0)*0.475*44/12</f>
        <v>1.0799688574469588E-15</v>
      </c>
      <c r="AC140" s="24">
        <f t="shared" si="111"/>
        <v>0.17003082937995351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1.0286385077051818E-13</v>
      </c>
      <c r="P141" s="14">
        <f t="shared" si="141"/>
        <v>1.5402366592183556E-12</v>
      </c>
      <c r="Q141" s="22">
        <f t="shared" si="108"/>
        <v>2.8617333882306215E-12</v>
      </c>
      <c r="R141" s="62">
        <f t="shared" si="109"/>
        <v>285.14132726550878</v>
      </c>
      <c r="S141" s="62">
        <f ca="1">AVERAGE(OFFSET($R$3,0,0,'Données projet'!$E$9+1,1))-AVERAGE(OFFSET($H$3,0,0,'Données projet'!$E$9+1,1))</f>
        <v>406.64650428071837</v>
      </c>
      <c r="T141" s="62">
        <f t="shared" si="142"/>
        <v>250.47702091764884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5.3194275583709573E-2</v>
      </c>
      <c r="AA141" s="23">
        <f>EXP(-LN(2)/25)*AA140+(1-EXP(-LN(2)/25))/(LN(2)/25)*Calculateur!V141*Calculateur!X141*VLOOKUP('Données projet'!$B$9,Paramètres!$A$1:$I$89,3,0)*0.475*44/12</f>
        <v>0.11260677531117681</v>
      </c>
      <c r="AB141" s="23">
        <f>EXP(-LN(2)/2)*AB140+(1-EXP(-LN(2)/2))/(LN(2)/2)*V141*Y141*VLOOKUP('Données projet'!$B$9,Paramètres!$A$1:$I$89,3,0)*0.475*44/12</f>
        <v>7.6365330257103248E-16</v>
      </c>
      <c r="AC141" s="24">
        <f t="shared" si="111"/>
        <v>0.16580105089488717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1.0286385077051818E-13</v>
      </c>
      <c r="P142" s="14">
        <f t="shared" si="141"/>
        <v>1.5402366592183556E-12</v>
      </c>
      <c r="Q142" s="22">
        <f t="shared" si="108"/>
        <v>2.8617333882306215E-12</v>
      </c>
      <c r="R142" s="62">
        <f t="shared" si="109"/>
        <v>285.28344025620373</v>
      </c>
      <c r="S142" s="62">
        <f ca="1">AVERAGE(OFFSET($R$3,0,0,'Données projet'!$E$9+1,1))-AVERAGE(OFFSET($H$3,0,0,'Données projet'!$E$9+1,1))</f>
        <v>406.64650428071837</v>
      </c>
      <c r="T142" s="62">
        <f t="shared" si="142"/>
        <v>250.47702091764884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5.2151168284817424E-2</v>
      </c>
      <c r="AA142" s="23">
        <f>EXP(-LN(2)/25)*AA141+(1-EXP(-LN(2)/25))/(LN(2)/25)*Calculateur!V142*Calculateur!X142*VLOOKUP('Données projet'!$B$9,Paramètres!$A$1:$I$89,3,0)*0.475*44/12</f>
        <v>0.10952753711855974</v>
      </c>
      <c r="AB142" s="23">
        <f>EXP(-LN(2)/2)*AB141+(1-EXP(-LN(2)/2))/(LN(2)/2)*V142*Y142*VLOOKUP('Données projet'!$B$9,Paramètres!$A$1:$I$89,3,0)*0.475*44/12</f>
        <v>5.3998442872347942E-16</v>
      </c>
      <c r="AC142" s="24">
        <f t="shared" si="111"/>
        <v>0.1616787054033777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1.0286385077051818E-13</v>
      </c>
      <c r="P143" s="14">
        <f t="shared" si="141"/>
        <v>1.5402366592183556E-12</v>
      </c>
      <c r="Q143" s="22">
        <f t="shared" si="108"/>
        <v>2.8617333882306215E-12</v>
      </c>
      <c r="R143" s="62">
        <f t="shared" si="109"/>
        <v>285.4230879042272</v>
      </c>
      <c r="S143" s="62">
        <f ca="1">AVERAGE(OFFSET($R$3,0,0,'Données projet'!$E$9+1,1))-AVERAGE(OFFSET($H$3,0,0,'Données projet'!$E$9+1,1))</f>
        <v>406.64650428071837</v>
      </c>
      <c r="T143" s="62">
        <f t="shared" si="142"/>
        <v>250.47702091764884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5.112851568382392E-2</v>
      </c>
      <c r="AA143" s="23">
        <f>EXP(-LN(2)/25)*AA142+(1-EXP(-LN(2)/25))/(LN(2)/25)*Calculateur!V143*Calculateur!X143*VLOOKUP('Données projet'!$B$9,Paramètres!$A$1:$I$89,3,0)*0.475*44/12</f>
        <v>0.10653250085624988</v>
      </c>
      <c r="AB143" s="23">
        <f>EXP(-LN(2)/2)*AB142+(1-EXP(-LN(2)/2))/(LN(2)/2)*V143*Y143*VLOOKUP('Données projet'!$B$9,Paramètres!$A$1:$I$89,3,0)*0.475*44/12</f>
        <v>3.8182665128551624E-16</v>
      </c>
      <c r="AC143" s="24">
        <f t="shared" si="111"/>
        <v>0.15766101654007419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1.0286385077051818E-13</v>
      </c>
      <c r="P144" s="14">
        <f t="shared" si="141"/>
        <v>1.5402366592183556E-12</v>
      </c>
      <c r="Q144" s="22">
        <f t="shared" si="108"/>
        <v>2.8617333882306215E-12</v>
      </c>
      <c r="R144" s="62">
        <f t="shared" si="109"/>
        <v>285.56031297776286</v>
      </c>
      <c r="S144" s="62">
        <f ca="1">AVERAGE(OFFSET($R$3,0,0,'Données projet'!$E$9+1,1))-AVERAGE(OFFSET($H$3,0,0,'Données projet'!$E$9+1,1))</f>
        <v>406.64650428071837</v>
      </c>
      <c r="T144" s="62">
        <f t="shared" si="142"/>
        <v>250.47702091764884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5.0125916676579403E-2</v>
      </c>
      <c r="AA144" s="23">
        <f>EXP(-LN(2)/25)*AA143+(1-EXP(-LN(2)/25))/(LN(2)/25)*Calculateur!V144*Calculateur!X144*VLOOKUP('Données projet'!$B$9,Paramètres!$A$1:$I$89,3,0)*0.475*44/12</f>
        <v>0.103619364018035</v>
      </c>
      <c r="AB144" s="23">
        <f>EXP(-LN(2)/2)*AB143+(1-EXP(-LN(2)/2))/(LN(2)/2)*V144*Y144*VLOOKUP('Données projet'!$B$9,Paramètres!$A$1:$I$89,3,0)*0.475*44/12</f>
        <v>2.6999221436173971E-16</v>
      </c>
      <c r="AC144" s="24">
        <f t="shared" si="111"/>
        <v>0.15374528069461468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1.0286385077051818E-13</v>
      </c>
      <c r="P145" s="14">
        <f t="shared" si="141"/>
        <v>1.5402366592183556E-12</v>
      </c>
      <c r="Q145" s="22">
        <f t="shared" si="108"/>
        <v>2.8617333882306215E-12</v>
      </c>
      <c r="R145" s="62">
        <f t="shared" si="109"/>
        <v>285.69515750306192</v>
      </c>
      <c r="S145" s="62">
        <f ca="1">AVERAGE(OFFSET($R$3,0,0,'Données projet'!$E$9+1,1))-AVERAGE(OFFSET($H$3,0,0,'Données projet'!$E$9+1,1))</f>
        <v>406.64650428071837</v>
      </c>
      <c r="T145" s="62">
        <f t="shared" si="142"/>
        <v>250.47702091764884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4.9142978024341942E-2</v>
      </c>
      <c r="AA145" s="23">
        <f>EXP(-LN(2)/25)*AA144+(1-EXP(-LN(2)/25))/(LN(2)/25)*Calculateur!V145*Calculateur!X145*VLOOKUP('Données projet'!$B$9,Paramètres!$A$1:$I$89,3,0)*0.475*44/12</f>
        <v>0.10078588705985631</v>
      </c>
      <c r="AB145" s="23">
        <f>EXP(-LN(2)/2)*AB144+(1-EXP(-LN(2)/2))/(LN(2)/2)*V145*Y145*VLOOKUP('Données projet'!$B$9,Paramètres!$A$1:$I$89,3,0)*0.475*44/12</f>
        <v>1.9091332564275812E-16</v>
      </c>
      <c r="AC145" s="24">
        <f t="shared" si="111"/>
        <v>0.14992886508419845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1.0286385077051818E-13</v>
      </c>
      <c r="P146" s="14">
        <f t="shared" si="141"/>
        <v>1.5402366592183556E-12</v>
      </c>
      <c r="Q146" s="22">
        <f t="shared" si="108"/>
        <v>2.8617333882306215E-12</v>
      </c>
      <c r="R146" s="62">
        <f t="shared" si="109"/>
        <v>285.82766277731429</v>
      </c>
      <c r="S146" s="62">
        <f ca="1">AVERAGE(OFFSET($R$3,0,0,'Données projet'!$E$9+1,1))-AVERAGE(OFFSET($H$3,0,0,'Données projet'!$E$9+1,1))</f>
        <v>406.64650428071837</v>
      </c>
      <c r="T146" s="62">
        <f t="shared" si="142"/>
        <v>250.47702091764884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4.8179314199541481E-2</v>
      </c>
      <c r="AA146" s="23">
        <f>EXP(-LN(2)/25)*AA145+(1-EXP(-LN(2)/25))/(LN(2)/25)*Calculateur!V146*Calculateur!X146*VLOOKUP('Données projet'!$B$9,Paramètres!$A$1:$I$89,3,0)*0.475*44/12</f>
        <v>9.802989167810508E-2</v>
      </c>
      <c r="AB146" s="23">
        <f>EXP(-LN(2)/2)*AB145+(1-EXP(-LN(2)/2))/(LN(2)/2)*V146*Y146*VLOOKUP('Données projet'!$B$9,Paramètres!$A$1:$I$89,3,0)*0.475*44/12</f>
        <v>1.3499610718086986E-16</v>
      </c>
      <c r="AC146" s="24">
        <f t="shared" si="111"/>
        <v>0.14620920587764671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1.0286385077051818E-13</v>
      </c>
      <c r="P147" s="14">
        <f t="shared" si="141"/>
        <v>1.5402366592183556E-12</v>
      </c>
      <c r="Q147" s="22">
        <f t="shared" si="108"/>
        <v>2.8617333882306215E-12</v>
      </c>
      <c r="R147" s="62">
        <f t="shared" si="109"/>
        <v>285.95786938129572</v>
      </c>
      <c r="S147" s="62">
        <f ca="1">AVERAGE(OFFSET($R$3,0,0,'Données projet'!$E$9+1,1))-AVERAGE(OFFSET($H$3,0,0,'Données projet'!$E$9+1,1))</f>
        <v>406.64650428071837</v>
      </c>
      <c r="T147" s="62">
        <f t="shared" si="142"/>
        <v>250.47702091764884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4.7234547234568464E-2</v>
      </c>
      <c r="AA147" s="23">
        <f>EXP(-LN(2)/25)*AA146+(1-EXP(-LN(2)/25))/(LN(2)/25)*Calculateur!V147*Calculateur!X147*VLOOKUP('Données projet'!$B$9,Paramètres!$A$1:$I$89,3,0)*0.475*44/12</f>
        <v>9.5349259134999337E-2</v>
      </c>
      <c r="AB147" s="23">
        <f>EXP(-LN(2)/2)*AB146+(1-EXP(-LN(2)/2))/(LN(2)/2)*V147*Y147*VLOOKUP('Données projet'!$B$9,Paramètres!$A$1:$I$89,3,0)*0.475*44/12</f>
        <v>9.545666282137906E-17</v>
      </c>
      <c r="AC147" s="24">
        <f t="shared" si="111"/>
        <v>0.14258380636956788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1.0286385077051818E-13</v>
      </c>
      <c r="P148" s="14">
        <f t="shared" si="141"/>
        <v>1.5402366592183556E-12</v>
      </c>
      <c r="Q148" s="22">
        <f t="shared" si="108"/>
        <v>2.8617333882306215E-12</v>
      </c>
      <c r="R148" s="62">
        <f t="shared" si="109"/>
        <v>286.08581719179642</v>
      </c>
      <c r="S148" s="62">
        <f ca="1">AVERAGE(OFFSET($R$3,0,0,'Données projet'!$E$9+1,1))-AVERAGE(OFFSET($H$3,0,0,'Données projet'!$E$9+1,1))</f>
        <v>406.64650428071837</v>
      </c>
      <c r="T148" s="62">
        <f t="shared" si="142"/>
        <v>250.47702091764884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4.6308306573527615E-2</v>
      </c>
      <c r="AA148" s="23">
        <f>EXP(-LN(2)/25)*AA147+(1-EXP(-LN(2)/25))/(LN(2)/25)*Calculateur!V148*Calculateur!X148*VLOOKUP('Données projet'!$B$9,Paramètres!$A$1:$I$89,3,0)*0.475*44/12</f>
        <v>9.2741928629753168E-2</v>
      </c>
      <c r="AB148" s="23">
        <f>EXP(-LN(2)/2)*AB147+(1-EXP(-LN(2)/2))/(LN(2)/2)*V148*Y148*VLOOKUP('Données projet'!$B$9,Paramètres!$A$1:$I$89,3,0)*0.475*44/12</f>
        <v>6.7498053590434928E-17</v>
      </c>
      <c r="AC148" s="24">
        <f t="shared" si="111"/>
        <v>0.13905023520328083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1.0286385077051818E-13</v>
      </c>
      <c r="P149" s="14">
        <f t="shared" si="141"/>
        <v>1.5402366592183556E-12</v>
      </c>
      <c r="Q149" s="22">
        <f t="shared" si="108"/>
        <v>2.8617333882306215E-12</v>
      </c>
      <c r="R149" s="62">
        <f t="shared" si="109"/>
        <v>286.21154539383349</v>
      </c>
      <c r="S149" s="62">
        <f ca="1">AVERAGE(OFFSET($R$3,0,0,'Données projet'!$E$9+1,1))-AVERAGE(OFFSET($H$3,0,0,'Données projet'!$E$9+1,1))</f>
        <v>406.64650428071837</v>
      </c>
      <c r="T149" s="62">
        <f t="shared" si="142"/>
        <v>250.47702091764884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4.540022892689876E-2</v>
      </c>
      <c r="AA149" s="23">
        <f>EXP(-LN(2)/25)*AA148+(1-EXP(-LN(2)/25))/(LN(2)/25)*Calculateur!V149*Calculateur!X149*VLOOKUP('Données projet'!$B$9,Paramètres!$A$1:$I$89,3,0)*0.475*44/12</f>
        <v>9.0205895714286499E-2</v>
      </c>
      <c r="AB149" s="23">
        <f>EXP(-LN(2)/2)*AB148+(1-EXP(-LN(2)/2))/(LN(2)/2)*V149*Y149*VLOOKUP('Données projet'!$B$9,Paramètres!$A$1:$I$89,3,0)*0.475*44/12</f>
        <v>4.772833141068953E-17</v>
      </c>
      <c r="AC149" s="24">
        <f t="shared" si="111"/>
        <v>0.13560612464118532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1.0286385077051818E-13</v>
      </c>
      <c r="P150" s="14">
        <f t="shared" si="141"/>
        <v>1.5402366592183556E-12</v>
      </c>
      <c r="Q150" s="22">
        <f t="shared" si="108"/>
        <v>2.8617333882306215E-12</v>
      </c>
      <c r="R150" s="62">
        <f t="shared" si="109"/>
        <v>286.33509249265126</v>
      </c>
      <c r="S150" s="62">
        <f ca="1">AVERAGE(OFFSET($R$3,0,0,'Données projet'!$E$9+1,1))-AVERAGE(OFFSET($H$3,0,0,'Données projet'!$E$9+1,1))</f>
        <v>406.64650428071837</v>
      </c>
      <c r="T150" s="62">
        <f t="shared" si="142"/>
        <v>250.47702091764884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4.4509958129047622E-2</v>
      </c>
      <c r="AA150" s="23">
        <f>EXP(-LN(2)/25)*AA149+(1-EXP(-LN(2)/25))/(LN(2)/25)*Calculateur!V150*Calculateur!X150*VLOOKUP('Données projet'!$B$9,Paramètres!$A$1:$I$89,3,0)*0.475*44/12</f>
        <v>8.7739210752257449E-2</v>
      </c>
      <c r="AB150" s="23">
        <f>EXP(-LN(2)/2)*AB149+(1-EXP(-LN(2)/2))/(LN(2)/2)*V150*Y150*VLOOKUP('Données projet'!$B$9,Paramètres!$A$1:$I$89,3,0)*0.475*44/12</f>
        <v>3.3749026795217464E-17</v>
      </c>
      <c r="AC150" s="24">
        <f t="shared" si="111"/>
        <v>0.13224916888130508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1.0286385077051818E-13</v>
      </c>
      <c r="P151" s="14">
        <f t="shared" si="141"/>
        <v>1.5402366592183556E-12</v>
      </c>
      <c r="Q151" s="22">
        <f t="shared" si="108"/>
        <v>2.8617333882306215E-12</v>
      </c>
      <c r="R151" s="62">
        <f t="shared" si="109"/>
        <v>286.45649632551454</v>
      </c>
      <c r="S151" s="62">
        <f ca="1">AVERAGE(OFFSET($R$3,0,0,'Données projet'!$E$9+1,1))-AVERAGE(OFFSET($H$3,0,0,'Données projet'!$E$9+1,1))</f>
        <v>406.64650428071837</v>
      </c>
      <c r="T151" s="62">
        <f t="shared" si="142"/>
        <v>250.47702091764884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4.3637144998530775E-2</v>
      </c>
      <c r="AA151" s="23">
        <f>EXP(-LN(2)/25)*AA150+(1-EXP(-LN(2)/25))/(LN(2)/25)*Calculateur!V151*Calculateur!X151*VLOOKUP('Données projet'!$B$9,Paramètres!$A$1:$I$89,3,0)*0.475*44/12</f>
        <v>8.5339977420232402E-2</v>
      </c>
      <c r="AB151" s="23">
        <f>EXP(-LN(2)/2)*AB150+(1-EXP(-LN(2)/2))/(LN(2)/2)*V151*Y151*VLOOKUP('Données projet'!$B$9,Paramètres!$A$1:$I$89,3,0)*0.475*44/12</f>
        <v>2.3864165705344765E-17</v>
      </c>
      <c r="AC151" s="24">
        <f t="shared" si="111"/>
        <v>0.12897712241876322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1.0286385077051818E-13</v>
      </c>
      <c r="P152" s="14">
        <f t="shared" si="141"/>
        <v>1.5402366592183556E-12</v>
      </c>
      <c r="Q152" s="22">
        <f t="shared" si="108"/>
        <v>2.8617333882306215E-12</v>
      </c>
      <c r="R152" s="62">
        <f t="shared" si="109"/>
        <v>286.57579407329592</v>
      </c>
      <c r="S152" s="62">
        <f ca="1">AVERAGE(OFFSET($R$3,0,0,'Données projet'!$E$9+1,1))-AVERAGE(OFFSET($H$3,0,0,'Données projet'!$E$9+1,1))</f>
        <v>406.64650428071837</v>
      </c>
      <c r="T152" s="62">
        <f t="shared" si="142"/>
        <v>250.47702091764884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4.2781447201139917E-2</v>
      </c>
      <c r="AA152" s="23">
        <f>EXP(-LN(2)/25)*AA151+(1-EXP(-LN(2)/25))/(LN(2)/25)*Calculateur!V152*Calculateur!X152*VLOOKUP('Données projet'!$B$9,Paramètres!$A$1:$I$89,3,0)*0.475*44/12</f>
        <v>8.3006351249841778E-2</v>
      </c>
      <c r="AB152" s="23">
        <f>EXP(-LN(2)/2)*AB151+(1-EXP(-LN(2)/2))/(LN(2)/2)*V152*Y152*VLOOKUP('Données projet'!$B$9,Paramètres!$A$1:$I$89,3,0)*0.475*44/12</f>
        <v>1.6874513397608732E-17</v>
      </c>
      <c r="AC152" s="24">
        <f t="shared" si="111"/>
        <v>0.12578779845098173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1.0286385077051818E-13</v>
      </c>
      <c r="P153" s="14">
        <f t="shared" si="141"/>
        <v>1.5402366592183556E-12</v>
      </c>
      <c r="Q153" s="22">
        <f t="shared" si="108"/>
        <v>2.8617333882306215E-12</v>
      </c>
      <c r="R153" s="62">
        <f t="shared" si="109"/>
        <v>286.69302227186319</v>
      </c>
      <c r="S153" s="62">
        <f ca="1">AVERAGE(OFFSET($R$3,0,0,'Données projet'!$E$9+1,1))-AVERAGE(OFFSET($H$3,0,0,'Données projet'!$E$9+1,1))</f>
        <v>406.64650428071837</v>
      </c>
      <c r="T153" s="62">
        <f t="shared" si="142"/>
        <v>250.47702091764884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4.1942529115631774E-2</v>
      </c>
      <c r="AA153" s="23">
        <f>EXP(-LN(2)/25)*AA152+(1-EXP(-LN(2)/25))/(LN(2)/25)*Calculateur!V153*Calculateur!X153*VLOOKUP('Données projet'!$B$9,Paramètres!$A$1:$I$89,3,0)*0.475*44/12</f>
        <v>8.0736538209800562E-2</v>
      </c>
      <c r="AB153" s="23">
        <f>EXP(-LN(2)/2)*AB152+(1-EXP(-LN(2)/2))/(LN(2)/2)*V153*Y153*VLOOKUP('Données projet'!$B$9,Paramètres!$A$1:$I$89,3,0)*0.475*44/12</f>
        <v>1.1932082852672382E-17</v>
      </c>
      <c r="AC153" s="24">
        <f t="shared" si="111"/>
        <v>0.12267906732543235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1.0286385077051818E-13</v>
      </c>
      <c r="P154" s="14">
        <f t="shared" si="141"/>
        <v>1.5402366592183556E-12</v>
      </c>
      <c r="Q154" s="22">
        <f t="shared" ref="Q154:Q203" si="162">(O154+P154)*0.475*44/12</f>
        <v>2.8617333882306215E-12</v>
      </c>
      <c r="R154" s="62">
        <f t="shared" si="109"/>
        <v>286.8082168232682</v>
      </c>
      <c r="S154" s="62">
        <f ca="1">AVERAGE(OFFSET($R$3,0,0,'Données projet'!$E$9+1,1))-AVERAGE(OFFSET($H$3,0,0,'Données projet'!$E$9+1,1))</f>
        <v>406.64650428071837</v>
      </c>
      <c r="T154" s="62">
        <f t="shared" si="142"/>
        <v>250.47702091764884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4.112006170209094E-2</v>
      </c>
      <c r="AA154" s="23">
        <f>EXP(-LN(2)/25)*AA153+(1-EXP(-LN(2)/25))/(LN(2)/25)*Calculateur!V154*Calculateur!X154*VLOOKUP('Données projet'!$B$9,Paramètres!$A$1:$I$89,3,0)*0.475*44/12</f>
        <v>7.8528793326703553E-2</v>
      </c>
      <c r="AB154" s="23">
        <f>EXP(-LN(2)/2)*AB153+(1-EXP(-LN(2)/2))/(LN(2)/2)*V154*Y154*VLOOKUP('Données projet'!$B$9,Paramètres!$A$1:$I$89,3,0)*0.475*44/12</f>
        <v>8.437256698804366E-18</v>
      </c>
      <c r="AC154" s="24">
        <f t="shared" ref="AC154:AC203" si="163">SUM(Z154:AB154)</f>
        <v>0.11964885502879451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1.0286385077051818E-13</v>
      </c>
      <c r="P155" s="14">
        <f t="shared" si="141"/>
        <v>1.5402366592183556E-12</v>
      </c>
      <c r="Q155" s="22">
        <f t="shared" si="162"/>
        <v>2.8617333882306215E-12</v>
      </c>
      <c r="R155" s="62">
        <f t="shared" si="109"/>
        <v>286.92141300674274</v>
      </c>
      <c r="S155" s="62">
        <f ca="1">AVERAGE(OFFSET($R$3,0,0,'Données projet'!$E$9+1,1))-AVERAGE(OFFSET($H$3,0,0,'Données projet'!$E$9+1,1))</f>
        <v>406.64650428071837</v>
      </c>
      <c r="T155" s="62">
        <f t="shared" si="142"/>
        <v>250.47702091764884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4.0313722372874054E-2</v>
      </c>
      <c r="AA155" s="23">
        <f>EXP(-LN(2)/25)*AA154+(1-EXP(-LN(2)/25))/(LN(2)/25)*Calculateur!V155*Calculateur!X155*VLOOKUP('Données projet'!$B$9,Paramètres!$A$1:$I$89,3,0)*0.475*44/12</f>
        <v>7.6381419343535081E-2</v>
      </c>
      <c r="AB155" s="23">
        <f>EXP(-LN(2)/2)*AB154+(1-EXP(-LN(2)/2))/(LN(2)/2)*V155*Y155*VLOOKUP('Données projet'!$B$9,Paramètres!$A$1:$I$89,3,0)*0.475*44/12</f>
        <v>5.9660414263361912E-18</v>
      </c>
      <c r="AC155" s="24">
        <f t="shared" si="163"/>
        <v>0.11669514171640913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1.0286385077051818E-13</v>
      </c>
      <c r="P156" s="14">
        <f t="shared" si="141"/>
        <v>1.5402366592183556E-12</v>
      </c>
      <c r="Q156" s="22">
        <f t="shared" si="162"/>
        <v>2.8617333882306215E-12</v>
      </c>
      <c r="R156" s="62">
        <f t="shared" si="109"/>
        <v>287.03264548950284</v>
      </c>
      <c r="S156" s="62">
        <f ca="1">AVERAGE(OFFSET($R$3,0,0,'Données projet'!$E$9+1,1))-AVERAGE(OFFSET($H$3,0,0,'Données projet'!$E$9+1,1))</f>
        <v>406.64650428071837</v>
      </c>
      <c r="T156" s="62">
        <f t="shared" si="142"/>
        <v>250.47702091764884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3.9523194866084688E-2</v>
      </c>
      <c r="AA156" s="23">
        <f>EXP(-LN(2)/25)*AA155+(1-EXP(-LN(2)/25))/(LN(2)/25)*Calculateur!V156*Calculateur!X156*VLOOKUP('Données projet'!$B$9,Paramètres!$A$1:$I$89,3,0)*0.475*44/12</f>
        <v>7.429276541486185E-2</v>
      </c>
      <c r="AB156" s="23">
        <f>EXP(-LN(2)/2)*AB155+(1-EXP(-LN(2)/2))/(LN(2)/2)*V156*Y156*VLOOKUP('Données projet'!$B$9,Paramètres!$A$1:$I$89,3,0)*0.475*44/12</f>
        <v>4.218628349402183E-18</v>
      </c>
      <c r="AC156" s="24">
        <f t="shared" si="163"/>
        <v>0.11381596028094654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1.0286385077051818E-13</v>
      </c>
      <c r="P157" s="14">
        <f t="shared" si="141"/>
        <v>1.5402366592183556E-12</v>
      </c>
      <c r="Q157" s="22">
        <f t="shared" si="162"/>
        <v>2.8617333882306215E-12</v>
      </c>
      <c r="R157" s="62">
        <f t="shared" si="109"/>
        <v>287.14194833736559</v>
      </c>
      <c r="S157" s="62">
        <f ca="1">AVERAGE(OFFSET($R$3,0,0,'Données projet'!$E$9+1,1))-AVERAGE(OFFSET($H$3,0,0,'Données projet'!$E$9+1,1))</f>
        <v>406.64650428071837</v>
      </c>
      <c r="T157" s="62">
        <f t="shared" si="142"/>
        <v>250.47702091764884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3.8748169121529293E-2</v>
      </c>
      <c r="AA157" s="23">
        <f>EXP(-LN(2)/25)*AA156+(1-EXP(-LN(2)/25))/(LN(2)/25)*Calculateur!V157*Calculateur!X157*VLOOKUP('Données projet'!$B$9,Paramètres!$A$1:$I$89,3,0)*0.475*44/12</f>
        <v>7.2261225837705723E-2</v>
      </c>
      <c r="AB157" s="23">
        <f>EXP(-LN(2)/2)*AB156+(1-EXP(-LN(2)/2))/(LN(2)/2)*V157*Y157*VLOOKUP('Données projet'!$B$9,Paramètres!$A$1:$I$89,3,0)*0.475*44/12</f>
        <v>2.9830207131680956E-18</v>
      </c>
      <c r="AC157" s="24">
        <f t="shared" si="163"/>
        <v>0.11100939495923501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1.0286385077051818E-13</v>
      </c>
      <c r="P158" s="14">
        <f t="shared" si="141"/>
        <v>1.5402366592183556E-12</v>
      </c>
      <c r="Q158" s="22">
        <f t="shared" si="162"/>
        <v>2.8617333882306215E-12</v>
      </c>
      <c r="R158" s="62">
        <f t="shared" si="109"/>
        <v>287.24935502518252</v>
      </c>
      <c r="S158" s="62">
        <f ca="1">AVERAGE(OFFSET($R$3,0,0,'Données projet'!$E$9+1,1))-AVERAGE(OFFSET($H$3,0,0,'Données projet'!$E$9+1,1))</f>
        <v>406.64650428071837</v>
      </c>
      <c r="T158" s="62">
        <f t="shared" si="142"/>
        <v>250.47702091764884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3.7988341159105599E-2</v>
      </c>
      <c r="AA158" s="23">
        <f>EXP(-LN(2)/25)*AA157+(1-EXP(-LN(2)/25))/(LN(2)/25)*Calculateur!V158*Calculateur!X158*VLOOKUP('Données projet'!$B$9,Paramètres!$A$1:$I$89,3,0)*0.475*44/12</f>
        <v>7.0285238817120954E-2</v>
      </c>
      <c r="AB158" s="23">
        <f>EXP(-LN(2)/2)*AB157+(1-EXP(-LN(2)/2))/(LN(2)/2)*V158*Y158*VLOOKUP('Données projet'!$B$9,Paramètres!$A$1:$I$89,3,0)*0.475*44/12</f>
        <v>2.1093141747010915E-18</v>
      </c>
      <c r="AC158" s="24">
        <f t="shared" si="163"/>
        <v>0.10827357997622655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1.0286385077051818E-13</v>
      </c>
      <c r="P159" s="14">
        <f t="shared" si="141"/>
        <v>1.5402366592183556E-12</v>
      </c>
      <c r="Q159" s="22">
        <f t="shared" si="162"/>
        <v>2.8617333882306215E-12</v>
      </c>
      <c r="R159" s="62">
        <f t="shared" si="109"/>
        <v>287.35489844709116</v>
      </c>
      <c r="S159" s="62">
        <f ca="1">AVERAGE(OFFSET($R$3,0,0,'Données projet'!$E$9+1,1))-AVERAGE(OFFSET($H$3,0,0,'Données projet'!$E$9+1,1))</f>
        <v>406.64650428071837</v>
      </c>
      <c r="T159" s="62">
        <f t="shared" si="142"/>
        <v>250.47702091764884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3.7243412959575735E-2</v>
      </c>
      <c r="AA159" s="23">
        <f>EXP(-LN(2)/25)*AA158+(1-EXP(-LN(2)/25))/(LN(2)/25)*Calculateur!V159*Calculateur!X159*VLOOKUP('Données projet'!$B$9,Paramètres!$A$1:$I$89,3,0)*0.475*44/12</f>
        <v>6.8363285265526708E-2</v>
      </c>
      <c r="AB159" s="23">
        <f>EXP(-LN(2)/2)*AB158+(1-EXP(-LN(2)/2))/(LN(2)/2)*V159*Y159*VLOOKUP('Données projet'!$B$9,Paramètres!$A$1:$I$89,3,0)*0.475*44/12</f>
        <v>1.4915103565840478E-18</v>
      </c>
      <c r="AC159" s="24">
        <f t="shared" si="163"/>
        <v>0.10560669822510244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1.0286385077051818E-13</v>
      </c>
      <c r="P160" s="14">
        <f t="shared" si="141"/>
        <v>1.5402366592183556E-12</v>
      </c>
      <c r="Q160" s="22">
        <f t="shared" si="162"/>
        <v>2.8617333882306215E-12</v>
      </c>
      <c r="R160" s="62">
        <f t="shared" si="109"/>
        <v>287.45861092658942</v>
      </c>
      <c r="S160" s="62">
        <f ca="1">AVERAGE(OFFSET($R$3,0,0,'Données projet'!$E$9+1,1))-AVERAGE(OFFSET($H$3,0,0,'Données projet'!$E$9+1,1))</f>
        <v>406.64650428071837</v>
      </c>
      <c r="T160" s="62">
        <f t="shared" si="142"/>
        <v>250.47702091764884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3.6513092347677314E-2</v>
      </c>
      <c r="AA160" s="23">
        <f>EXP(-LN(2)/25)*AA159+(1-EXP(-LN(2)/25))/(LN(2)/25)*Calculateur!V160*Calculateur!X160*VLOOKUP('Données projet'!$B$9,Paramètres!$A$1:$I$89,3,0)*0.475*44/12</f>
        <v>6.6493887634871948E-2</v>
      </c>
      <c r="AB160" s="23">
        <f>EXP(-LN(2)/2)*AB159+(1-EXP(-LN(2)/2))/(LN(2)/2)*V160*Y160*VLOOKUP('Données projet'!$B$9,Paramètres!$A$1:$I$89,3,0)*0.475*44/12</f>
        <v>1.0546570873505458E-18</v>
      </c>
      <c r="AC160" s="24">
        <f t="shared" si="163"/>
        <v>0.10300697998254926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1.0286385077051818E-13</v>
      </c>
      <c r="P161" s="14">
        <f t="shared" si="141"/>
        <v>1.5402366592183556E-12</v>
      </c>
      <c r="Q161" s="22">
        <f t="shared" si="162"/>
        <v>2.8617333882306215E-12</v>
      </c>
      <c r="R161" s="62">
        <f t="shared" si="109"/>
        <v>287.56052422643484</v>
      </c>
      <c r="S161" s="62">
        <f ca="1">AVERAGE(OFFSET($R$3,0,0,'Données projet'!$E$9+1,1))-AVERAGE(OFFSET($H$3,0,0,'Données projet'!$E$9+1,1))</f>
        <v>406.64650428071837</v>
      </c>
      <c r="T161" s="62">
        <f t="shared" si="142"/>
        <v>250.47702091764884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3.5797092877526637E-2</v>
      </c>
      <c r="AA161" s="23">
        <f>EXP(-LN(2)/25)*AA160+(1-EXP(-LN(2)/25))/(LN(2)/25)*Calculateur!V161*Calculateur!X161*VLOOKUP('Données projet'!$B$9,Paramètres!$A$1:$I$89,3,0)*0.475*44/12</f>
        <v>6.4675608780734792E-2</v>
      </c>
      <c r="AB161" s="23">
        <f>EXP(-LN(2)/2)*AB160+(1-EXP(-LN(2)/2))/(LN(2)/2)*V161*Y161*VLOOKUP('Données projet'!$B$9,Paramètres!$A$1:$I$89,3,0)*0.475*44/12</f>
        <v>7.457551782920239E-19</v>
      </c>
      <c r="AC161" s="24">
        <f t="shared" si="163"/>
        <v>0.10047270165826143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1.0286385077051818E-13</v>
      </c>
      <c r="P162" s="14">
        <f t="shared" si="141"/>
        <v>1.5402366592183556E-12</v>
      </c>
      <c r="Q162" s="22">
        <f t="shared" si="162"/>
        <v>2.8617333882306215E-12</v>
      </c>
      <c r="R162" s="62">
        <f t="shared" si="109"/>
        <v>287.66066955837181</v>
      </c>
      <c r="S162" s="62">
        <f ca="1">AVERAGE(OFFSET($R$3,0,0,'Données projet'!$E$9+1,1))-AVERAGE(OFFSET($H$3,0,0,'Données projet'!$E$9+1,1))</f>
        <v>406.64650428071837</v>
      </c>
      <c r="T162" s="62">
        <f t="shared" si="142"/>
        <v>250.47702091764884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3.509513372026906E-2</v>
      </c>
      <c r="AA162" s="23">
        <f>EXP(-LN(2)/25)*AA161+(1-EXP(-LN(2)/25))/(LN(2)/25)*Calculateur!V162*Calculateur!X162*VLOOKUP('Données projet'!$B$9,Paramètres!$A$1:$I$89,3,0)*0.475*44/12</f>
        <v>6.2907050857483146E-2</v>
      </c>
      <c r="AB162" s="23">
        <f>EXP(-LN(2)/2)*AB161+(1-EXP(-LN(2)/2))/(LN(2)/2)*V162*Y162*VLOOKUP('Données projet'!$B$9,Paramètres!$A$1:$I$89,3,0)*0.475*44/12</f>
        <v>5.2732854367527288E-19</v>
      </c>
      <c r="AC162" s="24">
        <f t="shared" si="163"/>
        <v>9.8002184577752199E-2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1.0286385077051818E-13</v>
      </c>
      <c r="P163" s="14">
        <f t="shared" si="141"/>
        <v>1.5402366592183556E-12</v>
      </c>
      <c r="Q163" s="22">
        <f t="shared" si="162"/>
        <v>2.8617333882306215E-12</v>
      </c>
      <c r="R163" s="62">
        <f t="shared" si="109"/>
        <v>287.7590775926912</v>
      </c>
      <c r="S163" s="62">
        <f ca="1">AVERAGE(OFFSET($R$3,0,0,'Données projet'!$E$9+1,1))-AVERAGE(OFFSET($H$3,0,0,'Données projet'!$E$9+1,1))</f>
        <v>406.64650428071837</v>
      </c>
      <c r="T163" s="62">
        <f t="shared" si="142"/>
        <v>250.47702091764884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3.4406939553932495E-2</v>
      </c>
      <c r="AA163" s="23">
        <f>EXP(-LN(2)/25)*AA162+(1-EXP(-LN(2)/25))/(LN(2)/25)*Calculateur!V163*Calculateur!X163*VLOOKUP('Données projet'!$B$9,Paramètres!$A$1:$I$89,3,0)*0.475*44/12</f>
        <v>6.118685424364724E-2</v>
      </c>
      <c r="AB163" s="23">
        <f>EXP(-LN(2)/2)*AB162+(1-EXP(-LN(2)/2))/(LN(2)/2)*V163*Y163*VLOOKUP('Données projet'!$B$9,Paramètres!$A$1:$I$89,3,0)*0.475*44/12</f>
        <v>3.7287758914601195E-19</v>
      </c>
      <c r="AC163" s="24">
        <f t="shared" si="163"/>
        <v>9.5593793797579735E-2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1.0286385077051818E-13</v>
      </c>
      <c r="P164" s="14">
        <f t="shared" si="141"/>
        <v>1.5402366592183556E-12</v>
      </c>
      <c r="Q164" s="22">
        <f t="shared" si="162"/>
        <v>2.8617333882306215E-12</v>
      </c>
      <c r="R164" s="62">
        <f t="shared" si="109"/>
        <v>287.85577846762254</v>
      </c>
      <c r="S164" s="62">
        <f ca="1">AVERAGE(OFFSET($R$3,0,0,'Données projet'!$E$9+1,1))-AVERAGE(OFFSET($H$3,0,0,'Données projet'!$E$9+1,1))</f>
        <v>406.64650428071837</v>
      </c>
      <c r="T164" s="62">
        <f t="shared" si="142"/>
        <v>250.47702091764884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3.3732240455440793E-2</v>
      </c>
      <c r="AA164" s="23">
        <f>EXP(-LN(2)/25)*AA163+(1-EXP(-LN(2)/25))/(LN(2)/25)*Calculateur!V164*Calculateur!X164*VLOOKUP('Données projet'!$B$9,Paramètres!$A$1:$I$89,3,0)*0.475*44/12</f>
        <v>5.9513696496677884E-2</v>
      </c>
      <c r="AB164" s="23">
        <f>EXP(-LN(2)/2)*AB163+(1-EXP(-LN(2)/2))/(LN(2)/2)*V164*Y164*VLOOKUP('Données projet'!$B$9,Paramètres!$A$1:$I$89,3,0)*0.475*44/12</f>
        <v>2.6366427183763644E-19</v>
      </c>
      <c r="AC164" s="24">
        <f t="shared" si="163"/>
        <v>9.3245936952118677E-2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1.0286385077051818E-13</v>
      </c>
      <c r="P165" s="14">
        <f t="shared" si="141"/>
        <v>1.5402366592183556E-12</v>
      </c>
      <c r="Q165" s="22">
        <f t="shared" si="162"/>
        <v>2.8617333882306215E-12</v>
      </c>
      <c r="R165" s="62">
        <f t="shared" si="109"/>
        <v>287.95080179856456</v>
      </c>
      <c r="S165" s="62">
        <f ca="1">AVERAGE(OFFSET($R$3,0,0,'Données projet'!$E$9+1,1))-AVERAGE(OFFSET($H$3,0,0,'Données projet'!$E$9+1,1))</f>
        <v>406.64650428071837</v>
      </c>
      <c r="T165" s="62">
        <f t="shared" si="142"/>
        <v>250.47702091764884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3.3070771794744699E-2</v>
      </c>
      <c r="AA165" s="23">
        <f>EXP(-LN(2)/25)*AA164+(1-EXP(-LN(2)/25))/(LN(2)/25)*Calculateur!V165*Calculateur!X165*VLOOKUP('Données projet'!$B$9,Paramètres!$A$1:$I$89,3,0)*0.475*44/12</f>
        <v>5.7886291336286949E-2</v>
      </c>
      <c r="AB165" s="23">
        <f>EXP(-LN(2)/2)*AB164+(1-EXP(-LN(2)/2))/(LN(2)/2)*V165*Y165*VLOOKUP('Données projet'!$B$9,Paramètres!$A$1:$I$89,3,0)*0.475*44/12</f>
        <v>1.8643879457300598E-19</v>
      </c>
      <c r="AC165" s="24">
        <f t="shared" si="163"/>
        <v>9.0957063131031649E-2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1.0286385077051818E-13</v>
      </c>
      <c r="P166" s="14">
        <f t="shared" si="141"/>
        <v>1.5402366592183556E-12</v>
      </c>
      <c r="Q166" s="22">
        <f t="shared" si="162"/>
        <v>2.8617333882306215E-12</v>
      </c>
      <c r="R166" s="62">
        <f t="shared" si="109"/>
        <v>288.04417668715507</v>
      </c>
      <c r="S166" s="62">
        <f ca="1">AVERAGE(OFFSET($R$3,0,0,'Données projet'!$E$9+1,1))-AVERAGE(OFFSET($H$3,0,0,'Données projet'!$E$9+1,1))</f>
        <v>406.64650428071837</v>
      </c>
      <c r="T166" s="62">
        <f t="shared" si="142"/>
        <v>250.47702091764884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3.2422274131028814E-2</v>
      </c>
      <c r="AA166" s="23">
        <f>EXP(-LN(2)/25)*AA165+(1-EXP(-LN(2)/25))/(LN(2)/25)*Calculateur!V166*Calculateur!X166*VLOOKUP('Données projet'!$B$9,Paramètres!$A$1:$I$89,3,0)*0.475*44/12</f>
        <v>5.630338765558842E-2</v>
      </c>
      <c r="AB166" s="23">
        <f>EXP(-LN(2)/2)*AB165+(1-EXP(-LN(2)/2))/(LN(2)/2)*V166*Y166*VLOOKUP('Données projet'!$B$9,Paramètres!$A$1:$I$89,3,0)*0.475*44/12</f>
        <v>1.3183213591881822E-19</v>
      </c>
      <c r="AC166" s="24">
        <f t="shared" si="163"/>
        <v>8.8725661786617227E-2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1.0286385077051818E-13</v>
      </c>
      <c r="P167" s="14">
        <f t="shared" si="141"/>
        <v>1.5402366592183556E-12</v>
      </c>
      <c r="Q167" s="22">
        <f t="shared" si="162"/>
        <v>2.8617333882306215E-12</v>
      </c>
      <c r="R167" s="62">
        <f t="shared" si="109"/>
        <v>288.13593173018353</v>
      </c>
      <c r="S167" s="62">
        <f ca="1">AVERAGE(OFFSET($R$3,0,0,'Données projet'!$E$9+1,1))-AVERAGE(OFFSET($H$3,0,0,'Données projet'!$E$9+1,1))</f>
        <v>406.64650428071837</v>
      </c>
      <c r="T167" s="62">
        <f t="shared" si="142"/>
        <v>250.47702091764884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3.1786493110953877E-2</v>
      </c>
      <c r="AA167" s="23">
        <f>EXP(-LN(2)/25)*AA166+(1-EXP(-LN(2)/25))/(LN(2)/25)*Calculateur!V167*Calculateur!X167*VLOOKUP('Données projet'!$B$9,Paramètres!$A$1:$I$89,3,0)*0.475*44/12</f>
        <v>5.4763768559279884E-2</v>
      </c>
      <c r="AB167" s="23">
        <f>EXP(-LN(2)/2)*AB166+(1-EXP(-LN(2)/2))/(LN(2)/2)*V167*Y167*VLOOKUP('Données projet'!$B$9,Paramètres!$A$1:$I$89,3,0)*0.475*44/12</f>
        <v>9.3219397286502988E-20</v>
      </c>
      <c r="AC167" s="24">
        <f t="shared" si="163"/>
        <v>8.6550261670233761E-2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1.0286385077051818E-13</v>
      </c>
      <c r="P168" s="14">
        <f t="shared" si="141"/>
        <v>1.5402366592183556E-12</v>
      </c>
      <c r="Q168" s="22">
        <f t="shared" si="162"/>
        <v>2.8617333882306215E-12</v>
      </c>
      <c r="R168" s="62">
        <f t="shared" si="109"/>
        <v>288.22609502834899</v>
      </c>
      <c r="S168" s="62">
        <f ca="1">AVERAGE(OFFSET($R$3,0,0,'Données projet'!$E$9+1,1))-AVERAGE(OFFSET($H$3,0,0,'Données projet'!$E$9+1,1))</f>
        <v>406.64650428071837</v>
      </c>
      <c r="T168" s="62">
        <f t="shared" si="142"/>
        <v>250.47702091764884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3.1163179368894477E-2</v>
      </c>
      <c r="AA168" s="23">
        <f>EXP(-LN(2)/25)*AA167+(1-EXP(-LN(2)/25))/(LN(2)/25)*Calculateur!V168*Calculateur!X168*VLOOKUP('Données projet'!$B$9,Paramètres!$A$1:$I$89,3,0)*0.475*44/12</f>
        <v>5.3266250428124953E-2</v>
      </c>
      <c r="AB168" s="23">
        <f>EXP(-LN(2)/2)*AB167+(1-EXP(-LN(2)/2))/(LN(2)/2)*V168*Y168*VLOOKUP('Données projet'!$B$9,Paramètres!$A$1:$I$89,3,0)*0.475*44/12</f>
        <v>6.5916067959409109E-20</v>
      </c>
      <c r="AC168" s="24">
        <f t="shared" si="163"/>
        <v>8.4429429797019423E-2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1.0286385077051818E-13</v>
      </c>
      <c r="P169" s="14">
        <f t="shared" si="141"/>
        <v>1.5402366592183556E-12</v>
      </c>
      <c r="Q169" s="22">
        <f t="shared" si="162"/>
        <v>2.8617333882306215E-12</v>
      </c>
      <c r="R169" s="62">
        <f t="shared" si="109"/>
        <v>288.31469419486626</v>
      </c>
      <c r="S169" s="62">
        <f ca="1">AVERAGE(OFFSET($R$3,0,0,'Données projet'!$E$9+1,1))-AVERAGE(OFFSET($H$3,0,0,'Données projet'!$E$9+1,1))</f>
        <v>406.64650428071837</v>
      </c>
      <c r="T169" s="62">
        <f t="shared" si="142"/>
        <v>250.47702091764884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3.0552088429133019E-2</v>
      </c>
      <c r="AA169" s="23">
        <f>EXP(-LN(2)/25)*AA168+(1-EXP(-LN(2)/25))/(LN(2)/25)*Calculateur!V169*Calculateur!X169*VLOOKUP('Données projet'!$B$9,Paramètres!$A$1:$I$89,3,0)*0.475*44/12</f>
        <v>5.1809682009017505E-2</v>
      </c>
      <c r="AB169" s="23">
        <f>EXP(-LN(2)/2)*AB168+(1-EXP(-LN(2)/2))/(LN(2)/2)*V169*Y169*VLOOKUP('Données projet'!$B$9,Paramètres!$A$1:$I$89,3,0)*0.475*44/12</f>
        <v>4.6609698643251494E-20</v>
      </c>
      <c r="AC169" s="24">
        <f t="shared" si="163"/>
        <v>8.2361770438150517E-2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1.0286385077051818E-13</v>
      </c>
      <c r="P170" s="14">
        <f t="shared" si="141"/>
        <v>1.5402366592183556E-12</v>
      </c>
      <c r="Q170" s="22">
        <f t="shared" si="162"/>
        <v>2.8617333882306215E-12</v>
      </c>
      <c r="R170" s="62">
        <f t="shared" si="109"/>
        <v>288.40175636392246</v>
      </c>
      <c r="S170" s="62">
        <f ca="1">AVERAGE(OFFSET($R$3,0,0,'Données projet'!$E$9+1,1))-AVERAGE(OFFSET($H$3,0,0,'Données projet'!$E$9+1,1))</f>
        <v>406.64650428071837</v>
      </c>
      <c r="T170" s="62">
        <f t="shared" si="142"/>
        <v>250.47702091764884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2.9952980609971615E-2</v>
      </c>
      <c r="AA170" s="23">
        <f>EXP(-LN(2)/25)*AA169+(1-EXP(-LN(2)/25))/(LN(2)/25)*Calculateur!V170*Calculateur!X170*VLOOKUP('Données projet'!$B$9,Paramètres!$A$1:$I$89,3,0)*0.475*44/12</f>
        <v>5.0392943529928159E-2</v>
      </c>
      <c r="AB170" s="23">
        <f>EXP(-LN(2)/2)*AB169+(1-EXP(-LN(2)/2))/(LN(2)/2)*V170*Y170*VLOOKUP('Données projet'!$B$9,Paramètres!$A$1:$I$89,3,0)*0.475*44/12</f>
        <v>3.2958033979704555E-20</v>
      </c>
      <c r="AC170" s="24">
        <f t="shared" si="163"/>
        <v>8.0345924139899771E-2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1.0286385077051818E-13</v>
      </c>
      <c r="P171" s="14">
        <f t="shared" si="141"/>
        <v>1.5402366592183556E-12</v>
      </c>
      <c r="Q171" s="22">
        <f t="shared" si="162"/>
        <v>2.8617333882306215E-12</v>
      </c>
      <c r="R171" s="62">
        <f t="shared" si="109"/>
        <v>288.48730819898736</v>
      </c>
      <c r="S171" s="62">
        <f ca="1">AVERAGE(OFFSET($R$3,0,0,'Données projet'!$E$9+1,1))-AVERAGE(OFFSET($H$3,0,0,'Données projet'!$E$9+1,1))</f>
        <v>406.64650428071837</v>
      </c>
      <c r="T171" s="62">
        <f t="shared" si="142"/>
        <v>250.47702091764884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2.9365620929724279E-2</v>
      </c>
      <c r="AA171" s="23">
        <f>EXP(-LN(2)/25)*AA170+(1-EXP(-LN(2)/25))/(LN(2)/25)*Calculateur!V171*Calculateur!X171*VLOOKUP('Données projet'!$B$9,Paramètres!$A$1:$I$89,3,0)*0.475*44/12</f>
        <v>4.9014945839052547E-2</v>
      </c>
      <c r="AB171" s="23">
        <f>EXP(-LN(2)/2)*AB170+(1-EXP(-LN(2)/2))/(LN(2)/2)*V171*Y171*VLOOKUP('Données projet'!$B$9,Paramètres!$A$1:$I$89,3,0)*0.475*44/12</f>
        <v>2.3304849321625747E-20</v>
      </c>
      <c r="AC171" s="24">
        <f t="shared" si="163"/>
        <v>7.8380566768776833E-2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1.0286385077051818E-13</v>
      </c>
      <c r="P172" s="14">
        <f t="shared" si="141"/>
        <v>1.5402366592183556E-12</v>
      </c>
      <c r="Q172" s="22">
        <f t="shared" si="162"/>
        <v>2.8617333882306215E-12</v>
      </c>
      <c r="R172" s="62">
        <f t="shared" si="109"/>
        <v>288.57137590097926</v>
      </c>
      <c r="S172" s="62">
        <f ca="1">AVERAGE(OFFSET($R$3,0,0,'Données projet'!$E$9+1,1))-AVERAGE(OFFSET($H$3,0,0,'Données projet'!$E$9+1,1))</f>
        <v>406.64650428071837</v>
      </c>
      <c r="T172" s="62">
        <f t="shared" si="142"/>
        <v>250.47702091764884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2.8789779014552562E-2</v>
      </c>
      <c r="AA172" s="23">
        <f>EXP(-LN(2)/25)*AA171+(1-EXP(-LN(2)/25))/(LN(2)/25)*Calculateur!V172*Calculateur!X172*VLOOKUP('Données projet'!$B$9,Paramètres!$A$1:$I$89,3,0)*0.475*44/12</f>
        <v>4.7674629567499675E-2</v>
      </c>
      <c r="AB172" s="23">
        <f>EXP(-LN(2)/2)*AB171+(1-EXP(-LN(2)/2))/(LN(2)/2)*V172*Y172*VLOOKUP('Données projet'!$B$9,Paramètres!$A$1:$I$89,3,0)*0.475*44/12</f>
        <v>1.6479016989852277E-20</v>
      </c>
      <c r="AC172" s="24">
        <f t="shared" si="163"/>
        <v>7.6464408582052237E-2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1.0286385077051818E-13</v>
      </c>
      <c r="P173" s="14">
        <f t="shared" si="141"/>
        <v>1.5402366592183556E-12</v>
      </c>
      <c r="Q173" s="22">
        <f t="shared" si="162"/>
        <v>2.8617333882306215E-12</v>
      </c>
      <c r="R173" s="62">
        <f t="shared" si="109"/>
        <v>288.65398521628873</v>
      </c>
      <c r="S173" s="62">
        <f ca="1">AVERAGE(OFFSET($R$3,0,0,'Données projet'!$E$9+1,1))-AVERAGE(OFFSET($H$3,0,0,'Données projet'!$E$9+1,1))</f>
        <v>406.64650428071837</v>
      </c>
      <c r="T173" s="62">
        <f t="shared" si="142"/>
        <v>250.47702091764884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2.8225229008108477E-2</v>
      </c>
      <c r="AA173" s="23">
        <f>EXP(-LN(2)/25)*AA172+(1-EXP(-LN(2)/25))/(LN(2)/25)*Calculateur!V173*Calculateur!X173*VLOOKUP('Données projet'!$B$9,Paramètres!$A$1:$I$89,3,0)*0.475*44/12</f>
        <v>4.6370964314876591E-2</v>
      </c>
      <c r="AB173" s="23">
        <f>EXP(-LN(2)/2)*AB172+(1-EXP(-LN(2)/2))/(LN(2)/2)*V173*Y173*VLOOKUP('Données projet'!$B$9,Paramètres!$A$1:$I$89,3,0)*0.475*44/12</f>
        <v>1.1652424660812874E-20</v>
      </c>
      <c r="AC173" s="24">
        <f t="shared" si="163"/>
        <v>7.459619332298506E-2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1.0286385077051818E-13</v>
      </c>
      <c r="P174" s="14">
        <f t="shared" si="141"/>
        <v>1.5402366592183556E-12</v>
      </c>
      <c r="Q174" s="22">
        <f t="shared" si="162"/>
        <v>2.8617333882306215E-12</v>
      </c>
      <c r="R174" s="62">
        <f t="shared" si="109"/>
        <v>288.73516144466436</v>
      </c>
      <c r="S174" s="62">
        <f ca="1">AVERAGE(OFFSET($R$3,0,0,'Données projet'!$E$9+1,1))-AVERAGE(OFFSET($H$3,0,0,'Données projet'!$E$9+1,1))</f>
        <v>406.64650428071837</v>
      </c>
      <c r="T174" s="62">
        <f t="shared" si="142"/>
        <v>250.47702091764884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2.7671749482949256E-2</v>
      </c>
      <c r="AA174" s="23">
        <f>EXP(-LN(2)/25)*AA173+(1-EXP(-LN(2)/25))/(LN(2)/25)*Calculateur!V174*Calculateur!X174*VLOOKUP('Données projet'!$B$9,Paramètres!$A$1:$I$89,3,0)*0.475*44/12</f>
        <v>4.5102947857143257E-2</v>
      </c>
      <c r="AB174" s="23">
        <f>EXP(-LN(2)/2)*AB173+(1-EXP(-LN(2)/2))/(LN(2)/2)*V174*Y174*VLOOKUP('Données projet'!$B$9,Paramètres!$A$1:$I$89,3,0)*0.475*44/12</f>
        <v>8.2395084949261387E-21</v>
      </c>
      <c r="AC174" s="24">
        <f t="shared" si="163"/>
        <v>7.2774697340092509E-2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1.0286385077051818E-13</v>
      </c>
      <c r="P175" s="14">
        <f t="shared" si="141"/>
        <v>1.5402366592183556E-12</v>
      </c>
      <c r="Q175" s="22">
        <f t="shared" si="162"/>
        <v>2.8617333882306215E-12</v>
      </c>
      <c r="R175" s="62">
        <f t="shared" si="109"/>
        <v>288.81492944696049</v>
      </c>
      <c r="S175" s="62">
        <f ca="1">AVERAGE(OFFSET($R$3,0,0,'Données projet'!$E$9+1,1))-AVERAGE(OFFSET($H$3,0,0,'Données projet'!$E$9+1,1))</f>
        <v>406.64650428071837</v>
      </c>
      <c r="T175" s="62">
        <f t="shared" si="142"/>
        <v>250.47702091764884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2.7129123353689232E-2</v>
      </c>
      <c r="AA175" s="23">
        <f>EXP(-LN(2)/25)*AA174+(1-EXP(-LN(2)/25))/(LN(2)/25)*Calculateur!V175*Calculateur!X175*VLOOKUP('Données projet'!$B$9,Paramètres!$A$1:$I$89,3,0)*0.475*44/12</f>
        <v>4.3869605376128731E-2</v>
      </c>
      <c r="AB175" s="23">
        <f>EXP(-LN(2)/2)*AB174+(1-EXP(-LN(2)/2))/(LN(2)/2)*V175*Y175*VLOOKUP('Données projet'!$B$9,Paramètres!$A$1:$I$89,3,0)*0.475*44/12</f>
        <v>5.8262123304064368E-21</v>
      </c>
      <c r="AC175" s="24">
        <f t="shared" si="163"/>
        <v>7.0998728729817967E-2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1.0286385077051818E-13</v>
      </c>
      <c r="P176" s="14">
        <f t="shared" si="141"/>
        <v>1.5402366592183556E-12</v>
      </c>
      <c r="Q176" s="22">
        <f t="shared" si="162"/>
        <v>2.8617333882306215E-12</v>
      </c>
      <c r="R176" s="62">
        <f t="shared" si="109"/>
        <v>288.89331365275132</v>
      </c>
      <c r="S176" s="62">
        <f ca="1">AVERAGE(OFFSET($R$3,0,0,'Données projet'!$E$9+1,1))-AVERAGE(OFFSET($H$3,0,0,'Données projet'!$E$9+1,1))</f>
        <v>406.64650428071837</v>
      </c>
      <c r="T176" s="62">
        <f t="shared" si="142"/>
        <v>250.47702091764884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2.6597137791854738E-2</v>
      </c>
      <c r="AA176" s="23">
        <f>EXP(-LN(2)/25)*AA175+(1-EXP(-LN(2)/25))/(LN(2)/25)*Calculateur!V176*Calculateur!X176*VLOOKUP('Données projet'!$B$9,Paramètres!$A$1:$I$89,3,0)*0.475*44/12</f>
        <v>4.2669988710116208E-2</v>
      </c>
      <c r="AB176" s="23">
        <f>EXP(-LN(2)/2)*AB175+(1-EXP(-LN(2)/2))/(LN(2)/2)*V176*Y176*VLOOKUP('Données projet'!$B$9,Paramètres!$A$1:$I$89,3,0)*0.475*44/12</f>
        <v>4.1197542474630693E-21</v>
      </c>
      <c r="AC176" s="24">
        <f t="shared" si="163"/>
        <v>6.9267126501970949E-2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1.0286385077051818E-13</v>
      </c>
      <c r="P177" s="14">
        <f t="shared" si="141"/>
        <v>1.5402366592183556E-12</v>
      </c>
      <c r="Q177" s="22">
        <f t="shared" si="162"/>
        <v>2.8617333882306215E-12</v>
      </c>
      <c r="R177" s="62">
        <f t="shared" si="109"/>
        <v>288.97033806781258</v>
      </c>
      <c r="S177" s="62">
        <f ca="1">AVERAGE(OFFSET($R$3,0,0,'Données projet'!$E$9+1,1))-AVERAGE(OFFSET($H$3,0,0,'Données projet'!$E$9+1,1))</f>
        <v>406.64650428071837</v>
      </c>
      <c r="T177" s="62">
        <f t="shared" si="142"/>
        <v>250.47702091764884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2.6075584142408667E-2</v>
      </c>
      <c r="AA177" s="23">
        <f>EXP(-LN(2)/25)*AA176+(1-EXP(-LN(2)/25))/(LN(2)/25)*Calculateur!V177*Calculateur!X177*VLOOKUP('Données projet'!$B$9,Paramètres!$A$1:$I$89,3,0)*0.475*44/12</f>
        <v>4.1503175624920896E-2</v>
      </c>
      <c r="AB177" s="23">
        <f>EXP(-LN(2)/2)*AB176+(1-EXP(-LN(2)/2))/(LN(2)/2)*V177*Y177*VLOOKUP('Données projet'!$B$9,Paramètres!$A$1:$I$89,3,0)*0.475*44/12</f>
        <v>2.9131061652032184E-21</v>
      </c>
      <c r="AC177" s="24">
        <f t="shared" si="163"/>
        <v>6.7578759767329563E-2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1.0286385077051818E-13</v>
      </c>
      <c r="P178" s="14">
        <f t="shared" si="141"/>
        <v>1.5402366592183556E-12</v>
      </c>
      <c r="Q178" s="22">
        <f t="shared" si="162"/>
        <v>2.8617333882306215E-12</v>
      </c>
      <c r="R178" s="62">
        <f t="shared" si="109"/>
        <v>289.04602628147325</v>
      </c>
      <c r="S178" s="62">
        <f ca="1">AVERAGE(OFFSET($R$3,0,0,'Données projet'!$E$9+1,1))-AVERAGE(OFFSET($H$3,0,0,'Données projet'!$E$9+1,1))</f>
        <v>406.64650428071837</v>
      </c>
      <c r="T178" s="62">
        <f t="shared" si="142"/>
        <v>250.47702091764884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2.5564257841911919E-2</v>
      </c>
      <c r="AA178" s="23">
        <f>EXP(-LN(2)/25)*AA177+(1-EXP(-LN(2)/25))/(LN(2)/25)*Calculateur!V178*Calculateur!X178*VLOOKUP('Données projet'!$B$9,Paramètres!$A$1:$I$89,3,0)*0.475*44/12</f>
        <v>4.0368269104900288E-2</v>
      </c>
      <c r="AB178" s="23">
        <f>EXP(-LN(2)/2)*AB177+(1-EXP(-LN(2)/2))/(LN(2)/2)*V178*Y178*VLOOKUP('Données projet'!$B$9,Paramètres!$A$1:$I$89,3,0)*0.475*44/12</f>
        <v>2.0598771237315347E-21</v>
      </c>
      <c r="AC178" s="24">
        <f t="shared" si="163"/>
        <v>6.5932526946812203E-2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1.0286385077051818E-13</v>
      </c>
      <c r="P179" s="14">
        <f t="shared" si="141"/>
        <v>1.5402366592183556E-12</v>
      </c>
      <c r="Q179" s="22">
        <f t="shared" si="162"/>
        <v>2.8617333882306215E-12</v>
      </c>
      <c r="R179" s="62">
        <f t="shared" si="109"/>
        <v>289.12040147384045</v>
      </c>
      <c r="S179" s="62">
        <f ca="1">AVERAGE(OFFSET($R$3,0,0,'Données projet'!$E$9+1,1))-AVERAGE(OFFSET($H$3,0,0,'Données projet'!$E$9+1,1))</f>
        <v>406.64650428071837</v>
      </c>
      <c r="T179" s="62">
        <f t="shared" si="142"/>
        <v>250.47702091764884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2.5062958338289663E-2</v>
      </c>
      <c r="AA179" s="23">
        <f>EXP(-LN(2)/25)*AA178+(1-EXP(-LN(2)/25))/(LN(2)/25)*Calculateur!V179*Calculateur!X179*VLOOKUP('Données projet'!$B$9,Paramètres!$A$1:$I$89,3,0)*0.475*44/12</f>
        <v>3.9264396663351783E-2</v>
      </c>
      <c r="AB179" s="23">
        <f>EXP(-LN(2)/2)*AB178+(1-EXP(-LN(2)/2))/(LN(2)/2)*V179*Y179*VLOOKUP('Données projet'!$B$9,Paramètres!$A$1:$I$89,3,0)*0.475*44/12</f>
        <v>1.4565530826016092E-21</v>
      </c>
      <c r="AC179" s="24">
        <f t="shared" si="163"/>
        <v>6.432735500164144E-2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1.0286385077051818E-13</v>
      </c>
      <c r="P180" s="14">
        <f t="shared" si="141"/>
        <v>1.5402366592183556E-12</v>
      </c>
      <c r="Q180" s="22">
        <f t="shared" si="162"/>
        <v>2.8617333882306215E-12</v>
      </c>
      <c r="R180" s="62">
        <f t="shared" si="109"/>
        <v>289.1934864228981</v>
      </c>
      <c r="S180" s="62">
        <f ca="1">AVERAGE(OFFSET($R$3,0,0,'Données projet'!$E$9+1,1))-AVERAGE(OFFSET($H$3,0,0,'Données projet'!$E$9+1,1))</f>
        <v>406.64650428071837</v>
      </c>
      <c r="T180" s="62">
        <f t="shared" si="142"/>
        <v>250.47702091764884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2.4571489012170933E-2</v>
      </c>
      <c r="AA180" s="23">
        <f>EXP(-LN(2)/25)*AA179+(1-EXP(-LN(2)/25))/(LN(2)/25)*Calculateur!V180*Calculateur!X180*VLOOKUP('Données projet'!$B$9,Paramètres!$A$1:$I$89,3,0)*0.475*44/12</f>
        <v>3.8190709671767548E-2</v>
      </c>
      <c r="AB180" s="23">
        <f>EXP(-LN(2)/2)*AB179+(1-EXP(-LN(2)/2))/(LN(2)/2)*V180*Y180*VLOOKUP('Données projet'!$B$9,Paramètres!$A$1:$I$89,3,0)*0.475*44/12</f>
        <v>1.0299385618657673E-21</v>
      </c>
      <c r="AC180" s="24">
        <f t="shared" si="163"/>
        <v>6.276219868393848E-2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1.0286385077051818E-13</v>
      </c>
      <c r="P181" s="14">
        <f t="shared" si="141"/>
        <v>1.5402366592183556E-12</v>
      </c>
      <c r="Q181" s="22">
        <f t="shared" si="162"/>
        <v>2.8617333882306215E-12</v>
      </c>
      <c r="R181" s="62">
        <f t="shared" si="109"/>
        <v>289.26530351148301</v>
      </c>
      <c r="S181" s="62">
        <f ca="1">AVERAGE(OFFSET($R$3,0,0,'Données projet'!$E$9+1,1))-AVERAGE(OFFSET($H$3,0,0,'Données projet'!$E$9+1,1))</f>
        <v>406.64650428071837</v>
      </c>
      <c r="T181" s="62">
        <f t="shared" si="142"/>
        <v>250.47702091764884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2.4089657099770703E-2</v>
      </c>
      <c r="AA181" s="23">
        <f>EXP(-LN(2)/25)*AA180+(1-EXP(-LN(2)/25))/(LN(2)/25)*Calculateur!V181*Calculateur!X181*VLOOKUP('Données projet'!$B$9,Paramètres!$A$1:$I$89,3,0)*0.475*44/12</f>
        <v>3.7146382707430925E-2</v>
      </c>
      <c r="AB181" s="23">
        <f>EXP(-LN(2)/2)*AB180+(1-EXP(-LN(2)/2))/(LN(2)/2)*V181*Y181*VLOOKUP('Données projet'!$B$9,Paramètres!$A$1:$I$89,3,0)*0.475*44/12</f>
        <v>7.2827654130080459E-22</v>
      </c>
      <c r="AC181" s="24">
        <f t="shared" si="163"/>
        <v>6.1236039807201631E-2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1.0286385077051818E-13</v>
      </c>
      <c r="P182" s="14">
        <f t="shared" si="141"/>
        <v>1.5402366592183556E-12</v>
      </c>
      <c r="Q182" s="22">
        <f t="shared" si="162"/>
        <v>2.8617333882306215E-12</v>
      </c>
      <c r="R182" s="62">
        <f t="shared" si="109"/>
        <v>289.33587473413996</v>
      </c>
      <c r="S182" s="62">
        <f ca="1">AVERAGE(OFFSET($R$3,0,0,'Données projet'!$E$9+1,1))-AVERAGE(OFFSET($H$3,0,0,'Données projet'!$E$9+1,1))</f>
        <v>406.64650428071837</v>
      </c>
      <c r="T182" s="62">
        <f t="shared" si="142"/>
        <v>250.47702091764884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2.3617273617284194E-2</v>
      </c>
      <c r="AA182" s="23">
        <f>EXP(-LN(2)/25)*AA181+(1-EXP(-LN(2)/25))/(LN(2)/25)*Calculateur!V182*Calculateur!X182*VLOOKUP('Données projet'!$B$9,Paramètres!$A$1:$I$89,3,0)*0.475*44/12</f>
        <v>3.6130612918852861E-2</v>
      </c>
      <c r="AB182" s="23">
        <f>EXP(-LN(2)/2)*AB181+(1-EXP(-LN(2)/2))/(LN(2)/2)*V182*Y182*VLOOKUP('Données projet'!$B$9,Paramètres!$A$1:$I$89,3,0)*0.475*44/12</f>
        <v>5.1496928093288367E-22</v>
      </c>
      <c r="AC182" s="24">
        <f t="shared" si="163"/>
        <v>5.9747886536137051E-2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1.0286385077051818E-13</v>
      </c>
      <c r="P183" s="14">
        <f t="shared" si="141"/>
        <v>1.5402366592183556E-12</v>
      </c>
      <c r="Q183" s="22">
        <f t="shared" si="162"/>
        <v>2.8617333882306215E-12</v>
      </c>
      <c r="R183" s="62">
        <f t="shared" si="109"/>
        <v>289.40522170385748</v>
      </c>
      <c r="S183" s="62">
        <f ca="1">AVERAGE(OFFSET($R$3,0,0,'Données projet'!$E$9+1,1))-AVERAGE(OFFSET($H$3,0,0,'Données projet'!$E$9+1,1))</f>
        <v>406.64650428071837</v>
      </c>
      <c r="T183" s="62">
        <f t="shared" si="142"/>
        <v>250.47702091764884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2.3154153286763769E-2</v>
      </c>
      <c r="AA183" s="23">
        <f>EXP(-LN(2)/25)*AA182+(1-EXP(-LN(2)/25))/(LN(2)/25)*Calculateur!V183*Calculateur!X183*VLOOKUP('Données projet'!$B$9,Paramètres!$A$1:$I$89,3,0)*0.475*44/12</f>
        <v>3.5142619408560477E-2</v>
      </c>
      <c r="AB183" s="23">
        <f>EXP(-LN(2)/2)*AB182+(1-EXP(-LN(2)/2))/(LN(2)/2)*V183*Y183*VLOOKUP('Données projet'!$B$9,Paramètres!$A$1:$I$89,3,0)*0.475*44/12</f>
        <v>3.641382706504023E-22</v>
      </c>
      <c r="AC183" s="24">
        <f t="shared" si="163"/>
        <v>5.8296772695324246E-2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1.0286385077051818E-13</v>
      </c>
      <c r="P184" s="14">
        <f t="shared" si="141"/>
        <v>1.5402366592183556E-12</v>
      </c>
      <c r="Q184" s="22">
        <f t="shared" si="162"/>
        <v>2.8617333882306215E-12</v>
      </c>
      <c r="R184" s="62">
        <f t="shared" si="109"/>
        <v>289.47336565868693</v>
      </c>
      <c r="S184" s="62">
        <f ca="1">AVERAGE(OFFSET($R$3,0,0,'Données projet'!$E$9+1,1))-AVERAGE(OFFSET($H$3,0,0,'Données projet'!$E$9+1,1))</f>
        <v>406.64650428071837</v>
      </c>
      <c r="T184" s="62">
        <f t="shared" si="142"/>
        <v>250.47702091764884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2.2700114463449342E-2</v>
      </c>
      <c r="AA184" s="23">
        <f>EXP(-LN(2)/25)*AA183+(1-EXP(-LN(2)/25))/(LN(2)/25)*Calculateur!V184*Calculateur!X184*VLOOKUP('Données projet'!$B$9,Paramètres!$A$1:$I$89,3,0)*0.475*44/12</f>
        <v>3.4181642632763354E-2</v>
      </c>
      <c r="AB184" s="23">
        <f>EXP(-LN(2)/2)*AB183+(1-EXP(-LN(2)/2))/(LN(2)/2)*V184*Y184*VLOOKUP('Données projet'!$B$9,Paramètres!$A$1:$I$89,3,0)*0.475*44/12</f>
        <v>2.5748464046644183E-22</v>
      </c>
      <c r="AC184" s="24">
        <f t="shared" si="163"/>
        <v>5.6881757096212696E-2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1.0286385077051818E-13</v>
      </c>
      <c r="P185" s="14">
        <f t="shared" si="141"/>
        <v>1.5402366592183556E-12</v>
      </c>
      <c r="Q185" s="22">
        <f t="shared" si="162"/>
        <v>2.8617333882306215E-12</v>
      </c>
      <c r="R185" s="62">
        <f t="shared" si="109"/>
        <v>289.54032746824726</v>
      </c>
      <c r="S185" s="62">
        <f ca="1">AVERAGE(OFFSET($R$3,0,0,'Données projet'!$E$9+1,1))-AVERAGE(OFFSET($H$3,0,0,'Données projet'!$E$9+1,1))</f>
        <v>406.64650428071837</v>
      </c>
      <c r="T185" s="62">
        <f t="shared" si="142"/>
        <v>250.47702091764884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2.2254979064523773E-2</v>
      </c>
      <c r="AA185" s="23">
        <f>EXP(-LN(2)/25)*AA184+(1-EXP(-LN(2)/25))/(LN(2)/25)*Calculateur!V185*Calculateur!X185*VLOOKUP('Données projet'!$B$9,Paramètres!$A$1:$I$89,3,0)*0.475*44/12</f>
        <v>3.3246943817435974E-2</v>
      </c>
      <c r="AB185" s="23">
        <f>EXP(-LN(2)/2)*AB184+(1-EXP(-LN(2)/2))/(LN(2)/2)*V185*Y185*VLOOKUP('Données projet'!$B$9,Paramètres!$A$1:$I$89,3,0)*0.475*44/12</f>
        <v>1.8206913532520115E-22</v>
      </c>
      <c r="AC185" s="24">
        <f t="shared" si="163"/>
        <v>5.550192288195975E-2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1.0286385077051818E-13</v>
      </c>
      <c r="P186" s="14">
        <f t="shared" si="141"/>
        <v>1.5402366592183556E-12</v>
      </c>
      <c r="Q186" s="22">
        <f t="shared" si="162"/>
        <v>2.8617333882306215E-12</v>
      </c>
      <c r="R186" s="62">
        <f t="shared" si="109"/>
        <v>289.6061276401158</v>
      </c>
      <c r="S186" s="62">
        <f ca="1">AVERAGE(OFFSET($R$3,0,0,'Données projet'!$E$9+1,1))-AVERAGE(OFFSET($H$3,0,0,'Données projet'!$E$9+1,1))</f>
        <v>406.64650428071837</v>
      </c>
      <c r="T186" s="62">
        <f t="shared" si="142"/>
        <v>250.47702091764884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2.1818572499265349E-2</v>
      </c>
      <c r="AA186" s="23">
        <f>EXP(-LN(2)/25)*AA185+(1-EXP(-LN(2)/25))/(LN(2)/25)*Calculateur!V186*Calculateur!X186*VLOOKUP('Données projet'!$B$9,Paramètres!$A$1:$I$89,3,0)*0.475*44/12</f>
        <v>3.2337804390367396E-2</v>
      </c>
      <c r="AB186" s="23">
        <f>EXP(-LN(2)/2)*AB185+(1-EXP(-LN(2)/2))/(LN(2)/2)*V186*Y186*VLOOKUP('Données projet'!$B$9,Paramètres!$A$1:$I$89,3,0)*0.475*44/12</f>
        <v>1.2874232023322092E-22</v>
      </c>
      <c r="AC186" s="24">
        <f t="shared" si="163"/>
        <v>5.4156376889632749E-2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1.0286385077051818E-13</v>
      </c>
      <c r="P187" s="14">
        <f t="shared" si="141"/>
        <v>1.5402366592183556E-12</v>
      </c>
      <c r="Q187" s="22">
        <f t="shared" si="162"/>
        <v>2.8617333882306215E-12</v>
      </c>
      <c r="R187" s="62">
        <f t="shared" si="109"/>
        <v>289.67078632610958</v>
      </c>
      <c r="S187" s="62">
        <f ca="1">AVERAGE(OFFSET($R$3,0,0,'Données projet'!$E$9+1,1))-AVERAGE(OFFSET($H$3,0,0,'Données projet'!$E$9+1,1))</f>
        <v>406.64650428071837</v>
      </c>
      <c r="T187" s="62">
        <f t="shared" si="142"/>
        <v>250.47702091764884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2.1390723600569924E-2</v>
      </c>
      <c r="AA187" s="23">
        <f>EXP(-LN(2)/25)*AA186+(1-EXP(-LN(2)/25))/(LN(2)/25)*Calculateur!V187*Calculateur!X187*VLOOKUP('Données projet'!$B$9,Paramètres!$A$1:$I$89,3,0)*0.475*44/12</f>
        <v>3.1453525428741573E-2</v>
      </c>
      <c r="AB187" s="23">
        <f>EXP(-LN(2)/2)*AB186+(1-EXP(-LN(2)/2))/(LN(2)/2)*V187*Y187*VLOOKUP('Données projet'!$B$9,Paramètres!$A$1:$I$89,3,0)*0.475*44/12</f>
        <v>9.1034567662600574E-23</v>
      </c>
      <c r="AC187" s="24">
        <f t="shared" si="163"/>
        <v>5.2844249029311494E-2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1.0286385077051818E-13</v>
      </c>
      <c r="P188" s="14">
        <f t="shared" si="141"/>
        <v>1.5402366592183556E-12</v>
      </c>
      <c r="Q188" s="22">
        <f t="shared" si="162"/>
        <v>2.8617333882306215E-12</v>
      </c>
      <c r="R188" s="62">
        <f t="shared" si="109"/>
        <v>289.73432332845658</v>
      </c>
      <c r="S188" s="62">
        <f ca="1">AVERAGE(OFFSET($R$3,0,0,'Données projet'!$E$9+1,1))-AVERAGE(OFFSET($H$3,0,0,'Données projet'!$E$9+1,1))</f>
        <v>406.64650428071837</v>
      </c>
      <c r="T188" s="62">
        <f t="shared" si="142"/>
        <v>250.47702091764884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2.0971264557815856E-2</v>
      </c>
      <c r="AA188" s="23">
        <f>EXP(-LN(2)/25)*AA187+(1-EXP(-LN(2)/25))/(LN(2)/25)*Calculateur!V188*Calculateur!X188*VLOOKUP('Données projet'!$B$9,Paramètres!$A$1:$I$89,3,0)*0.475*44/12</f>
        <v>3.059342712182362E-2</v>
      </c>
      <c r="AB188" s="23">
        <f>EXP(-LN(2)/2)*AB187+(1-EXP(-LN(2)/2))/(LN(2)/2)*V188*Y188*VLOOKUP('Données projet'!$B$9,Paramètres!$A$1:$I$89,3,0)*0.475*44/12</f>
        <v>6.4371160116610458E-23</v>
      </c>
      <c r="AC188" s="24">
        <f t="shared" si="163"/>
        <v>5.1564691679639479E-2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1.0286385077051818E-13</v>
      </c>
      <c r="P189" s="14">
        <f t="shared" si="141"/>
        <v>1.5402366592183556E-12</v>
      </c>
      <c r="Q189" s="22">
        <f t="shared" si="162"/>
        <v>2.8617333882306215E-12</v>
      </c>
      <c r="R189" s="62">
        <f t="shared" si="109"/>
        <v>289.79675810586025</v>
      </c>
      <c r="S189" s="62">
        <f ca="1">AVERAGE(OFFSET($R$3,0,0,'Données projet'!$E$9+1,1))-AVERAGE(OFFSET($H$3,0,0,'Données projet'!$E$9+1,1))</f>
        <v>406.64650428071837</v>
      </c>
      <c r="T189" s="62">
        <f t="shared" si="142"/>
        <v>250.47702091764884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2.0560030851045439E-2</v>
      </c>
      <c r="AA189" s="23">
        <f>EXP(-LN(2)/25)*AA188+(1-EXP(-LN(2)/25))/(LN(2)/25)*Calculateur!V189*Calculateur!X189*VLOOKUP('Données projet'!$B$9,Paramètres!$A$1:$I$89,3,0)*0.475*44/12</f>
        <v>2.9756848248338942E-2</v>
      </c>
      <c r="AB189" s="23">
        <f>EXP(-LN(2)/2)*AB188+(1-EXP(-LN(2)/2))/(LN(2)/2)*V189*Y189*VLOOKUP('Données projet'!$B$9,Paramètres!$A$1:$I$89,3,0)*0.475*44/12</f>
        <v>4.5517283831300287E-23</v>
      </c>
      <c r="AC189" s="24">
        <f t="shared" si="163"/>
        <v>5.0316879099384385E-2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1.0286385077051818E-13</v>
      </c>
      <c r="P190" s="14">
        <f t="shared" si="141"/>
        <v>1.5402366592183556E-12</v>
      </c>
      <c r="Q190" s="22">
        <f t="shared" si="162"/>
        <v>2.8617333882306215E-12</v>
      </c>
      <c r="R190" s="62">
        <f t="shared" si="109"/>
        <v>289.85810977945926</v>
      </c>
      <c r="S190" s="62">
        <f ca="1">AVERAGE(OFFSET($R$3,0,0,'Données projet'!$E$9+1,1))-AVERAGE(OFFSET($H$3,0,0,'Données projet'!$E$9+1,1))</f>
        <v>406.64650428071837</v>
      </c>
      <c r="T190" s="62">
        <f t="shared" si="142"/>
        <v>250.47702091764884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2.0156861186436996E-2</v>
      </c>
      <c r="AA190" s="23">
        <f>EXP(-LN(2)/25)*AA189+(1-EXP(-LN(2)/25))/(LN(2)/25)*Calculateur!V190*Calculateur!X190*VLOOKUP('Données projet'!$B$9,Paramètres!$A$1:$I$89,3,0)*0.475*44/12</f>
        <v>2.8943145668143475E-2</v>
      </c>
      <c r="AB190" s="23">
        <f>EXP(-LN(2)/2)*AB189+(1-EXP(-LN(2)/2))/(LN(2)/2)*V190*Y190*VLOOKUP('Données projet'!$B$9,Paramètres!$A$1:$I$89,3,0)*0.475*44/12</f>
        <v>3.2185580058305229E-23</v>
      </c>
      <c r="AC190" s="24">
        <f t="shared" si="163"/>
        <v>4.910000685458047E-2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1.0286385077051818E-13</v>
      </c>
      <c r="P191" s="14">
        <f t="shared" si="141"/>
        <v>1.5402366592183556E-12</v>
      </c>
      <c r="Q191" s="22">
        <f t="shared" si="162"/>
        <v>2.8617333882306215E-12</v>
      </c>
      <c r="R191" s="62">
        <f t="shared" si="109"/>
        <v>289.91839713868308</v>
      </c>
      <c r="S191" s="62">
        <f ca="1">AVERAGE(OFFSET($R$3,0,0,'Données projet'!$E$9+1,1))-AVERAGE(OFFSET($H$3,0,0,'Données projet'!$E$9+1,1))</f>
        <v>406.64650428071837</v>
      </c>
      <c r="T191" s="62">
        <f t="shared" si="142"/>
        <v>250.47702091764884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1.9761597433042313E-2</v>
      </c>
      <c r="AA191" s="23">
        <f>EXP(-LN(2)/25)*AA190+(1-EXP(-LN(2)/25))/(LN(2)/25)*Calculateur!V191*Calculateur!X191*VLOOKUP('Données projet'!$B$9,Paramètres!$A$1:$I$89,3,0)*0.475*44/12</f>
        <v>2.815169382779421E-2</v>
      </c>
      <c r="AB191" s="23">
        <f>EXP(-LN(2)/2)*AB190+(1-EXP(-LN(2)/2))/(LN(2)/2)*V191*Y191*VLOOKUP('Données projet'!$B$9,Paramètres!$A$1:$I$89,3,0)*0.475*44/12</f>
        <v>2.2758641915650144E-23</v>
      </c>
      <c r="AC191" s="24">
        <f t="shared" si="163"/>
        <v>4.7913291260836523E-2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1.0286385077051818E-13</v>
      </c>
      <c r="P192" s="14">
        <f t="shared" si="141"/>
        <v>1.5402366592183556E-12</v>
      </c>
      <c r="Q192" s="22">
        <f t="shared" si="162"/>
        <v>2.8617333882306215E-12</v>
      </c>
      <c r="R192" s="62">
        <f t="shared" si="109"/>
        <v>289.9776386470067</v>
      </c>
      <c r="S192" s="62">
        <f ca="1">AVERAGE(OFFSET($R$3,0,0,'Données projet'!$E$9+1,1))-AVERAGE(OFFSET($H$3,0,0,'Données projet'!$E$9+1,1))</f>
        <v>406.64650428071837</v>
      </c>
      <c r="T192" s="62">
        <f t="shared" si="142"/>
        <v>250.47702091764884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1.9374084560764615E-2</v>
      </c>
      <c r="AA192" s="23">
        <f>EXP(-LN(2)/25)*AA191+(1-EXP(-LN(2)/25))/(LN(2)/25)*Calculateur!V192*Calculateur!X192*VLOOKUP('Données projet'!$B$9,Paramètres!$A$1:$I$89,3,0)*0.475*44/12</f>
        <v>2.7381884279639942E-2</v>
      </c>
      <c r="AB192" s="23">
        <f>EXP(-LN(2)/2)*AB191+(1-EXP(-LN(2)/2))/(LN(2)/2)*V192*Y192*VLOOKUP('Données projet'!$B$9,Paramètres!$A$1:$I$89,3,0)*0.475*44/12</f>
        <v>1.6092790029152615E-23</v>
      </c>
      <c r="AC192" s="24">
        <f t="shared" si="163"/>
        <v>4.675596884040456E-2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1.0286385077051818E-13</v>
      </c>
      <c r="P193" s="14">
        <f t="shared" si="141"/>
        <v>1.5402366592183556E-12</v>
      </c>
      <c r="Q193" s="22">
        <f t="shared" si="162"/>
        <v>2.8617333882306215E-12</v>
      </c>
      <c r="R193" s="62">
        <f t="shared" si="109"/>
        <v>290.03585244760512</v>
      </c>
      <c r="S193" s="62">
        <f ca="1">AVERAGE(OFFSET($R$3,0,0,'Données projet'!$E$9+1,1))-AVERAGE(OFFSET($H$3,0,0,'Données projet'!$E$9+1,1))</f>
        <v>406.64650428071837</v>
      </c>
      <c r="T193" s="62">
        <f t="shared" si="142"/>
        <v>250.47702091764884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1.8994170579552768E-2</v>
      </c>
      <c r="AA193" s="23">
        <f>EXP(-LN(2)/25)*AA192+(1-EXP(-LN(2)/25))/(LN(2)/25)*Calculateur!V193*Calculateur!X193*VLOOKUP('Données projet'!$B$9,Paramètres!$A$1:$I$89,3,0)*0.475*44/12</f>
        <v>2.6633125214062477E-2</v>
      </c>
      <c r="AB193" s="23">
        <f>EXP(-LN(2)/2)*AB192+(1-EXP(-LN(2)/2))/(LN(2)/2)*V193*Y193*VLOOKUP('Données projet'!$B$9,Paramètres!$A$1:$I$89,3,0)*0.475*44/12</f>
        <v>1.1379320957825072E-23</v>
      </c>
      <c r="AC193" s="24">
        <f t="shared" si="163"/>
        <v>4.5627295793615241E-2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1.0286385077051818E-13</v>
      </c>
      <c r="P194" s="14">
        <f t="shared" si="141"/>
        <v>1.5402366592183556E-12</v>
      </c>
      <c r="Q194" s="22">
        <f t="shared" si="162"/>
        <v>2.8617333882306215E-12</v>
      </c>
      <c r="R194" s="62">
        <f t="shared" si="109"/>
        <v>290.09305636890969</v>
      </c>
      <c r="S194" s="62">
        <f ca="1">AVERAGE(OFFSET($R$3,0,0,'Données projet'!$E$9+1,1))-AVERAGE(OFFSET($H$3,0,0,'Données projet'!$E$9+1,1))</f>
        <v>406.64650428071837</v>
      </c>
      <c r="T194" s="62">
        <f t="shared" si="142"/>
        <v>250.47702091764884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1.862170647978784E-2</v>
      </c>
      <c r="AA194" s="23">
        <f>EXP(-LN(2)/25)*AA193+(1-EXP(-LN(2)/25))/(LN(2)/25)*Calculateur!V194*Calculateur!X194*VLOOKUP('Données projet'!$B$9,Paramètres!$A$1:$I$89,3,0)*0.475*44/12</f>
        <v>2.5904841004508752E-2</v>
      </c>
      <c r="AB194" s="23">
        <f>EXP(-LN(2)/2)*AB193+(1-EXP(-LN(2)/2))/(LN(2)/2)*V194*Y194*VLOOKUP('Données projet'!$B$9,Paramètres!$A$1:$I$89,3,0)*0.475*44/12</f>
        <v>8.0463950145763073E-24</v>
      </c>
      <c r="AC194" s="24">
        <f t="shared" si="163"/>
        <v>4.4526547484296589E-2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1.0286385077051818E-13</v>
      </c>
      <c r="P195" s="14">
        <f t="shared" si="141"/>
        <v>1.5402366592183556E-12</v>
      </c>
      <c r="Q195" s="22">
        <f t="shared" si="162"/>
        <v>2.8617333882306215E-12</v>
      </c>
      <c r="R195" s="62">
        <f t="shared" ref="R195:R203" si="191">Q195+(I195+J195)*44/12</f>
        <v>290.1492679300685</v>
      </c>
      <c r="S195" s="62">
        <f ca="1">AVERAGE(OFFSET($R$3,0,0,'Données projet'!$E$9+1,1))-AVERAGE(OFFSET($H$3,0,0,'Données projet'!$E$9+1,1))</f>
        <v>406.64650428071837</v>
      </c>
      <c r="T195" s="62">
        <f t="shared" si="142"/>
        <v>250.47702091764884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1.8256546173838633E-2</v>
      </c>
      <c r="AA195" s="23">
        <f>EXP(-LN(2)/25)*AA194+(1-EXP(-LN(2)/25))/(LN(2)/25)*Calculateur!V195*Calculateur!X195*VLOOKUP('Données projet'!$B$9,Paramètres!$A$1:$I$89,3,0)*0.475*44/12</f>
        <v>2.519647176496408E-2</v>
      </c>
      <c r="AB195" s="23">
        <f>EXP(-LN(2)/2)*AB194+(1-EXP(-LN(2)/2))/(LN(2)/2)*V195*Y195*VLOOKUP('Données projet'!$B$9,Paramètres!$A$1:$I$89,3,0)*0.475*44/12</f>
        <v>5.6896604789125359E-24</v>
      </c>
      <c r="AC195" s="24">
        <f t="shared" si="163"/>
        <v>4.3453017938802713E-2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1.0286385077051818E-13</v>
      </c>
      <c r="P196" s="14">
        <f t="shared" si="141"/>
        <v>1.5402366592183556E-12</v>
      </c>
      <c r="Q196" s="22">
        <f t="shared" si="162"/>
        <v>2.8617333882306215E-12</v>
      </c>
      <c r="R196" s="62">
        <f t="shared" si="191"/>
        <v>290.20450434631135</v>
      </c>
      <c r="S196" s="62">
        <f ca="1">AVERAGE(OFFSET($R$3,0,0,'Données projet'!$E$9+1,1))-AVERAGE(OFFSET($H$3,0,0,'Données projet'!$E$9+1,1))</f>
        <v>406.64650428071837</v>
      </c>
      <c r="T196" s="62">
        <f t="shared" si="142"/>
        <v>250.47702091764884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1.7898546438763294E-2</v>
      </c>
      <c r="AA196" s="23">
        <f>EXP(-LN(2)/25)*AA195+(1-EXP(-LN(2)/25))/(LN(2)/25)*Calculateur!V196*Calculateur!X196*VLOOKUP('Données projet'!$B$9,Paramètres!$A$1:$I$89,3,0)*0.475*44/12</f>
        <v>2.4507472919526273E-2</v>
      </c>
      <c r="AB196" s="23">
        <f>EXP(-LN(2)/2)*AB195+(1-EXP(-LN(2)/2))/(LN(2)/2)*V196*Y196*VLOOKUP('Données projet'!$B$9,Paramètres!$A$1:$I$89,3,0)*0.475*44/12</f>
        <v>4.0231975072881537E-24</v>
      </c>
      <c r="AC196" s="24">
        <f t="shared" si="163"/>
        <v>4.2406019358289568E-2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1.0286385077051818E-13</v>
      </c>
      <c r="P197" s="14">
        <f t="shared" ref="P197:P203" si="203">EXP(-1.0587+0.8836*LN(O197)+0.284)</f>
        <v>1.5402366592183556E-12</v>
      </c>
      <c r="Q197" s="22">
        <f t="shared" si="162"/>
        <v>2.8617333882306215E-12</v>
      </c>
      <c r="R197" s="62">
        <f t="shared" si="191"/>
        <v>290.25878253422258</v>
      </c>
      <c r="S197" s="62">
        <f ca="1">AVERAGE(OFFSET($R$3,0,0,'Données projet'!$E$9+1,1))-AVERAGE(OFFSET($H$3,0,0,'Données projet'!$E$9+1,1))</f>
        <v>406.64650428071837</v>
      </c>
      <c r="T197" s="62">
        <f t="shared" ref="T197:T203" si="204">$T$3</f>
        <v>250.47702091764884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1.7547566860134506E-2</v>
      </c>
      <c r="AA197" s="23">
        <f>EXP(-LN(2)/25)*AA196+(1-EXP(-LN(2)/25))/(LN(2)/25)*Calculateur!V197*Calculateur!X197*VLOOKUP('Données projet'!$B$9,Paramètres!$A$1:$I$89,3,0)*0.475*44/12</f>
        <v>2.3837314783749838E-2</v>
      </c>
      <c r="AB197" s="23">
        <f>EXP(-LN(2)/2)*AB196+(1-EXP(-LN(2)/2))/(LN(2)/2)*V197*Y197*VLOOKUP('Données projet'!$B$9,Paramètres!$A$1:$I$89,3,0)*0.475*44/12</f>
        <v>2.8448302394562679E-24</v>
      </c>
      <c r="AC197" s="24">
        <f t="shared" si="163"/>
        <v>4.1384881643884347E-2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1.0286385077051818E-13</v>
      </c>
      <c r="P198" s="14">
        <f t="shared" si="203"/>
        <v>1.5402366592183556E-12</v>
      </c>
      <c r="Q198" s="22">
        <f t="shared" si="162"/>
        <v>2.8617333882306215E-12</v>
      </c>
      <c r="R198" s="62">
        <f t="shared" si="191"/>
        <v>290.31211911692134</v>
      </c>
      <c r="S198" s="62">
        <f ca="1">AVERAGE(OFFSET($R$3,0,0,'Données projet'!$E$9+1,1))-AVERAGE(OFFSET($H$3,0,0,'Données projet'!$E$9+1,1))</f>
        <v>406.64650428071837</v>
      </c>
      <c r="T198" s="62">
        <f t="shared" si="204"/>
        <v>250.47702091764884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1.7203469776966223E-2</v>
      </c>
      <c r="AA198" s="23">
        <f>EXP(-LN(2)/25)*AA197+(1-EXP(-LN(2)/25))/(LN(2)/25)*Calculateur!V198*Calculateur!X198*VLOOKUP('Données projet'!$B$9,Paramètres!$A$1:$I$89,3,0)*0.475*44/12</f>
        <v>2.3185482157438295E-2</v>
      </c>
      <c r="AB198" s="23">
        <f>EXP(-LN(2)/2)*AB197+(1-EXP(-LN(2)/2))/(LN(2)/2)*V198*Y198*VLOOKUP('Données projet'!$B$9,Paramètres!$A$1:$I$89,3,0)*0.475*44/12</f>
        <v>2.0115987536440768E-24</v>
      </c>
      <c r="AC198" s="24">
        <f t="shared" si="163"/>
        <v>4.0388951934404518E-2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1.0286385077051818E-13</v>
      </c>
      <c r="P199" s="14">
        <f t="shared" si="203"/>
        <v>1.5402366592183556E-12</v>
      </c>
      <c r="Q199" s="22">
        <f t="shared" si="162"/>
        <v>2.8617333882306215E-12</v>
      </c>
      <c r="R199" s="62">
        <f t="shared" si="191"/>
        <v>290.36453042915304</v>
      </c>
      <c r="S199" s="62">
        <f ca="1">AVERAGE(OFFSET($R$3,0,0,'Données projet'!$E$9+1,1))-AVERAGE(OFFSET($H$3,0,0,'Données projet'!$E$9+1,1))</f>
        <v>406.64650428071837</v>
      </c>
      <c r="T199" s="62">
        <f t="shared" si="204"/>
        <v>250.47702091764884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1.6866120227720372E-2</v>
      </c>
      <c r="AA199" s="23">
        <f>EXP(-LN(2)/25)*AA198+(1-EXP(-LN(2)/25))/(LN(2)/25)*Calculateur!V199*Calculateur!X199*VLOOKUP('Données projet'!$B$9,Paramètres!$A$1:$I$89,3,0)*0.475*44/12</f>
        <v>2.2551473928571628E-2</v>
      </c>
      <c r="AB199" s="23">
        <f>EXP(-LN(2)/2)*AB198+(1-EXP(-LN(2)/2))/(LN(2)/2)*V199*Y199*VLOOKUP('Données projet'!$B$9,Paramètres!$A$1:$I$89,3,0)*0.475*44/12</f>
        <v>1.422415119728134E-24</v>
      </c>
      <c r="AC199" s="24">
        <f t="shared" si="163"/>
        <v>3.9417594156292E-2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1.0286385077051818E-13</v>
      </c>
      <c r="P200" s="14">
        <f t="shared" si="203"/>
        <v>1.5402366592183556E-12</v>
      </c>
      <c r="Q200" s="22">
        <f t="shared" si="162"/>
        <v>2.8617333882306215E-12</v>
      </c>
      <c r="R200" s="62">
        <f t="shared" si="191"/>
        <v>290.41603252229163</v>
      </c>
      <c r="S200" s="62">
        <f ca="1">AVERAGE(OFFSET($R$3,0,0,'Données projet'!$E$9+1,1))-AVERAGE(OFFSET($H$3,0,0,'Données projet'!$E$9+1,1))</f>
        <v>406.64650428071837</v>
      </c>
      <c r="T200" s="62">
        <f t="shared" si="204"/>
        <v>250.47702091764884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1.6535385897372325E-2</v>
      </c>
      <c r="AA200" s="23">
        <f>EXP(-LN(2)/25)*AA199+(1-EXP(-LN(2)/25))/(LN(2)/25)*Calculateur!V200*Calculateur!X200*VLOOKUP('Données projet'!$B$9,Paramètres!$A$1:$I$89,3,0)*0.475*44/12</f>
        <v>2.1934802688064366E-2</v>
      </c>
      <c r="AB200" s="23">
        <f>EXP(-LN(2)/2)*AB199+(1-EXP(-LN(2)/2))/(LN(2)/2)*V200*Y200*VLOOKUP('Données projet'!$B$9,Paramètres!$A$1:$I$89,3,0)*0.475*44/12</f>
        <v>1.0057993768220384E-24</v>
      </c>
      <c r="AC200" s="24">
        <f t="shared" si="163"/>
        <v>3.8470188585436688E-2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1.0286385077051818E-13</v>
      </c>
      <c r="P201" s="14">
        <f t="shared" si="203"/>
        <v>1.5402366592183556E-12</v>
      </c>
      <c r="Q201" s="22">
        <f t="shared" si="162"/>
        <v>2.8617333882306215E-12</v>
      </c>
      <c r="R201" s="62">
        <f t="shared" si="191"/>
        <v>290.46664116925575</v>
      </c>
      <c r="S201" s="62">
        <f ca="1">AVERAGE(OFFSET($R$3,0,0,'Données projet'!$E$9+1,1))-AVERAGE(OFFSET($H$3,0,0,'Données projet'!$E$9+1,1))</f>
        <v>406.64650428071837</v>
      </c>
      <c r="T201" s="62">
        <f t="shared" si="204"/>
        <v>250.47702091764884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1.6211137065514383E-2</v>
      </c>
      <c r="AA201" s="23">
        <f>EXP(-LN(2)/25)*AA200+(1-EXP(-LN(2)/25))/(LN(2)/25)*Calculateur!V201*Calculateur!X201*VLOOKUP('Données projet'!$B$9,Paramètres!$A$1:$I$89,3,0)*0.475*44/12</f>
        <v>2.1334994355058104E-2</v>
      </c>
      <c r="AB201" s="23">
        <f>EXP(-LN(2)/2)*AB200+(1-EXP(-LN(2)/2))/(LN(2)/2)*V201*Y201*VLOOKUP('Données projet'!$B$9,Paramètres!$A$1:$I$89,3,0)*0.475*44/12</f>
        <v>7.1120755986406699E-25</v>
      </c>
      <c r="AC201" s="24">
        <f t="shared" si="163"/>
        <v>3.754613142057249E-2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1.0286385077051818E-13</v>
      </c>
      <c r="P202" s="14">
        <f t="shared" si="203"/>
        <v>1.5402366592183556E-12</v>
      </c>
      <c r="Q202" s="22">
        <f t="shared" si="162"/>
        <v>2.8617333882306215E-12</v>
      </c>
      <c r="R202" s="62">
        <f t="shared" si="191"/>
        <v>290.51637186933897</v>
      </c>
      <c r="S202" s="62">
        <f ca="1">AVERAGE(OFFSET($R$3,0,0,'Données projet'!$E$9+1,1))-AVERAGE(OFFSET($H$3,0,0,'Données projet'!$E$9+1,1))</f>
        <v>406.64650428071837</v>
      </c>
      <c r="T202" s="62">
        <f t="shared" si="204"/>
        <v>250.47702091764884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1.5893246555476914E-2</v>
      </c>
      <c r="AA202" s="23">
        <f>EXP(-LN(2)/25)*AA201+(1-EXP(-LN(2)/25))/(LN(2)/25)*Calculateur!V202*Calculateur!X202*VLOOKUP('Données projet'!$B$9,Paramètres!$A$1:$I$89,3,0)*0.475*44/12</f>
        <v>2.0751587812460448E-2</v>
      </c>
      <c r="AB202" s="23">
        <f>EXP(-LN(2)/2)*AB201+(1-EXP(-LN(2)/2))/(LN(2)/2)*V202*Y202*VLOOKUP('Données projet'!$B$9,Paramètres!$A$1:$I$89,3,0)*0.475*44/12</f>
        <v>5.0289968841101921E-25</v>
      </c>
      <c r="AC202" s="24">
        <f t="shared" si="163"/>
        <v>3.6644834367937362E-2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1.0286385077051818E-13</v>
      </c>
      <c r="P203" s="14">
        <f t="shared" si="203"/>
        <v>1.5402366592183556E-12</v>
      </c>
      <c r="Q203" s="22">
        <f t="shared" si="162"/>
        <v>2.8617333882306215E-12</v>
      </c>
      <c r="R203" s="62">
        <f t="shared" si="191"/>
        <v>290.56523985295695</v>
      </c>
      <c r="S203" s="62">
        <f ca="1">AVERAGE(OFFSET($R$3,0,0,'Données projet'!$E$9+1,1))-AVERAGE(OFFSET($H$3,0,0,'Données projet'!$E$9+1,1))</f>
        <v>406.64650428071837</v>
      </c>
      <c r="T203" s="62">
        <f t="shared" si="204"/>
        <v>250.47702091764884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1.5581589684447216E-2</v>
      </c>
      <c r="AA203" s="23">
        <f>EXP(-LN(2)/25)*AA202+(1-EXP(-LN(2)/25))/(LN(2)/25)*Calculateur!V203*Calculateur!X203*VLOOKUP('Données projet'!$B$9,Paramètres!$A$1:$I$89,3,0)*0.475*44/12</f>
        <v>2.0184134552450144E-2</v>
      </c>
      <c r="AB203" s="23">
        <f>EXP(-LN(2)/2)*AB202+(1-EXP(-LN(2)/2))/(LN(2)/2)*V203*Y203*VLOOKUP('Données projet'!$B$9,Paramètres!$A$1:$I$89,3,0)*0.475*44/12</f>
        <v>3.5560377993203349E-25</v>
      </c>
      <c r="AC203" s="24">
        <f t="shared" si="163"/>
        <v>3.5765724236897362E-2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1.1852335095914694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workbookViewId="0">
      <selection activeCell="N24" sqref="N24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Chêne sessile</v>
      </c>
      <c r="B6" s="155">
        <f>'Données projet'!D9</f>
        <v>3.51</v>
      </c>
      <c r="C6" s="156">
        <f ca="1">IF(OR('Données projet'!B9="",'Données projet'!C9="",'Données projet'!C9=0%),0,Calculateur!S3)</f>
        <v>406.64650428071837</v>
      </c>
      <c r="D6" s="156">
        <f>IF(OR('Données projet'!B9="",'Données projet'!C9="",'Données projet'!C9=0%),0,Calculateur!T3)</f>
        <v>250.47702091764884</v>
      </c>
      <c r="E6" s="156">
        <f ca="1">MIN(C6,D6)</f>
        <v>250.47702091764884</v>
      </c>
      <c r="F6" s="156">
        <f ca="1">E6*B6</f>
        <v>879.17434342094737</v>
      </c>
      <c r="G6" s="156">
        <f ca="1">F6*(100%-'Données projet'!$C$24)*(100%-'Données projet'!$C$25)*(100%-'Données projet'!$C$26)*(100%-'Données projet'!$C$27)</f>
        <v>712.13121817096749</v>
      </c>
      <c r="H6" s="157">
        <f>IF(OR('Données projet'!B9="",'Données projet'!C9="",'Données projet'!C9=0%),0,AVERAGE(Calculateur!$AC$3:$AC$33)*B6)</f>
        <v>4.0368670568007232</v>
      </c>
      <c r="I6" s="158">
        <f>H6*(100%-'Données projet'!$C$24)*(100%-'Données projet'!$C$25)*(100%-'Données projet'!$C$26)*(100%-'Données projet'!$C$27)</f>
        <v>3.2698623160085862</v>
      </c>
      <c r="J6" s="159">
        <f>IF(OR('Données projet'!B9="",'Données projet'!C9="",'Données projet'!C9=0%),0,SUM(Calculateur!$V$3:$V$33)*VLOOKUP('Données projet'!$B$9,Paramètres!$A$1:$I$89,9,0)*B6)</f>
        <v>25.447499999999998</v>
      </c>
      <c r="K6" s="160">
        <f>J6*(100%-'Données projet'!$C$24)*(100%-'Données projet'!$C$25)*(100%-'Données projet'!$C$26)*(100%-'Données projet'!$C$27)</f>
        <v>20.612475</v>
      </c>
      <c r="L6" s="161">
        <f ca="1">G6+I6+K6</f>
        <v>736.01355548697609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879.17434342094737</v>
      </c>
      <c r="G16" s="175">
        <f t="shared" ca="1" si="3"/>
        <v>712.13121817096749</v>
      </c>
      <c r="H16" s="176">
        <f t="shared" si="3"/>
        <v>4.0368670568007232</v>
      </c>
      <c r="I16" s="176">
        <f t="shared" si="3"/>
        <v>3.2698623160085862</v>
      </c>
      <c r="J16" s="177">
        <f t="shared" si="3"/>
        <v>25.447499999999998</v>
      </c>
      <c r="K16" s="177">
        <f t="shared" si="3"/>
        <v>20.612475</v>
      </c>
      <c r="L16" s="178">
        <f t="shared" ca="1" si="3"/>
        <v>736.01355548697609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Chêne sessile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E7" zoomScale="90" zoomScaleNormal="90" workbookViewId="0">
      <selection activeCell="P19" sqref="P1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Chêne sessile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944.22886506945838</v>
      </c>
      <c r="U10" s="190">
        <f>'Données projet'!D9</f>
        <v>3.51</v>
      </c>
      <c r="V10" s="189">
        <f>U10*T10</f>
        <v>3314.2433163937985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Chêne sessile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>
        <v>0</v>
      </c>
      <c r="I20" s="204">
        <f>16378.32/3.511</f>
        <v>4664.8590145257758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f>3159.99/3.511</f>
        <v>900.02563372258601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f>702.22/3.511</f>
        <v>200.00569638279691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25</v>
      </c>
      <c r="B23" s="193">
        <f>'Données projet'!D36</f>
        <v>8</v>
      </c>
      <c r="C23" s="206">
        <v>15</v>
      </c>
      <c r="D23" s="194">
        <f>B23*C23</f>
        <v>120</v>
      </c>
      <c r="E23" s="206"/>
      <c r="F23" s="261"/>
      <c r="H23" s="203">
        <v>3</v>
      </c>
      <c r="I23" s="204">
        <f t="shared" ref="I23:I25" si="2">702.22/3.511</f>
        <v>200.00569638279691</v>
      </c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-18492.52641252485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30</v>
      </c>
      <c r="B24" s="193">
        <f>'Données projet'!D37</f>
        <v>21</v>
      </c>
      <c r="C24" s="206">
        <v>15</v>
      </c>
      <c r="D24" s="194">
        <f t="shared" ref="D24:D42" si="3">B24*C24</f>
        <v>315</v>
      </c>
      <c r="E24" s="206"/>
      <c r="F24" s="264"/>
      <c r="H24" s="203">
        <v>4</v>
      </c>
      <c r="I24" s="204">
        <f t="shared" si="2"/>
        <v>200.00569638279691</v>
      </c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6843.4318011269661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35</v>
      </c>
      <c r="B25" s="193">
        <f>'Données projet'!D38</f>
        <v>21</v>
      </c>
      <c r="C25" s="206">
        <v>15</v>
      </c>
      <c r="D25" s="194">
        <f t="shared" si="3"/>
        <v>315</v>
      </c>
      <c r="E25" s="206"/>
      <c r="F25" s="264"/>
      <c r="G25" s="1"/>
      <c r="H25" s="203">
        <v>5</v>
      </c>
      <c r="I25" s="204">
        <f t="shared" si="2"/>
        <v>200.00569638279691</v>
      </c>
      <c r="K25" s="225"/>
      <c r="L25" s="271" t="s">
        <v>285</v>
      </c>
      <c r="M25" s="271"/>
      <c r="N25" s="271"/>
      <c r="O25" s="271"/>
      <c r="P25" s="205">
        <v>85</v>
      </c>
      <c r="Q25" s="265"/>
      <c r="R25" s="25"/>
      <c r="S25" s="198" t="s">
        <v>266</v>
      </c>
      <c r="T25" s="341">
        <f ca="1">T23-T24</f>
        <v>-25335.958213651815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40</v>
      </c>
      <c r="B26" s="193">
        <f>'Données projet'!D39</f>
        <v>21</v>
      </c>
      <c r="C26" s="206">
        <v>15</v>
      </c>
      <c r="D26" s="194">
        <f t="shared" si="3"/>
        <v>315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est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45</v>
      </c>
      <c r="B27" s="193">
        <f>'Données projet'!D40</f>
        <v>21</v>
      </c>
      <c r="C27" s="206">
        <v>15</v>
      </c>
      <c r="D27" s="194">
        <f t="shared" si="3"/>
        <v>315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50</v>
      </c>
      <c r="B28" s="193">
        <f>'Données projet'!D41</f>
        <v>21</v>
      </c>
      <c r="C28" s="206">
        <v>15</v>
      </c>
      <c r="D28" s="194">
        <f t="shared" si="3"/>
        <v>315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55</v>
      </c>
      <c r="B29" s="193">
        <f>'Données projet'!D42</f>
        <v>21</v>
      </c>
      <c r="C29" s="206">
        <v>15</v>
      </c>
      <c r="D29" s="194">
        <f t="shared" si="3"/>
        <v>315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60</v>
      </c>
      <c r="B30" s="193">
        <f>'Données projet'!D43</f>
        <v>21</v>
      </c>
      <c r="C30" s="206">
        <v>30</v>
      </c>
      <c r="D30" s="194">
        <f t="shared" si="3"/>
        <v>630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1949.6956698367426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65</v>
      </c>
      <c r="B31" s="193">
        <f>'Données projet'!D44</f>
        <v>21</v>
      </c>
      <c r="C31" s="206">
        <v>30</v>
      </c>
      <c r="D31" s="194">
        <f t="shared" si="3"/>
        <v>630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70</v>
      </c>
      <c r="B32" s="193">
        <f>'Données projet'!D45</f>
        <v>21</v>
      </c>
      <c r="C32" s="206">
        <v>30</v>
      </c>
      <c r="D32" s="194">
        <f t="shared" si="3"/>
        <v>630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75</v>
      </c>
      <c r="B33" s="193">
        <f>'Données projet'!D46</f>
        <v>21</v>
      </c>
      <c r="C33" s="206">
        <v>30</v>
      </c>
      <c r="D33" s="194">
        <f t="shared" si="3"/>
        <v>630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4">$P$25/(1+$M$4)^O33</f>
        <v>85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80</v>
      </c>
      <c r="B34" s="193">
        <f>'Données projet'!D47</f>
        <v>21</v>
      </c>
      <c r="C34" s="206">
        <v>50</v>
      </c>
      <c r="D34" s="194">
        <f t="shared" si="3"/>
        <v>1050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4"/>
        <v>81.339712918660297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85</v>
      </c>
      <c r="B35" s="193">
        <f>'Données projet'!D48</f>
        <v>21</v>
      </c>
      <c r="C35" s="206">
        <v>50</v>
      </c>
      <c r="D35" s="194">
        <f t="shared" si="3"/>
        <v>1050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4"/>
        <v>77.837045855177323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90</v>
      </c>
      <c r="B36" s="193">
        <f>'Données projet'!D49</f>
        <v>21</v>
      </c>
      <c r="C36" s="206">
        <v>50</v>
      </c>
      <c r="D36" s="194">
        <f t="shared" si="3"/>
        <v>1050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4"/>
        <v>74.485211344667292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95</v>
      </c>
      <c r="B37" s="193">
        <f>'Données projet'!D50</f>
        <v>21</v>
      </c>
      <c r="C37" s="206">
        <v>50</v>
      </c>
      <c r="D37" s="194">
        <f t="shared" si="3"/>
        <v>1050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4"/>
        <v>71.277714205423266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100</v>
      </c>
      <c r="B38" s="193">
        <f>'Données projet'!D51</f>
        <v>21</v>
      </c>
      <c r="C38" s="206">
        <v>100</v>
      </c>
      <c r="D38" s="194">
        <f t="shared" si="3"/>
        <v>2100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4"/>
        <v>68.208338952558151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105</v>
      </c>
      <c r="B39" s="193">
        <f>'Données projet'!D52</f>
        <v>20</v>
      </c>
      <c r="C39" s="206">
        <v>100</v>
      </c>
      <c r="D39" s="194">
        <f t="shared" si="3"/>
        <v>2000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4"/>
        <v>65.271137753644183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110</v>
      </c>
      <c r="B40" s="193">
        <f>'Données projet'!D53</f>
        <v>19</v>
      </c>
      <c r="C40" s="206">
        <v>100</v>
      </c>
      <c r="D40" s="194">
        <f t="shared" si="3"/>
        <v>1900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4"/>
        <v>62.46041890300878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115</v>
      </c>
      <c r="B41" s="193">
        <f>'Données projet'!D54</f>
        <v>18</v>
      </c>
      <c r="C41" s="206">
        <v>150</v>
      </c>
      <c r="D41" s="194">
        <f t="shared" si="3"/>
        <v>2700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4"/>
        <v>59.770735792352916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120</v>
      </c>
      <c r="B42" s="193">
        <f>'Données projet'!D55</f>
        <v>285</v>
      </c>
      <c r="C42" s="206">
        <v>200</v>
      </c>
      <c r="D42" s="194">
        <f t="shared" si="3"/>
        <v>57000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4"/>
        <v>57.196876356318583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4"/>
        <v>54.733852972553677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4"/>
        <v>52.376892796702087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4"/>
        <v>50.121428513590523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4"/>
        <v>47.963089486689491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4"/>
        <v>45.897693288698093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4"/>
        <v>43.921237596840271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4"/>
        <v>42.029892437167746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4"/>
        <v>40.219992762839944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4"/>
        <v>38.488031351999958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4"/>
        <v>36.83065201148321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4"/>
        <v>35.244643073189685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4"/>
        <v>33.726931170516444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5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4"/>
        <v>32.274575282790863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5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4"/>
        <v>30.884761036163507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5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4"/>
        <v>29.554795249917237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5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4"/>
        <v>28.28210071762415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5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4"/>
        <v>27.064211213037474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5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4"/>
        <v>25.898766711040643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5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4"/>
        <v>24.783508814392967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5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4"/>
        <v>23.716276377409532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5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4"/>
        <v>22.695001318095255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5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4"/>
        <v>21.717704610617464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5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6">$P$25/(1+$M$4)^O65</f>
        <v>20.782492450351651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5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6"/>
        <v>19.887552584068569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5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6"/>
        <v>19.031150798151742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5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6"/>
        <v>18.211627558039947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5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6"/>
        <v>17.427394792382728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5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6"/>
        <v>16.676932815677251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5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6"/>
        <v>15.958787383423209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5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6"/>
        <v>15.271566874089196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5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6"/>
        <v>14.613939592429857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6"/>
        <v>13.984631188928093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6"/>
        <v>13.382422190361815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6"/>
        <v>12.80614563670987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6"/>
        <v>12.25468481981806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6"/>
        <v>11.726971119443119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6"/>
        <v>11.221981932481455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6"/>
        <v>10.738738691369813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6"/>
        <v>10.276304967818007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6"/>
        <v>9.8337846581990505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6"/>
        <v>9.410320247080433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6"/>
        <v>9.0050911455315141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6"/>
        <v>8.6173121009870979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7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6"/>
        <v>8.2462316755857383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7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6"/>
        <v>7.8911307900342029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7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6"/>
        <v>7.5513213301762692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7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6"/>
        <v>7.22614481356581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7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6"/>
        <v>6.9149711134601057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7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6"/>
        <v>6.6171972377608688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7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6"/>
        <v>6.3322461605367169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7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6"/>
        <v>6.0595657038628872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7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6"/>
        <v>5.7986274678113743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7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6"/>
        <v>5.5489258065180644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7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6"/>
        <v>5.3099768483426439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7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8">$P$25/(1+$M$4)^O97</f>
        <v>5.0813175582226284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7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8"/>
        <v>4.8625048404044291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7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8"/>
        <v>4.6531146798128526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7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8"/>
        <v>4.4527413203950736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7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8"/>
        <v>4.2609964788469616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7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8"/>
        <v>4.0775085921980496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7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>
        <f>IF(O102+1&lt;=MIN('Données projet'!$E$9:$E$18),O102+1,"STOP")</f>
        <v>70</v>
      </c>
      <c r="P103" s="197">
        <f t="shared" si="8"/>
        <v>3.9019220977971774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7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>
        <f>IF(O103+1&lt;=MIN('Données projet'!$E$9:$E$18),O103+1,"STOP")</f>
        <v>71</v>
      </c>
      <c r="P104" s="197">
        <f t="shared" si="8"/>
        <v>3.7338967443035189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>
        <f>IF(O104+1&lt;=MIN('Données projet'!$E$9:$E$18),O104+1,"STOP")</f>
        <v>72</v>
      </c>
      <c r="P105" s="197">
        <f t="shared" si="8"/>
        <v>3.5731069323478661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>
        <f>IF(O105+1&lt;=MIN('Données projet'!$E$9:$E$18),O105+1,"STOP")</f>
        <v>73</v>
      </c>
      <c r="P106" s="197">
        <f t="shared" si="8"/>
        <v>3.419241083586475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>
        <f>IF(O106+1&lt;=MIN('Données projet'!$E$9:$E$18),O106+1,"STOP")</f>
        <v>74</v>
      </c>
      <c r="P107" s="197">
        <f t="shared" si="8"/>
        <v>3.2720010369248569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>
        <f>IF(O107+1&lt;=MIN('Données projet'!$E$9:$E$18),O107+1,"STOP")</f>
        <v>75</v>
      </c>
      <c r="P108" s="197">
        <f t="shared" si="8"/>
        <v>3.1311014707414895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>
        <f>IF(O108+1&lt;=MIN('Données projet'!$E$9:$E$18),O108+1,"STOP")</f>
        <v>76</v>
      </c>
      <c r="P109" s="197">
        <f t="shared" si="8"/>
        <v>2.9962693499918567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>
        <f>IF(O109+1&lt;=MIN('Données projet'!$E$9:$E$18),O109+1,"STOP")</f>
        <v>77</v>
      </c>
      <c r="P110" s="197">
        <f t="shared" si="8"/>
        <v>2.8672433971213942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>
        <f>IF(O110+1&lt;=MIN('Données projet'!$E$9:$E$18),O110+1,"STOP")</f>
        <v>78</v>
      </c>
      <c r="P111" s="197">
        <f t="shared" si="8"/>
        <v>2.7437735857621002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>
        <f>IF(O111+1&lt;=MIN('Données projet'!$E$9:$E$18),O111+1,"STOP")</f>
        <v>79</v>
      </c>
      <c r="P112" s="197">
        <f t="shared" si="8"/>
        <v>2.6256206562316748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>
        <f>IF(O112+1&lt;=MIN('Données projet'!$E$9:$E$18),O112+1,"STOP")</f>
        <v>80</v>
      </c>
      <c r="P113" s="197">
        <f t="shared" si="8"/>
        <v>2.5125556518963403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>
        <f>IF(O113+1&lt;=MIN('Données projet'!$E$9:$E$18),O113+1,"STOP")</f>
        <v>81</v>
      </c>
      <c r="P114" s="197">
        <f t="shared" si="8"/>
        <v>2.4043594754988904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>
        <f>IF(O114+1&lt;=MIN('Données projet'!$E$9:$E$18),O114+1,"STOP")</f>
        <v>82</v>
      </c>
      <c r="P115" s="197">
        <f t="shared" si="8"/>
        <v>2.3008224645922399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>
        <f>IF(O115+1&lt;=MIN('Données projet'!$E$9:$E$18),O115+1,"STOP")</f>
        <v>83</v>
      </c>
      <c r="P116" s="197">
        <f t="shared" si="8"/>
        <v>2.2017439852557321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9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>
        <f>IF(O116+1&lt;=MIN('Données projet'!$E$9:$E$18),O116+1,"STOP")</f>
        <v>84</v>
      </c>
      <c r="P117" s="197">
        <f t="shared" si="8"/>
        <v>2.1069320433069212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9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>
        <f>IF(O117+1&lt;=MIN('Données projet'!$E$9:$E$18),O117+1,"STOP")</f>
        <v>85</v>
      </c>
      <c r="P118" s="197">
        <f t="shared" si="8"/>
        <v>2.016202912255427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9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>
        <f>IF(O118+1&lt;=MIN('Données projet'!$E$9:$E$18),O118+1,"STOP")</f>
        <v>86</v>
      </c>
      <c r="P119" s="197">
        <f t="shared" si="8"/>
        <v>1.929380777277921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9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>
        <f>IF(O119+1&lt;=MIN('Données projet'!$E$9:$E$18),O119+1,"STOP")</f>
        <v>87</v>
      </c>
      <c r="P120" s="197">
        <f t="shared" si="8"/>
        <v>1.8462973945243262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9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>
        <f>IF(O120+1&lt;=MIN('Données projet'!$E$9:$E$18),O120+1,"STOP")</f>
        <v>88</v>
      </c>
      <c r="P121" s="197">
        <f t="shared" si="8"/>
        <v>1.7667917650950493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9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>
        <f>IF(O121+1&lt;=MIN('Données projet'!$E$9:$E$18),O121+1,"STOP")</f>
        <v>89</v>
      </c>
      <c r="P122" s="197">
        <f t="shared" si="8"/>
        <v>1.6907098230574638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9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>
        <f>IF(O122+1&lt;=MIN('Données projet'!$E$9:$E$18),O122+1,"STOP")</f>
        <v>90</v>
      </c>
      <c r="P123" s="197">
        <f t="shared" si="8"/>
        <v>1.6179041368970948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9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>
        <f>IF(O123+1&lt;=MIN('Données projet'!$E$9:$E$18),O123+1,"STOP")</f>
        <v>91</v>
      </c>
      <c r="P124" s="197">
        <f t="shared" si="8"/>
        <v>1.548233623824971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9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>
        <f>IF(O124+1&lt;=MIN('Données projet'!$E$9:$E$18),O124+1,"STOP")</f>
        <v>92</v>
      </c>
      <c r="P125" s="197">
        <f t="shared" si="8"/>
        <v>1.4815632763875326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9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>
        <f>IF(O125+1&lt;=MIN('Données projet'!$E$9:$E$18),O125+1,"STOP")</f>
        <v>93</v>
      </c>
      <c r="P126" s="197">
        <f t="shared" si="8"/>
        <v>1.4177639008493133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9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>
        <f>IF(O126+1&lt;=MIN('Données projet'!$E$9:$E$18),O126+1,"STOP")</f>
        <v>94</v>
      </c>
      <c r="P127" s="197">
        <f t="shared" si="8"/>
        <v>1.3567118668414486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9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>
        <f>IF(O127+1&lt;=MIN('Données projet'!$E$9:$E$18),O127+1,"STOP")</f>
        <v>95</v>
      </c>
      <c r="P128" s="197">
        <f t="shared" si="8"/>
        <v>1.2982888677908595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9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>
        <f>IF(O128+1&lt;=MIN('Données projet'!$E$9:$E$18),O128+1,"STOP")</f>
        <v>96</v>
      </c>
      <c r="P129" s="197">
        <f t="shared" ref="P129:P132" si="10">$P$25/(1+$M$4)^O129</f>
        <v>1.242381691665895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9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>
        <f>IF(O129+1&lt;=MIN('Données projet'!$E$9:$E$18),O129+1,"STOP")</f>
        <v>97</v>
      </c>
      <c r="P130" s="197">
        <f t="shared" si="10"/>
        <v>1.1888820015941581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9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>
        <f>IF(O130+1&lt;=MIN('Données projet'!$E$9:$E$18),O130+1,"STOP")</f>
        <v>98</v>
      </c>
      <c r="P131" s="197">
        <f t="shared" si="10"/>
        <v>1.1376861259274242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9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>
        <f>IF(O131+1&lt;=MIN('Données projet'!$E$9:$E$18),O131+1,"STOP")</f>
        <v>99</v>
      </c>
      <c r="P132" s="197">
        <f t="shared" si="10"/>
        <v>1.0886948573468174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9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9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9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1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1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1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1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1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1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1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1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1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1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1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1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1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1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1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1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1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1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1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2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2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2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2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2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2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2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2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2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2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2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2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2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2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2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2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2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2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2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3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3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3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3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3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3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3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3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3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3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3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3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3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3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3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3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3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3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3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4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4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4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4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4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4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4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4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4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4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4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4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4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4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4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4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4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4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4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5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5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5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5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5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5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5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5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5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5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5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5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5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5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5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5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5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5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5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6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6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6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6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6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6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6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6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6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6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6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6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6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6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6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6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6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6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6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2023-11-06T16:07:47Z</dcterms:modified>
</cp:coreProperties>
</file>