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Bazas\dossier LBC\25-BAZAS (33)-SCI GEVAERT\Dossier final\"/>
    </mc:Choice>
  </mc:AlternateContent>
  <xr:revisionPtr revIDLastSave="0" documentId="13_ncr:1_{E8A34975-6A11-420D-93F2-81F52482BF08}" xr6:coauthVersionLast="36" xr6:coauthVersionMax="36" xr10:uidLastSave="{00000000-0000-0000-0000-000000000000}"/>
  <bookViews>
    <workbookView xWindow="0" yWindow="0" windowWidth="28800" windowHeight="1261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7" i="2" a="1"/>
  <c r="BC7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9" i="2" l="1" a="1"/>
  <c r="AH199" i="2" s="1"/>
  <c r="AH166" i="2" a="1"/>
  <c r="AH166" i="2" s="1"/>
  <c r="BC151" i="2" a="1"/>
  <c r="BC151" i="2" s="1"/>
  <c r="BC84" i="2" a="1"/>
  <c r="BC84" i="2" s="1"/>
  <c r="BC31" i="2" a="1"/>
  <c r="BC31" i="2" s="1"/>
  <c r="BC32" i="2" a="1"/>
  <c r="BC32" i="2" s="1"/>
  <c r="BC164" i="2" a="1"/>
  <c r="BC164" i="2" s="1"/>
  <c r="BC117" i="2" a="1"/>
  <c r="BC117" i="2" s="1"/>
  <c r="BC192" i="2" a="1"/>
  <c r="BC192" i="2" s="1"/>
  <c r="BC114" i="2" a="1"/>
  <c r="BC114" i="2" s="1"/>
  <c r="BC126" i="2" a="1"/>
  <c r="BC126" i="2" s="1"/>
  <c r="BC181" i="2" a="1"/>
  <c r="BC181" i="2" s="1"/>
  <c r="BC65" i="2" a="1"/>
  <c r="BC65" i="2" s="1"/>
  <c r="BC82" i="2" a="1"/>
  <c r="BC82" i="2" s="1"/>
  <c r="BC47" i="2" a="1"/>
  <c r="BC47" i="2" s="1"/>
  <c r="BC185" i="2" a="1"/>
  <c r="BC185" i="2" s="1"/>
  <c r="BC143" i="2" a="1"/>
  <c r="BC143" i="2" s="1"/>
  <c r="BC68" i="2" a="1"/>
  <c r="BC68" i="2" s="1"/>
  <c r="BC58" i="2" a="1"/>
  <c r="BC58" i="2" s="1"/>
  <c r="BC34" i="2" a="1"/>
  <c r="BC34" i="2" s="1"/>
  <c r="AH151" i="2" a="1"/>
  <c r="AH151" i="2" s="1"/>
  <c r="AH163" i="2" a="1"/>
  <c r="AH163" i="2" s="1"/>
  <c r="AH62" i="2" a="1"/>
  <c r="AH62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<sst xmlns="http://schemas.openxmlformats.org/spreadsheetml/2006/main" count="1171" uniqueCount="324">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</sst>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4.5603227029592857</c:v>
                </c:pt>
                <c:pt idx="2">
                  <c:v>9.0132952331201093</c:v>
                </c:pt>
                <c:pt idx="3">
                  <c:v>17.838817144878906</c:v>
                </c:pt>
                <c:pt idx="4">
                  <c:v>35.352605371028027</c:v>
                </c:pt>
                <c:pt idx="5">
                  <c:v>70.149974013263474</c:v>
                </c:pt>
                <c:pt idx="6">
                  <c:v>86.557695432218452</c:v>
                </c:pt>
                <c:pt idx="7">
                  <c:v>114.79386073387418</c:v>
                </c:pt>
                <c:pt idx="8">
                  <c:v>142.85889776559074</c:v>
                </c:pt>
                <c:pt idx="9">
                  <c:v>170.79137460696464</c:v>
                </c:pt>
                <c:pt idx="10">
                  <c:v>198.61608801133966</c:v>
                </c:pt>
                <c:pt idx="11">
                  <c:v>170.79137460696464</c:v>
                </c:pt>
                <c:pt idx="12">
                  <c:v>197.83360065109466</c:v>
                </c:pt>
                <c:pt idx="13">
                  <c:v>224.78996180947172</c:v>
                </c:pt>
                <c:pt idx="14">
                  <c:v>251.67220666437959</c:v>
                </c:pt>
                <c:pt idx="15">
                  <c:v>278.48936400091264</c:v>
                </c:pt>
                <c:pt idx="16">
                  <c:v>258.28507230454863</c:v>
                </c:pt>
                <c:pt idx="17">
                  <c:v>282.75904421972086</c:v>
                </c:pt>
                <c:pt idx="18">
                  <c:v>307.18556432776853</c:v>
                </c:pt>
                <c:pt idx="19">
                  <c:v>331.56893409573678</c:v>
                </c:pt>
                <c:pt idx="20">
                  <c:v>355.91277070439497</c:v>
                </c:pt>
                <c:pt idx="21">
                  <c:v>341.23373557401311</c:v>
                </c:pt>
                <c:pt idx="22">
                  <c:v>361.31746248867267</c:v>
                </c:pt>
                <c:pt idx="23">
                  <c:v>381.37678831502052</c:v>
                </c:pt>
                <c:pt idx="24">
                  <c:v>401.41317632821421</c:v>
                </c:pt>
                <c:pt idx="25">
                  <c:v>421.42793186976093</c:v>
                </c:pt>
                <c:pt idx="26">
                  <c:v>411.03827995947972</c:v>
                </c:pt>
                <c:pt idx="27">
                  <c:v>427.58215058986383</c:v>
                </c:pt>
                <c:pt idx="28">
                  <c:v>444.11226191866245</c:v>
                </c:pt>
                <c:pt idx="29">
                  <c:v>460.62919798538474</c:v>
                </c:pt>
                <c:pt idx="30">
                  <c:v>477.13349754486762</c:v>
                </c:pt>
                <c:pt idx="31">
                  <c:v>469.45861841140714</c:v>
                </c:pt>
                <c:pt idx="32">
                  <c:v>482.88793138455003</c:v>
                </c:pt>
                <c:pt idx="33">
                  <c:v>496.30931275327697</c:v>
                </c:pt>
                <c:pt idx="34">
                  <c:v>509.72300718239177</c:v>
                </c:pt>
                <c:pt idx="35">
                  <c:v>523.12924541243819</c:v>
                </c:pt>
                <c:pt idx="36">
                  <c:v>517.76763064124987</c:v>
                </c:pt>
                <c:pt idx="37">
                  <c:v>529.6382221432558</c:v>
                </c:pt>
                <c:pt idx="38">
                  <c:v>541.50321514452014</c:v>
                </c:pt>
                <c:pt idx="39">
                  <c:v>553.36274958383854</c:v>
                </c:pt>
                <c:pt idx="40">
                  <c:v>565.21695891368074</c:v>
                </c:pt>
                <c:pt idx="41">
                  <c:v>563.30534449457025</c:v>
                </c:pt>
                <c:pt idx="42">
                  <c:v>574.77301329675208</c:v>
                </c:pt>
                <c:pt idx="43">
                  <c:v>586.23590668718805</c:v>
                </c:pt>
                <c:pt idx="44">
                  <c:v>597.6941311815882</c:v>
                </c:pt>
                <c:pt idx="45">
                  <c:v>609.14778887966042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10" zoomScale="90" zoomScaleNormal="90" workbookViewId="0">
      <selection activeCell="E93" sqref="E93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8.19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0.34</v>
      </c>
      <c r="D9" s="36">
        <f t="shared" ref="D9:D18" si="0">C9*$C$5</f>
        <v>2.7846000000000002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138</v>
      </c>
      <c r="C10" s="35">
        <v>0.49</v>
      </c>
      <c r="D10" s="36">
        <f t="shared" si="0"/>
        <v>4.0130999999999997</v>
      </c>
      <c r="E10" s="37">
        <v>30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44</v>
      </c>
      <c r="C11" s="35">
        <v>0.17</v>
      </c>
      <c r="D11" s="36">
        <f t="shared" si="0"/>
        <v>1.3923000000000001</v>
      </c>
      <c r="E11" s="37">
        <v>45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8.19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0.3</v>
      </c>
      <c r="F37" s="54"/>
      <c r="G37" s="54">
        <v>0.7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>
        <v>0.2</v>
      </c>
      <c r="G38" s="54">
        <v>0.4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0.7</v>
      </c>
      <c r="F39" s="54">
        <v>0.4</v>
      </c>
      <c r="G39" s="54">
        <v>0.3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Pin taeda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12</v>
      </c>
      <c r="B62" s="63">
        <v>106</v>
      </c>
      <c r="C62" s="63">
        <v>1</v>
      </c>
      <c r="D62" s="63">
        <v>34</v>
      </c>
      <c r="E62" s="54"/>
      <c r="F62" s="54"/>
      <c r="G62" s="54">
        <v>1</v>
      </c>
      <c r="H62" s="54"/>
      <c r="I62" s="56">
        <f>IFERROR(B62/A62,"")</f>
        <v>8.8333333333333339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17</v>
      </c>
      <c r="B63" s="63">
        <v>176</v>
      </c>
      <c r="C63" s="63">
        <v>2</v>
      </c>
      <c r="D63" s="63">
        <v>43</v>
      </c>
      <c r="E63" s="54">
        <v>0.3</v>
      </c>
      <c r="F63" s="54"/>
      <c r="G63" s="54">
        <v>0.7</v>
      </c>
      <c r="H63" s="54"/>
      <c r="I63" s="52">
        <f>IF(A63&lt;&gt;0,(B63-(B62-D62))/(A63-A62),"")</f>
        <v>20.8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22</v>
      </c>
      <c r="B64" s="63">
        <v>232</v>
      </c>
      <c r="C64" s="63">
        <v>3</v>
      </c>
      <c r="D64" s="63">
        <v>56</v>
      </c>
      <c r="E64" s="54">
        <v>0.4</v>
      </c>
      <c r="F64" s="54">
        <v>0.2</v>
      </c>
      <c r="G64" s="54">
        <v>0.4</v>
      </c>
      <c r="H64" s="54"/>
      <c r="I64" s="52">
        <f>IF(A64&lt;&gt;0,(B64-(B63-D63))/(A64-A63),"")</f>
        <v>19.8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30</v>
      </c>
      <c r="B65" s="63">
        <v>309</v>
      </c>
      <c r="C65" s="63">
        <v>4</v>
      </c>
      <c r="D65" s="63">
        <v>309</v>
      </c>
      <c r="E65" s="54">
        <v>0.7</v>
      </c>
      <c r="F65" s="54">
        <v>0.4</v>
      </c>
      <c r="G65" s="54">
        <v>0.3</v>
      </c>
      <c r="H65" s="54"/>
      <c r="I65" s="52">
        <f>IF(A65&lt;&gt;0,(B65-(B64-D64))/(A65-A64),"")</f>
        <v>16.625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Robinier faux-acacia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5</v>
      </c>
      <c r="B88" s="63">
        <v>34</v>
      </c>
      <c r="C88" s="63">
        <v>1</v>
      </c>
      <c r="D88" s="63">
        <v>6</v>
      </c>
      <c r="E88" s="54"/>
      <c r="F88" s="54"/>
      <c r="G88" s="54"/>
      <c r="H88" s="93">
        <v>1</v>
      </c>
      <c r="I88" s="56">
        <f>IFERROR(B88/A88,"")</f>
        <v>6.8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10</v>
      </c>
      <c r="B89" s="63">
        <v>99</v>
      </c>
      <c r="C89" s="63">
        <v>2</v>
      </c>
      <c r="D89" s="63">
        <v>28</v>
      </c>
      <c r="E89" s="54"/>
      <c r="F89" s="54"/>
      <c r="G89" s="54"/>
      <c r="H89" s="93">
        <v>1</v>
      </c>
      <c r="I89" s="56">
        <f t="shared" ref="I89:I107" si="3">IF(A89&lt;&gt;0,(B89-(B88-D88))/(A89-A88),"")</f>
        <v>14.2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15</v>
      </c>
      <c r="B90" s="63">
        <v>140</v>
      </c>
      <c r="C90" s="63">
        <v>3</v>
      </c>
      <c r="D90" s="63">
        <v>23</v>
      </c>
      <c r="E90" s="93"/>
      <c r="F90" s="93"/>
      <c r="G90" s="93"/>
      <c r="H90" s="93">
        <v>1</v>
      </c>
      <c r="I90" s="56">
        <f t="shared" si="3"/>
        <v>13.8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20</v>
      </c>
      <c r="B91" s="63">
        <v>180</v>
      </c>
      <c r="C91" s="63">
        <v>4</v>
      </c>
      <c r="D91" s="63">
        <v>18</v>
      </c>
      <c r="E91" s="93">
        <v>0.1</v>
      </c>
      <c r="F91" s="93"/>
      <c r="G91" s="93"/>
      <c r="H91" s="93">
        <v>0.9</v>
      </c>
      <c r="I91" s="56">
        <f t="shared" si="3"/>
        <v>12.6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25</v>
      </c>
      <c r="B92" s="63">
        <v>214</v>
      </c>
      <c r="C92" s="63">
        <v>5</v>
      </c>
      <c r="D92" s="63">
        <v>14</v>
      </c>
      <c r="E92" s="93">
        <v>0.2</v>
      </c>
      <c r="F92" s="93"/>
      <c r="G92" s="93"/>
      <c r="H92" s="93">
        <v>0.8</v>
      </c>
      <c r="I92" s="56">
        <f t="shared" si="3"/>
        <v>10.4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30</v>
      </c>
      <c r="B93" s="63">
        <v>243</v>
      </c>
      <c r="C93" s="63">
        <v>6</v>
      </c>
      <c r="D93" s="63">
        <v>11</v>
      </c>
      <c r="E93" s="93">
        <v>0.3</v>
      </c>
      <c r="F93" s="93"/>
      <c r="G93" s="93"/>
      <c r="H93" s="93">
        <v>0.7</v>
      </c>
      <c r="I93" s="56">
        <f t="shared" si="3"/>
        <v>8.6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35</v>
      </c>
      <c r="B94" s="63">
        <v>267</v>
      </c>
      <c r="C94" s="63">
        <v>7</v>
      </c>
      <c r="D94" s="63">
        <v>9</v>
      </c>
      <c r="E94" s="93"/>
      <c r="F94" s="93"/>
      <c r="G94" s="93"/>
      <c r="H94" s="93"/>
      <c r="I94" s="56">
        <f t="shared" si="3"/>
        <v>7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40</v>
      </c>
      <c r="B95" s="63">
        <v>289</v>
      </c>
      <c r="C95" s="63">
        <v>8</v>
      </c>
      <c r="D95" s="63">
        <v>7</v>
      </c>
      <c r="E95" s="93"/>
      <c r="F95" s="93"/>
      <c r="G95" s="93"/>
      <c r="H95" s="93"/>
      <c r="I95" s="56">
        <f t="shared" si="3"/>
        <v>6.2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45</v>
      </c>
      <c r="B96" s="63">
        <v>312</v>
      </c>
      <c r="C96" s="63">
        <v>9</v>
      </c>
      <c r="D96" s="63">
        <v>312</v>
      </c>
      <c r="E96" s="93"/>
      <c r="F96" s="93"/>
      <c r="G96" s="93"/>
      <c r="H96" s="93"/>
      <c r="I96" s="56">
        <f t="shared" si="3"/>
        <v>6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17" sqref="C17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Pin taeda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Robinier faux-acacia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187.13674266165236</v>
      </c>
      <c r="T3" s="62">
        <f>IF('Données projet'!E9&gt;30,$R$33-$H$33,LOOKUP('Données projet'!$E$9,$A$3:$A$203,R3:R203)-LOOKUP('Données projet'!$E$9,$A$3:$A$203,$H$3:$H$203))</f>
        <v>439.28159165815276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187.13674266165236</v>
      </c>
      <c r="AO3" s="62">
        <f>IF('Données projet'!E10&gt;30,$AM$33-$H$33,LOOKUP('Données projet'!$E$10,$A$3:$A$203,AM3:AM203)-LOOKUP('Données projet'!$E$10,$A$3:$A$203,$H$3:$H$203))</f>
        <v>439.28159165815276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366.86025470473652</v>
      </c>
      <c r="BJ3" s="62">
        <f>IF('Données projet'!E11&gt;30,$BH$33-$H$33,LOOKUP('Données projet'!$E$11,$A$3:$A$203,BH3:BH203)-LOOKUP('Données projet'!$E$11,$A$3:$A$203,$H$3:$H$203))</f>
        <v>513.80016421153414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260.1434244379796</v>
      </c>
      <c r="S4" s="62">
        <f ca="1">AVERAGE(OFFSET($R$3,0,0,'Données projet'!$E$9+1,1))-AVERAGE(OFFSET($H$3,0,0,'Données projet'!$E$9+1,1))</f>
        <v>187.13674266165236</v>
      </c>
      <c r="T4" s="62">
        <f>$T$3</f>
        <v>439.28159165815276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8.8333333333333339</v>
      </c>
      <c r="AI4" s="14">
        <f>IF('Données projet'!$A$62&gt;35,AI3+AH4-AQ3,IF(A4&lt;'Données projet'!$A$62,$AF$205^A4,IF(A4='Données projet'!$A$62,'Données projet'!$B$62,AI3+AH4-AQ3)))</f>
        <v>1.4749438547769935</v>
      </c>
      <c r="AJ4" s="14">
        <f>AI4*VLOOKUP('Données projet'!$B$10,Paramètres!$A$1:$I$89,3,0)*VLOOKUP('Données projet'!$B$10,Paramètres!$A$1:$I$89,5,0)</f>
        <v>0.88201642515664225</v>
      </c>
      <c r="AK4" s="14">
        <f>EXP(-1.0587+0.8836*LN(AJ4)+0.284)</f>
        <v>0.4124537465701128</v>
      </c>
      <c r="AL4" s="22">
        <f t="shared" ref="AL4:AL67" si="4">(AJ4+AK4)*0.475*44/12</f>
        <v>2.254535549090765</v>
      </c>
      <c r="AM4" s="62">
        <f t="shared" ref="AM4:AM67" si="5">AL4+(AD4+AE4)*44/12</f>
        <v>260.1434244379796</v>
      </c>
      <c r="AN4" s="62">
        <f ca="1">AVERAGE(OFFSET($AM$3,0,0,'Données projet'!$E$10+1,1))-AVERAGE(OFFSET($H$3,0,0,'Données projet'!$E$10+1,1))</f>
        <v>187.13674266165236</v>
      </c>
      <c r="AO4" s="62">
        <f>$AO$3</f>
        <v>439.28159165815276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6.8</v>
      </c>
      <c r="BD4" s="13">
        <f>IF('Données projet'!$A$88&gt;35,BD3+BC4-BL3,IF(A4&lt;'Données projet'!$A$88,$BA$205^A4,IF(A4='Données projet'!$A$88,'Données projet'!$B$88,BD3+BC4-BL3)))</f>
        <v>2.0243974584998852</v>
      </c>
      <c r="BE4" s="14">
        <f>BD4*VLOOKUP('Données projet'!$B$11,Paramètres!$A$1:$I$89,3,0)*VLOOKUP('Données projet'!$B$11,Paramètres!$A$1:$I$89,5,0)</f>
        <v>1.8316748204506961</v>
      </c>
      <c r="BF4" s="14">
        <f>EXP(-1.0587+0.8836*LN(BE4)+0.284)</f>
        <v>0.78669228172688432</v>
      </c>
      <c r="BG4" s="22">
        <f t="shared" ref="BG4:BG67" si="7">(BE4+BF4)*0.475*44/12</f>
        <v>4.5603227029592857</v>
      </c>
      <c r="BH4" s="62">
        <f t="shared" ref="BH4:BH67" si="8">BG4+(AY4+AZ4)*44/12</f>
        <v>262.44921159184815</v>
      </c>
      <c r="BI4" s="62">
        <f ca="1">AVERAGE(OFFSET($BH$3,0,0,'Données projet'!$E$11+1,1))-AVERAGE(OFFSET($H$3,0,0,'Données projet'!$E$11+1,1))</f>
        <v>366.86025470473652</v>
      </c>
      <c r="BJ4" s="62">
        <f>$BJ$3</f>
        <v>513.80016421153414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262.38956383505422</v>
      </c>
      <c r="S5" s="62">
        <f ca="1">AVERAGE(OFFSET($R$3,0,0,'Données projet'!$E$9+1,1))-AVERAGE(OFFSET($H$3,0,0,'Données projet'!$E$9+1,1))</f>
        <v>187.13674266165236</v>
      </c>
      <c r="T5" s="62">
        <f t="shared" ref="T5:T68" si="34">$T$3</f>
        <v>439.28159165815276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8.8333333333333339</v>
      </c>
      <c r="AI5" s="14">
        <f>IF('Données projet'!$A$62&gt;35,AI4+AH5-AQ4,IF(A5&lt;'Données projet'!$A$62,$AF$205^A5,IF(A5='Données projet'!$A$62,'Données projet'!$B$62,AI4+AH5-AQ4)))</f>
        <v>2.1754593747444169</v>
      </c>
      <c r="AJ5" s="14">
        <f>AI5*VLOOKUP('Données projet'!$B$10,Paramètres!$A$1:$I$89,3,0)*VLOOKUP('Données projet'!$B$10,Paramètres!$A$1:$I$89,5,0)</f>
        <v>1.3009247060971614</v>
      </c>
      <c r="AK5" s="14">
        <f t="shared" ref="AK5:AK68" si="35">EXP(-1.0587+0.8836*LN(AJ5)+0.284)</f>
        <v>0.58144049425293109</v>
      </c>
      <c r="AL5" s="22">
        <f t="shared" si="4"/>
        <v>3.2784527239430776</v>
      </c>
      <c r="AM5" s="62">
        <f t="shared" si="5"/>
        <v>262.38956383505422</v>
      </c>
      <c r="AN5" s="62">
        <f ca="1">AVERAGE(OFFSET($AM$3,0,0,'Données projet'!$E$10+1,1))-AVERAGE(OFFSET($H$3,0,0,'Données projet'!$E$10+1,1))</f>
        <v>187.13674266165236</v>
      </c>
      <c r="AO5" s="62">
        <f t="shared" ref="AO5:AO68" si="36">$AO$3</f>
        <v>439.28159165815276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6.8</v>
      </c>
      <c r="BD5" s="13">
        <f>IF('Données projet'!$A$88&gt;35,BD4+BC5-BL4,IF(A5&lt;'Données projet'!$A$88,$BA$205^A5,IF(A5='Données projet'!$A$88,'Données projet'!$B$88,BD4+BC5-BL4)))</f>
        <v>4.0981850699807945</v>
      </c>
      <c r="BE5" s="14">
        <f>BD5*VLOOKUP('Données projet'!$B$11,Paramètres!$A$1:$I$89,3,0)*VLOOKUP('Données projet'!$B$11,Paramètres!$A$1:$I$89,5,0)</f>
        <v>3.7080378513186227</v>
      </c>
      <c r="BF5" s="14">
        <f t="shared" ref="BF5:BF68" si="37">EXP(-1.0587+0.8836*LN(BE5)+0.284)</f>
        <v>1.4670598901857457</v>
      </c>
      <c r="BG5" s="22">
        <f t="shared" si="7"/>
        <v>9.0132952331201093</v>
      </c>
      <c r="BH5" s="62">
        <f t="shared" si="8"/>
        <v>268.12440634423126</v>
      </c>
      <c r="BI5" s="62">
        <f ca="1">AVERAGE(OFFSET($BH$3,0,0,'Données projet'!$E$11+1,1))-AVERAGE(OFFSET($H$3,0,0,'Données projet'!$E$11+1,1))</f>
        <v>366.86025470473652</v>
      </c>
      <c r="BJ5" s="62">
        <f t="shared" ref="BJ5:BJ68" si="38">$BJ$3</f>
        <v>513.80016421153414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265.10280709686913</v>
      </c>
      <c r="S6" s="62">
        <f ca="1">AVERAGE(OFFSET($R$3,0,0,'Données projet'!$E$9+1,1))-AVERAGE(OFFSET($H$3,0,0,'Données projet'!$E$9+1,1))</f>
        <v>187.13674266165236</v>
      </c>
      <c r="T6" s="62">
        <f t="shared" si="34"/>
        <v>439.28159165815276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8.8333333333333339</v>
      </c>
      <c r="AI6" s="14">
        <f>IF('Données projet'!$A$62&gt;35,AI5+AH6-AQ5,IF(A6&lt;'Données projet'!$A$62,$AF$205^A6,IF(A6='Données projet'!$A$62,'Données projet'!$B$62,AI5+AH6-AQ5)))</f>
        <v>3.2086804360962784</v>
      </c>
      <c r="AJ6" s="14">
        <f>AI6*VLOOKUP('Données projet'!$B$10,Paramètres!$A$1:$I$89,3,0)*VLOOKUP('Données projet'!$B$10,Paramètres!$A$1:$I$89,5,0)</f>
        <v>1.9187909007855746</v>
      </c>
      <c r="AK6" s="14">
        <f t="shared" si="35"/>
        <v>0.81966293473739615</v>
      </c>
      <c r="AL6" s="22">
        <f t="shared" si="4"/>
        <v>4.7694737635358404</v>
      </c>
      <c r="AM6" s="62">
        <f t="shared" si="5"/>
        <v>265.10280709686913</v>
      </c>
      <c r="AN6" s="62">
        <f ca="1">AVERAGE(OFFSET($AM$3,0,0,'Données projet'!$E$10+1,1))-AVERAGE(OFFSET($H$3,0,0,'Données projet'!$E$10+1,1))</f>
        <v>187.13674266165236</v>
      </c>
      <c r="AO6" s="62">
        <f t="shared" si="36"/>
        <v>439.28159165815276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6.8</v>
      </c>
      <c r="BD6" s="13">
        <f>IF('Données projet'!$A$88&gt;35,BD5+BC6-BL5,IF(A6&lt;'Données projet'!$A$88,$BA$205^A6,IF(A6='Données projet'!$A$88,'Données projet'!$B$88,BD5+BC6-BL5)))</f>
        <v>8.2963554401312951</v>
      </c>
      <c r="BE6" s="14">
        <f>BD6*VLOOKUP('Données projet'!$B$11,Paramètres!$A$1:$I$89,3,0)*VLOOKUP('Données projet'!$B$11,Paramètres!$A$1:$I$89,5,0)</f>
        <v>7.5065424022307949</v>
      </c>
      <c r="BF6" s="14">
        <f t="shared" si="37"/>
        <v>2.7358406474604431</v>
      </c>
      <c r="BG6" s="22">
        <f t="shared" si="7"/>
        <v>17.838817144878906</v>
      </c>
      <c r="BH6" s="62">
        <f t="shared" si="8"/>
        <v>278.17215047821225</v>
      </c>
      <c r="BI6" s="62">
        <f ca="1">AVERAGE(OFFSET($BH$3,0,0,'Données projet'!$E$11+1,1))-AVERAGE(OFFSET($H$3,0,0,'Données projet'!$E$11+1,1))</f>
        <v>366.86025470473652</v>
      </c>
      <c r="BJ6" s="62">
        <f t="shared" si="38"/>
        <v>513.80016421153414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268.49713617112559</v>
      </c>
      <c r="S7" s="62">
        <f ca="1">AVERAGE(OFFSET($R$3,0,0,'Données projet'!$E$9+1,1))-AVERAGE(OFFSET($H$3,0,0,'Données projet'!$E$9+1,1))</f>
        <v>187.13674266165236</v>
      </c>
      <c r="T7" s="62">
        <f t="shared" si="34"/>
        <v>439.28159165815276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8.8333333333333339</v>
      </c>
      <c r="AI7" s="14">
        <f>IF('Données projet'!$A$62&gt;35,AI6+AH7-AQ6,IF(A7&lt;'Données projet'!$A$62,$AF$205^A7,IF(A7='Données projet'!$A$62,'Données projet'!$B$62,AI6+AH7-AQ6)))</f>
        <v>4.7326234911633689</v>
      </c>
      <c r="AJ7" s="14">
        <f>AI7*VLOOKUP('Données projet'!$B$10,Paramètres!$A$1:$I$89,3,0)*VLOOKUP('Données projet'!$B$10,Paramètres!$A$1:$I$89,5,0)</f>
        <v>2.8301088477156946</v>
      </c>
      <c r="AK7" s="14">
        <f t="shared" si="35"/>
        <v>1.1554876779704684</v>
      </c>
      <c r="AL7" s="22">
        <f t="shared" si="4"/>
        <v>6.9415806155700679</v>
      </c>
      <c r="AM7" s="62">
        <f t="shared" si="5"/>
        <v>268.49713617112559</v>
      </c>
      <c r="AN7" s="62">
        <f ca="1">AVERAGE(OFFSET($AM$3,0,0,'Données projet'!$E$10+1,1))-AVERAGE(OFFSET($H$3,0,0,'Données projet'!$E$10+1,1))</f>
        <v>187.13674266165236</v>
      </c>
      <c r="AO7" s="62">
        <f t="shared" si="36"/>
        <v>439.28159165815276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6.8</v>
      </c>
      <c r="BD7" s="13">
        <f>IF('Données projet'!$A$88&gt;35,BD6+BC7-BL6,IF(A7&lt;'Données projet'!$A$88,$BA$205^A7,IF(A7='Données projet'!$A$88,'Données projet'!$B$88,BD6+BC7-BL6)))</f>
        <v>16.795120867813488</v>
      </c>
      <c r="BE7" s="14">
        <f>BD7*VLOOKUP('Données projet'!$B$11,Paramètres!$A$1:$I$89,3,0)*VLOOKUP('Données projet'!$B$11,Paramètres!$A$1:$I$89,5,0)</f>
        <v>15.196225361197643</v>
      </c>
      <c r="BF7" s="14">
        <f t="shared" si="37"/>
        <v>5.1019212633160578</v>
      </c>
      <c r="BG7" s="22">
        <f t="shared" si="7"/>
        <v>35.352605371028027</v>
      </c>
      <c r="BH7" s="62">
        <f t="shared" si="8"/>
        <v>296.90816092658355</v>
      </c>
      <c r="BI7" s="62">
        <f ca="1">AVERAGE(OFFSET($BH$3,0,0,'Données projet'!$E$11+1,1))-AVERAGE(OFFSET($H$3,0,0,'Données projet'!$E$11+1,1))</f>
        <v>366.86025470473652</v>
      </c>
      <c r="BJ7" s="62">
        <f t="shared" si="38"/>
        <v>513.80016421153414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272.88493956505795</v>
      </c>
      <c r="S8" s="62">
        <f ca="1">AVERAGE(OFFSET($R$3,0,0,'Données projet'!$E$9+1,1))-AVERAGE(OFFSET($H$3,0,0,'Données projet'!$E$9+1,1))</f>
        <v>187.13674266165236</v>
      </c>
      <c r="T8" s="62">
        <f t="shared" si="34"/>
        <v>439.28159165815276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8.8333333333333339</v>
      </c>
      <c r="AI8" s="14">
        <f>IF('Données projet'!$A$62&gt;35,AI7+AH8-AQ7,IF(A8&lt;'Données projet'!$A$62,$AF$205^A8,IF(A8='Données projet'!$A$62,'Données projet'!$B$62,AI7+AH8-AQ7)))</f>
        <v>6.9803539352646524</v>
      </c>
      <c r="AJ8" s="14">
        <f>AI8*VLOOKUP('Données projet'!$B$10,Paramètres!$A$1:$I$89,3,0)*VLOOKUP('Données projet'!$B$10,Paramètres!$A$1:$I$89,5,0)</f>
        <v>4.1742516532882625</v>
      </c>
      <c r="AK8" s="14">
        <f t="shared" si="35"/>
        <v>1.6289034398869595</v>
      </c>
      <c r="AL8" s="22">
        <f t="shared" si="4"/>
        <v>10.107161787280178</v>
      </c>
      <c r="AM8" s="62">
        <f t="shared" si="5"/>
        <v>272.88493956505795</v>
      </c>
      <c r="AN8" s="62">
        <f ca="1">AVERAGE(OFFSET($AM$3,0,0,'Données projet'!$E$10+1,1))-AVERAGE(OFFSET($H$3,0,0,'Données projet'!$E$10+1,1))</f>
        <v>187.13674266165236</v>
      </c>
      <c r="AO8" s="62">
        <f t="shared" si="36"/>
        <v>439.28159165815276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>
        <f>VLOOKUP(A8,'Données projet'!$A$87:$I$107,2,0)</f>
        <v>34</v>
      </c>
      <c r="BB8" s="13">
        <f>VLOOKUP(A8,'Données projet'!$A$87:$I$107,9,0)</f>
        <v>6.8</v>
      </c>
      <c r="BC8" s="13">
        <f t="array" ref="BC8">INDEX(BB:BB,MIN(IF(ISNUMBER(BB8:BB204),ROW(BB8:BB204),"")))</f>
        <v>6.8</v>
      </c>
      <c r="BD8" s="13">
        <f>IF('Données projet'!$A$88&gt;35,BD7+BC8-BL7,IF(A8&lt;'Données projet'!$A$88,$BA$205^A8,IF(A8='Données projet'!$A$88,'Données projet'!$B$88,BD7+BC8-BL7)))</f>
        <v>34</v>
      </c>
      <c r="BE8" s="14">
        <f>BD8*VLOOKUP('Données projet'!$B$11,Paramètres!$A$1:$I$89,3,0)*VLOOKUP('Données projet'!$B$11,Paramètres!$A$1:$I$89,5,0)</f>
        <v>30.763199999999998</v>
      </c>
      <c r="BF8" s="14">
        <f t="shared" si="37"/>
        <v>9.5142970411082253</v>
      </c>
      <c r="BG8" s="22">
        <f t="shared" si="7"/>
        <v>70.149974013263474</v>
      </c>
      <c r="BH8" s="62">
        <f t="shared" si="8"/>
        <v>332.92775179104126</v>
      </c>
      <c r="BI8" s="62">
        <f ca="1">AVERAGE(OFFSET($BH$3,0,0,'Données projet'!$E$11+1,1))-AVERAGE(OFFSET($H$3,0,0,'Données projet'!$E$11+1,1))</f>
        <v>366.86025470473652</v>
      </c>
      <c r="BJ8" s="62">
        <f t="shared" si="38"/>
        <v>513.80016421153414</v>
      </c>
      <c r="BK8" s="16">
        <f>IF(ISNA(VLOOKUP(A8,'Données projet'!$A$87:$I$107,3,0)),0,VLOOKUP(A8,'Données projet'!$A$87:$I$107,3,0))</f>
        <v>1</v>
      </c>
      <c r="BL8" s="16">
        <f>IF(ISNA(VLOOKUP(A8,'Données projet'!$A$87:$I$107,4,0)),0,VLOOKUP(A8,'Données projet'!$A$87:$I$107,4,0))</f>
        <v>6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278.72242949911606</v>
      </c>
      <c r="S9" s="62">
        <f ca="1">AVERAGE(OFFSET($R$3,0,0,'Données projet'!$E$9+1,1))-AVERAGE(OFFSET($H$3,0,0,'Données projet'!$E$9+1,1))</f>
        <v>187.13674266165236</v>
      </c>
      <c r="T9" s="62">
        <f t="shared" si="34"/>
        <v>439.28159165815276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8.8333333333333339</v>
      </c>
      <c r="AI9" s="14">
        <f>IF('Données projet'!$A$62&gt;35,AI8+AH9-AQ8,IF(A9&lt;'Données projet'!$A$62,$AF$205^A9,IF(A9='Données projet'!$A$62,'Données projet'!$B$62,AI8+AH9-AQ8)))</f>
        <v>10.295630140987003</v>
      </c>
      <c r="AJ9" s="14">
        <f>AI9*VLOOKUP('Données projet'!$B$10,Paramètres!$A$1:$I$89,3,0)*VLOOKUP('Données projet'!$B$10,Paramètres!$A$1:$I$89,5,0)</f>
        <v>6.1567868243102275</v>
      </c>
      <c r="AK9" s="14">
        <f t="shared" si="35"/>
        <v>2.2962827445602434</v>
      </c>
      <c r="AL9" s="22">
        <f t="shared" si="4"/>
        <v>14.722429499116073</v>
      </c>
      <c r="AM9" s="62">
        <f t="shared" si="5"/>
        <v>278.72242949911606</v>
      </c>
      <c r="AN9" s="62">
        <f ca="1">AVERAGE(OFFSET($AM$3,0,0,'Données projet'!$E$10+1,1))-AVERAGE(OFFSET($H$3,0,0,'Données projet'!$E$10+1,1))</f>
        <v>187.13674266165236</v>
      </c>
      <c r="AO9" s="62">
        <f t="shared" si="36"/>
        <v>439.28159165815276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14.2</v>
      </c>
      <c r="BD9" s="13">
        <f>IF('Données projet'!$A$88&gt;35,BD8+BC9-BL8,IF(A9&lt;'Données projet'!$A$88,$BA$205^A9,IF(A9='Données projet'!$A$88,'Données projet'!$B$88,BD8+BC9-BL8)))</f>
        <v>42.2</v>
      </c>
      <c r="BE9" s="14">
        <f>BD9*VLOOKUP('Données projet'!$B$11,Paramètres!$A$1:$I$89,3,0)*VLOOKUP('Données projet'!$B$11,Paramètres!$A$1:$I$89,5,0)</f>
        <v>38.182560000000002</v>
      </c>
      <c r="BF9" s="14">
        <f t="shared" si="37"/>
        <v>11.515638334288104</v>
      </c>
      <c r="BG9" s="22">
        <f t="shared" si="7"/>
        <v>86.557695432218452</v>
      </c>
      <c r="BH9" s="62">
        <f t="shared" si="8"/>
        <v>350.55769543221845</v>
      </c>
      <c r="BI9" s="62">
        <f ca="1">AVERAGE(OFFSET($BH$3,0,0,'Données projet'!$E$11+1,1))-AVERAGE(OFFSET($H$3,0,0,'Données projet'!$E$11+1,1))</f>
        <v>366.86025470473652</v>
      </c>
      <c r="BJ9" s="62">
        <f t="shared" si="38"/>
        <v>513.80016421153414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286.6760886613967</v>
      </c>
      <c r="S10" s="62">
        <f ca="1">AVERAGE(OFFSET($R$3,0,0,'Données projet'!$E$9+1,1))-AVERAGE(OFFSET($H$3,0,0,'Données projet'!$E$9+1,1))</f>
        <v>187.13674266165236</v>
      </c>
      <c r="T10" s="62">
        <f t="shared" si="34"/>
        <v>439.28159165815276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8.8333333333333339</v>
      </c>
      <c r="AI10" s="14">
        <f>IF('Données projet'!$A$62&gt;35,AI9+AH10-AQ9,IF(A10&lt;'Données projet'!$A$62,$AF$205^A10,IF(A10='Données projet'!$A$62,'Données projet'!$B$62,AI9+AH10-AQ9)))</f>
        <v>15.18547640750557</v>
      </c>
      <c r="AJ10" s="14">
        <f>AI10*VLOOKUP('Données projet'!$B$10,Paramètres!$A$1:$I$89,3,0)*VLOOKUP('Données projet'!$B$10,Paramètres!$A$1:$I$89,5,0)</f>
        <v>9.080914891688332</v>
      </c>
      <c r="AK10" s="14">
        <f t="shared" si="35"/>
        <v>3.2370945470721373</v>
      </c>
      <c r="AL10" s="22">
        <f t="shared" si="4"/>
        <v>21.45386643917448</v>
      </c>
      <c r="AM10" s="62">
        <f t="shared" si="5"/>
        <v>286.6760886613967</v>
      </c>
      <c r="AN10" s="62">
        <f ca="1">AVERAGE(OFFSET($AM$3,0,0,'Données projet'!$E$10+1,1))-AVERAGE(OFFSET($H$3,0,0,'Données projet'!$E$10+1,1))</f>
        <v>187.13674266165236</v>
      </c>
      <c r="AO10" s="62">
        <f t="shared" si="36"/>
        <v>439.28159165815276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14.2</v>
      </c>
      <c r="BD10" s="13">
        <f>IF('Données projet'!$A$88&gt;35,BD9+BC10-BL9,IF(A10&lt;'Données projet'!$A$88,$BA$205^A10,IF(A10='Données projet'!$A$88,'Données projet'!$B$88,BD9+BC10-BL9)))</f>
        <v>56.400000000000006</v>
      </c>
      <c r="BE10" s="14">
        <f>BD10*VLOOKUP('Données projet'!$B$11,Paramètres!$A$1:$I$89,3,0)*VLOOKUP('Données projet'!$B$11,Paramètres!$A$1:$I$89,5,0)</f>
        <v>51.030720000000009</v>
      </c>
      <c r="BF10" s="14">
        <f t="shared" si="37"/>
        <v>14.879630660597618</v>
      </c>
      <c r="BG10" s="22">
        <f t="shared" si="7"/>
        <v>114.79386073387418</v>
      </c>
      <c r="BH10" s="62">
        <f t="shared" si="8"/>
        <v>380.0160829560964</v>
      </c>
      <c r="BI10" s="62">
        <f ca="1">AVERAGE(OFFSET($BH$3,0,0,'Données projet'!$E$11+1,1))-AVERAGE(OFFSET($H$3,0,0,'Données projet'!$E$11+1,1))</f>
        <v>366.86025470473652</v>
      </c>
      <c r="BJ10" s="62">
        <f t="shared" si="38"/>
        <v>513.80016421153414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297.71991279004334</v>
      </c>
      <c r="S11" s="62">
        <f ca="1">AVERAGE(OFFSET($R$3,0,0,'Données projet'!$E$9+1,1))-AVERAGE(OFFSET($H$3,0,0,'Données projet'!$E$9+1,1))</f>
        <v>187.13674266165236</v>
      </c>
      <c r="T11" s="62">
        <f t="shared" si="34"/>
        <v>439.28159165815276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8.8333333333333339</v>
      </c>
      <c r="AI11" s="14">
        <f>IF('Données projet'!$A$62&gt;35,AI10+AH11-AQ10,IF(A11&lt;'Données projet'!$A$62,$AF$205^A11,IF(A11='Données projet'!$A$62,'Données projet'!$B$62,AI10+AH11-AQ10)))</f>
        <v>22.397725109111352</v>
      </c>
      <c r="AJ11" s="14">
        <f>AI11*VLOOKUP('Données projet'!$B$10,Paramètres!$A$1:$I$89,3,0)*VLOOKUP('Données projet'!$B$10,Paramètres!$A$1:$I$89,5,0)</f>
        <v>13.39383961524859</v>
      </c>
      <c r="AK11" s="14">
        <f t="shared" si="35"/>
        <v>4.5633670903584358</v>
      </c>
      <c r="AL11" s="22">
        <f t="shared" si="4"/>
        <v>31.275468345598899</v>
      </c>
      <c r="AM11" s="62">
        <f t="shared" si="5"/>
        <v>297.71991279004334</v>
      </c>
      <c r="AN11" s="62">
        <f ca="1">AVERAGE(OFFSET($AM$3,0,0,'Données projet'!$E$10+1,1))-AVERAGE(OFFSET($H$3,0,0,'Données projet'!$E$10+1,1))</f>
        <v>187.13674266165236</v>
      </c>
      <c r="AO11" s="62">
        <f t="shared" si="36"/>
        <v>439.28159165815276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14.2</v>
      </c>
      <c r="BD11" s="13">
        <f>IF('Données projet'!$A$88&gt;35,BD10+BC11-BL10,IF(A11&lt;'Données projet'!$A$88,$BA$205^A11,IF(A11='Données projet'!$A$88,'Données projet'!$B$88,BD10+BC11-BL10)))</f>
        <v>70.600000000000009</v>
      </c>
      <c r="BE11" s="14">
        <f>BD11*VLOOKUP('Données projet'!$B$11,Paramètres!$A$1:$I$89,3,0)*VLOOKUP('Données projet'!$B$11,Paramètres!$A$1:$I$89,5,0)</f>
        <v>63.878880000000002</v>
      </c>
      <c r="BF11" s="14">
        <f t="shared" si="37"/>
        <v>18.145367520913332</v>
      </c>
      <c r="BG11" s="22">
        <f t="shared" si="7"/>
        <v>142.85889776559074</v>
      </c>
      <c r="BH11" s="62">
        <f t="shared" si="8"/>
        <v>409.30334221003523</v>
      </c>
      <c r="BI11" s="62">
        <f ca="1">AVERAGE(OFFSET($BH$3,0,0,'Données projet'!$E$11+1,1))-AVERAGE(OFFSET($H$3,0,0,'Données projet'!$E$11+1,1))</f>
        <v>366.86025470473652</v>
      </c>
      <c r="BJ11" s="62">
        <f t="shared" si="38"/>
        <v>513.80016421153414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313.27776290704742</v>
      </c>
      <c r="S12" s="62">
        <f ca="1">AVERAGE(OFFSET($R$3,0,0,'Données projet'!$E$9+1,1))-AVERAGE(OFFSET($H$3,0,0,'Données projet'!$E$9+1,1))</f>
        <v>187.13674266165236</v>
      </c>
      <c r="T12" s="62">
        <f t="shared" si="34"/>
        <v>439.28159165815276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8.8333333333333339</v>
      </c>
      <c r="AI12" s="14">
        <f>IF('Données projet'!$A$62&gt;35,AI11+AH12-AQ11,IF(A12&lt;'Données projet'!$A$62,$AF$205^A12,IF(A12='Données projet'!$A$62,'Données projet'!$B$62,AI11+AH12-AQ11)))</f>
        <v>33.035387010668153</v>
      </c>
      <c r="AJ12" s="14">
        <f>AI12*VLOOKUP('Données projet'!$B$10,Paramètres!$A$1:$I$89,3,0)*VLOOKUP('Données projet'!$B$10,Paramètres!$A$1:$I$89,5,0)</f>
        <v>19.755161432379555</v>
      </c>
      <c r="AK12" s="14">
        <f t="shared" si="35"/>
        <v>6.433027796547198</v>
      </c>
      <c r="AL12" s="22">
        <f t="shared" si="4"/>
        <v>45.61109624038076</v>
      </c>
      <c r="AM12" s="62">
        <f t="shared" si="5"/>
        <v>313.27776290704742</v>
      </c>
      <c r="AN12" s="62">
        <f ca="1">AVERAGE(OFFSET($AM$3,0,0,'Données projet'!$E$10+1,1))-AVERAGE(OFFSET($H$3,0,0,'Données projet'!$E$10+1,1))</f>
        <v>187.13674266165236</v>
      </c>
      <c r="AO12" s="62">
        <f t="shared" si="36"/>
        <v>439.28159165815276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14.2</v>
      </c>
      <c r="BD12" s="13">
        <f>IF('Données projet'!$A$88&gt;35,BD11+BC12-BL11,IF(A12&lt;'Données projet'!$A$88,$BA$205^A12,IF(A12='Données projet'!$A$88,'Données projet'!$B$88,BD11+BC12-BL11)))</f>
        <v>84.800000000000011</v>
      </c>
      <c r="BE12" s="14">
        <f>BD12*VLOOKUP('Données projet'!$B$11,Paramètres!$A$1:$I$89,3,0)*VLOOKUP('Données projet'!$B$11,Paramètres!$A$1:$I$89,5,0)</f>
        <v>76.727040000000017</v>
      </c>
      <c r="BF12" s="14">
        <f t="shared" si="37"/>
        <v>21.334993267156719</v>
      </c>
      <c r="BG12" s="22">
        <f t="shared" si="7"/>
        <v>170.79137460696464</v>
      </c>
      <c r="BH12" s="62">
        <f t="shared" si="8"/>
        <v>438.45804127363135</v>
      </c>
      <c r="BI12" s="62">
        <f ca="1">AVERAGE(OFFSET($BH$3,0,0,'Données projet'!$E$11+1,1))-AVERAGE(OFFSET($H$3,0,0,'Données projet'!$E$11+1,1))</f>
        <v>366.86025470473652</v>
      </c>
      <c r="BJ12" s="62">
        <f t="shared" si="38"/>
        <v>513.80016421153414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335.43181126874777</v>
      </c>
      <c r="S13" s="62">
        <f ca="1">AVERAGE(OFFSET($R$3,0,0,'Données projet'!$E$9+1,1))-AVERAGE(OFFSET($H$3,0,0,'Données projet'!$E$9+1,1))</f>
        <v>187.13674266165236</v>
      </c>
      <c r="T13" s="62">
        <f t="shared" si="34"/>
        <v>439.28159165815276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8.8333333333333339</v>
      </c>
      <c r="AI13" s="14">
        <f>IF('Données projet'!$A$62&gt;35,AI12+AH13-AQ12,IF(A13&lt;'Données projet'!$A$62,$AF$205^A13,IF(A13='Données projet'!$A$62,'Données projet'!$B$62,AI12+AH13-AQ12)))</f>
        <v>48.725341061564706</v>
      </c>
      <c r="AJ13" s="14">
        <f>AI13*VLOOKUP('Données projet'!$B$10,Paramètres!$A$1:$I$89,3,0)*VLOOKUP('Données projet'!$B$10,Paramètres!$A$1:$I$89,5,0)</f>
        <v>29.137753954815693</v>
      </c>
      <c r="AK13" s="14">
        <f t="shared" si="35"/>
        <v>9.0687086556296208</v>
      </c>
      <c r="AL13" s="22">
        <f t="shared" si="4"/>
        <v>66.542922379858922</v>
      </c>
      <c r="AM13" s="62">
        <f t="shared" si="5"/>
        <v>335.43181126874777</v>
      </c>
      <c r="AN13" s="62">
        <f ca="1">AVERAGE(OFFSET($AM$3,0,0,'Données projet'!$E$10+1,1))-AVERAGE(OFFSET($H$3,0,0,'Données projet'!$E$10+1,1))</f>
        <v>187.13674266165236</v>
      </c>
      <c r="AO13" s="62">
        <f t="shared" si="36"/>
        <v>439.28159165815276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>
        <f>VLOOKUP(A13,'Données projet'!$A$87:$I$107,2,0)</f>
        <v>99</v>
      </c>
      <c r="BB13" s="13">
        <f>VLOOKUP(A13,'Données projet'!$A$87:$I$107,9,0)</f>
        <v>14.2</v>
      </c>
      <c r="BC13" s="13">
        <f t="array" ref="BC13">INDEX(BB:BB,MIN(IF(ISNUMBER(BB13:BB209),ROW(BB13:BB209),"")))</f>
        <v>14.2</v>
      </c>
      <c r="BD13" s="13">
        <f>IF('Données projet'!$A$88&gt;35,BD12+BC13-BL12,IF(A13&lt;'Données projet'!$A$88,$BA$205^A13,IF(A13='Données projet'!$A$88,'Données projet'!$B$88,BD12+BC13-BL12)))</f>
        <v>99.000000000000014</v>
      </c>
      <c r="BE13" s="14">
        <f>BD13*VLOOKUP('Données projet'!$B$11,Paramètres!$A$1:$I$89,3,0)*VLOOKUP('Données projet'!$B$11,Paramètres!$A$1:$I$89,5,0)</f>
        <v>89.575200000000009</v>
      </c>
      <c r="BF13" s="14">
        <f t="shared" si="37"/>
        <v>24.462745269668691</v>
      </c>
      <c r="BG13" s="22">
        <f t="shared" si="7"/>
        <v>198.61608801133966</v>
      </c>
      <c r="BH13" s="62">
        <f t="shared" si="8"/>
        <v>467.50497690022848</v>
      </c>
      <c r="BI13" s="62">
        <f ca="1">AVERAGE(OFFSET($BH$3,0,0,'Données projet'!$E$11+1,1))-AVERAGE(OFFSET($H$3,0,0,'Données projet'!$E$11+1,1))</f>
        <v>366.86025470473652</v>
      </c>
      <c r="BJ13" s="62">
        <f t="shared" si="38"/>
        <v>513.80016421153414</v>
      </c>
      <c r="BK13" s="16">
        <f>IF(ISNA(VLOOKUP(A13,'Données projet'!$A$87:$I$107,3,0)),0,VLOOKUP(A13,'Données projet'!$A$87:$I$107,3,0))</f>
        <v>2</v>
      </c>
      <c r="BL13" s="16">
        <f>IF(ISNA(VLOOKUP(A13,'Données projet'!$A$87:$I$107,4,0)),0,VLOOKUP(A13,'Données projet'!$A$87:$I$107,4,0))</f>
        <v>28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367.22785087914758</v>
      </c>
      <c r="S14" s="62">
        <f ca="1">AVERAGE(OFFSET($R$3,0,0,'Données projet'!$E$9+1,1))-AVERAGE(OFFSET($H$3,0,0,'Données projet'!$E$9+1,1))</f>
        <v>187.13674266165236</v>
      </c>
      <c r="T14" s="62">
        <f t="shared" si="34"/>
        <v>439.28159165815276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8.8333333333333339</v>
      </c>
      <c r="AI14" s="14">
        <f>IF('Données projet'!$A$62&gt;35,AI13+AH14-AQ13,IF(A14&lt;'Données projet'!$A$62,$AF$205^A14,IF(A14='Données projet'!$A$62,'Données projet'!$B$62,AI13+AH14-AQ13)))</f>
        <v>71.867142370667978</v>
      </c>
      <c r="AJ14" s="14">
        <f>AI14*VLOOKUP('Données projet'!$B$10,Paramètres!$A$1:$I$89,3,0)*VLOOKUP('Données projet'!$B$10,Paramètres!$A$1:$I$89,5,0)</f>
        <v>42.976551137659456</v>
      </c>
      <c r="AK14" s="14">
        <f t="shared" si="35"/>
        <v>12.784256384658107</v>
      </c>
      <c r="AL14" s="22">
        <f t="shared" si="4"/>
        <v>97.116739768036425</v>
      </c>
      <c r="AM14" s="62">
        <f t="shared" si="5"/>
        <v>367.22785087914758</v>
      </c>
      <c r="AN14" s="62">
        <f ca="1">AVERAGE(OFFSET($AM$3,0,0,'Données projet'!$E$10+1,1))-AVERAGE(OFFSET($H$3,0,0,'Données projet'!$E$10+1,1))</f>
        <v>187.13674266165236</v>
      </c>
      <c r="AO14" s="62">
        <f t="shared" si="36"/>
        <v>439.28159165815276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13.8</v>
      </c>
      <c r="BD14" s="13">
        <f>IF('Données projet'!$A$88&gt;35,BD13+BC14-BL13,IF(A14&lt;'Données projet'!$A$88,$BA$205^A14,IF(A14='Données projet'!$A$88,'Données projet'!$B$88,BD13+BC14-BL13)))</f>
        <v>84.800000000000011</v>
      </c>
      <c r="BE14" s="14">
        <f>BD14*VLOOKUP('Données projet'!$B$11,Paramètres!$A$1:$I$89,3,0)*VLOOKUP('Données projet'!$B$11,Paramètres!$A$1:$I$89,5,0)</f>
        <v>76.727040000000017</v>
      </c>
      <c r="BF14" s="14">
        <f t="shared" si="37"/>
        <v>21.334993267156719</v>
      </c>
      <c r="BG14" s="22">
        <f t="shared" si="7"/>
        <v>170.79137460696464</v>
      </c>
      <c r="BH14" s="62">
        <f t="shared" si="8"/>
        <v>440.90248571807581</v>
      </c>
      <c r="BI14" s="62">
        <f ca="1">AVERAGE(OFFSET($BH$3,0,0,'Données projet'!$E$11+1,1))-AVERAGE(OFFSET($H$3,0,0,'Données projet'!$E$11+1,1))</f>
        <v>366.86025470473652</v>
      </c>
      <c r="BJ14" s="62">
        <f t="shared" si="38"/>
        <v>513.80016421153414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413.12259794811348</v>
      </c>
      <c r="S15" s="62">
        <f ca="1">AVERAGE(OFFSET($R$3,0,0,'Données projet'!$E$9+1,1))-AVERAGE(OFFSET($H$3,0,0,'Données projet'!$E$9+1,1))</f>
        <v>187.13674266165236</v>
      </c>
      <c r="T15" s="62">
        <f t="shared" si="34"/>
        <v>439.28159165815276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>
        <f>VLOOKUP(A15,'Données projet'!$A$61:$I$81,2,0)</f>
        <v>106</v>
      </c>
      <c r="AG15" s="13">
        <f>VLOOKUP(A15,'Données projet'!$A$61:$I$81,9,0)</f>
        <v>8.8333333333333339</v>
      </c>
      <c r="AH15" s="13">
        <f t="array" ref="AH15">INDEX(AG:AG,MIN(IF(ISNUMBER(AG15:AG211),ROW(AG15:AG211),"")))</f>
        <v>8.8333333333333339</v>
      </c>
      <c r="AI15" s="14">
        <f>IF('Données projet'!$A$62&gt;35,AI14+AH15-AQ14,IF(A15&lt;'Données projet'!$A$62,$AF$205^A15,IF(A15='Données projet'!$A$62,'Données projet'!$B$62,AI14+AH15-AQ14)))</f>
        <v>106</v>
      </c>
      <c r="AJ15" s="14">
        <f>AI15*VLOOKUP('Données projet'!$B$10,Paramètres!$A$1:$I$89,3,0)*VLOOKUP('Données projet'!$B$10,Paramètres!$A$1:$I$89,5,0)</f>
        <v>63.388000000000012</v>
      </c>
      <c r="AK15" s="14">
        <f t="shared" si="35"/>
        <v>18.022104085041263</v>
      </c>
      <c r="AL15" s="22">
        <f t="shared" si="4"/>
        <v>141.78926461478019</v>
      </c>
      <c r="AM15" s="62">
        <f t="shared" si="5"/>
        <v>413.12259794811348</v>
      </c>
      <c r="AN15" s="62">
        <f ca="1">AVERAGE(OFFSET($AM$3,0,0,'Données projet'!$E$10+1,1))-AVERAGE(OFFSET($H$3,0,0,'Données projet'!$E$10+1,1))</f>
        <v>187.13674266165236</v>
      </c>
      <c r="AO15" s="62">
        <f t="shared" si="36"/>
        <v>439.28159165815276</v>
      </c>
      <c r="AP15" s="16">
        <f>IF(ISNA(VLOOKUP(A15,'Données projet'!$A$61:$I$81,3,0)),0,VLOOKUP(A15,'Données projet'!$A$61:$I$81,3,0))</f>
        <v>1</v>
      </c>
      <c r="AQ15" s="16">
        <f>IF(ISNA(VLOOKUP(A15,'Données projet'!$A$61:$I$81,4,0)),0,VLOOKUP(A15,'Données projet'!$A$61:$I$81,4,0))</f>
        <v>34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1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23.020547073308105</v>
      </c>
      <c r="AX15" s="23">
        <f t="shared" si="6"/>
        <v>23.020547073308105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13.8</v>
      </c>
      <c r="BD15" s="13">
        <f>IF('Données projet'!$A$88&gt;35,BD14+BC15-BL14,IF(A15&lt;'Données projet'!$A$88,$BA$205^A15,IF(A15='Données projet'!$A$88,'Données projet'!$B$88,BD14+BC15-BL14)))</f>
        <v>98.600000000000009</v>
      </c>
      <c r="BE15" s="14">
        <f>BD15*VLOOKUP('Données projet'!$B$11,Paramètres!$A$1:$I$89,3,0)*VLOOKUP('Données projet'!$B$11,Paramètres!$A$1:$I$89,5,0)</f>
        <v>89.213280000000012</v>
      </c>
      <c r="BF15" s="14">
        <f t="shared" si="37"/>
        <v>24.375390230293569</v>
      </c>
      <c r="BG15" s="22">
        <f t="shared" si="7"/>
        <v>197.83360065109466</v>
      </c>
      <c r="BH15" s="62">
        <f t="shared" si="8"/>
        <v>469.16693398442794</v>
      </c>
      <c r="BI15" s="62">
        <f ca="1">AVERAGE(OFFSET($BH$3,0,0,'Données projet'!$E$11+1,1))-AVERAGE(OFFSET($H$3,0,0,'Données projet'!$E$11+1,1))</f>
        <v>366.86025470473652</v>
      </c>
      <c r="BJ15" s="62">
        <f t="shared" si="38"/>
        <v>513.80016421153414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397.11674874565313</v>
      </c>
      <c r="S16" s="62">
        <f ca="1">AVERAGE(OFFSET($R$3,0,0,'Données projet'!$E$9+1,1))-AVERAGE(OFFSET($H$3,0,0,'Données projet'!$E$9+1,1))</f>
        <v>187.13674266165236</v>
      </c>
      <c r="T16" s="62">
        <f t="shared" si="34"/>
        <v>439.28159165815276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20.8</v>
      </c>
      <c r="AI16" s="14">
        <f>IF('Données projet'!$A$62&gt;35,AI15+AH16-AQ15,IF(A16&lt;'Données projet'!$A$62,$AF$205^A16,IF(A16='Données projet'!$A$62,'Données projet'!$B$62,AI15+AH16-AQ15)))</f>
        <v>92.8</v>
      </c>
      <c r="AJ16" s="14">
        <f>AI16*VLOOKUP('Données projet'!$B$10,Paramètres!$A$1:$I$89,3,0)*VLOOKUP('Données projet'!$B$10,Paramètres!$A$1:$I$89,5,0)</f>
        <v>55.494400000000006</v>
      </c>
      <c r="AK16" s="14">
        <f t="shared" si="35"/>
        <v>16.023988434505792</v>
      </c>
      <c r="AL16" s="22">
        <f t="shared" si="4"/>
        <v>124.5611931900976</v>
      </c>
      <c r="AM16" s="62">
        <f t="shared" si="5"/>
        <v>397.11674874565313</v>
      </c>
      <c r="AN16" s="62">
        <f ca="1">AVERAGE(OFFSET($AM$3,0,0,'Données projet'!$E$10+1,1))-AVERAGE(OFFSET($H$3,0,0,'Données projet'!$E$10+1,1))</f>
        <v>187.13674266165236</v>
      </c>
      <c r="AO16" s="62">
        <f t="shared" si="36"/>
        <v>439.28159165815276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16.277984942160291</v>
      </c>
      <c r="AX16" s="23">
        <f t="shared" si="6"/>
        <v>16.277984942160291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13.8</v>
      </c>
      <c r="BD16" s="13">
        <f>IF('Données projet'!$A$88&gt;35,BD15+BC16-BL15,IF(A16&lt;'Données projet'!$A$88,$BA$205^A16,IF(A16='Données projet'!$A$88,'Données projet'!$B$88,BD15+BC16-BL15)))</f>
        <v>112.4</v>
      </c>
      <c r="BE16" s="14">
        <f>BD16*VLOOKUP('Données projet'!$B$11,Paramètres!$A$1:$I$89,3,0)*VLOOKUP('Données projet'!$B$11,Paramètres!$A$1:$I$89,5,0)</f>
        <v>101.69951999999999</v>
      </c>
      <c r="BF16" s="14">
        <f t="shared" si="37"/>
        <v>27.366486780557949</v>
      </c>
      <c r="BG16" s="22">
        <f t="shared" si="7"/>
        <v>224.78996180947172</v>
      </c>
      <c r="BH16" s="62">
        <f t="shared" si="8"/>
        <v>497.34551736502726</v>
      </c>
      <c r="BI16" s="62">
        <f ca="1">AVERAGE(OFFSET($BH$3,0,0,'Données projet'!$E$11+1,1))-AVERAGE(OFFSET($H$3,0,0,'Données projet'!$E$11+1,1))</f>
        <v>366.86025470473652</v>
      </c>
      <c r="BJ16" s="62">
        <f t="shared" si="38"/>
        <v>513.80016421153414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425.4630229177061</v>
      </c>
      <c r="S17" s="62">
        <f ca="1">AVERAGE(OFFSET($R$3,0,0,'Données projet'!$E$9+1,1))-AVERAGE(OFFSET($H$3,0,0,'Données projet'!$E$9+1,1))</f>
        <v>187.13674266165236</v>
      </c>
      <c r="T17" s="62">
        <f t="shared" si="34"/>
        <v>439.28159165815276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20.8</v>
      </c>
      <c r="AI17" s="14">
        <f>IF('Données projet'!$A$62&gt;35,AI16+AH17-AQ16,IF(A17&lt;'Données projet'!$A$62,$AF$205^A17,IF(A17='Données projet'!$A$62,'Données projet'!$B$62,AI16+AH17-AQ16)))</f>
        <v>113.6</v>
      </c>
      <c r="AJ17" s="14">
        <f>AI17*VLOOKUP('Données projet'!$B$10,Paramètres!$A$1:$I$89,3,0)*VLOOKUP('Données projet'!$B$10,Paramètres!$A$1:$I$89,5,0)</f>
        <v>67.9328</v>
      </c>
      <c r="AK17" s="14">
        <f t="shared" si="35"/>
        <v>19.159206778906245</v>
      </c>
      <c r="AL17" s="22">
        <f t="shared" si="4"/>
        <v>151.68524513992836</v>
      </c>
      <c r="AM17" s="62">
        <f t="shared" si="5"/>
        <v>425.4630229177061</v>
      </c>
      <c r="AN17" s="62">
        <f ca="1">AVERAGE(OFFSET($AM$3,0,0,'Données projet'!$E$10+1,1))-AVERAGE(OFFSET($H$3,0,0,'Données projet'!$E$10+1,1))</f>
        <v>187.13674266165236</v>
      </c>
      <c r="AO17" s="62">
        <f t="shared" si="36"/>
        <v>439.28159165815276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11.510273536654053</v>
      </c>
      <c r="AX17" s="23">
        <f t="shared" si="6"/>
        <v>11.510273536654053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13.8</v>
      </c>
      <c r="BD17" s="13">
        <f>IF('Données projet'!$A$88&gt;35,BD16+BC17-BL16,IF(A17&lt;'Données projet'!$A$88,$BA$205^A17,IF(A17='Données projet'!$A$88,'Données projet'!$B$88,BD16+BC17-BL16)))</f>
        <v>126.2</v>
      </c>
      <c r="BE17" s="14">
        <f>BD17*VLOOKUP('Données projet'!$B$11,Paramètres!$A$1:$I$89,3,0)*VLOOKUP('Données projet'!$B$11,Paramètres!$A$1:$I$89,5,0)</f>
        <v>114.18576</v>
      </c>
      <c r="BF17" s="14">
        <f t="shared" si="37"/>
        <v>30.315028515433259</v>
      </c>
      <c r="BG17" s="22">
        <f t="shared" si="7"/>
        <v>251.67220666437959</v>
      </c>
      <c r="BH17" s="62">
        <f t="shared" si="8"/>
        <v>525.4499844421573</v>
      </c>
      <c r="BI17" s="62">
        <f ca="1">AVERAGE(OFFSET($BH$3,0,0,'Données projet'!$E$11+1,1))-AVERAGE(OFFSET($H$3,0,0,'Données projet'!$E$11+1,1))</f>
        <v>366.86025470473652</v>
      </c>
      <c r="BJ17" s="62">
        <f t="shared" si="38"/>
        <v>513.80016421153414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453.69346731764233</v>
      </c>
      <c r="S18" s="62">
        <f ca="1">AVERAGE(OFFSET($R$3,0,0,'Données projet'!$E$9+1,1))-AVERAGE(OFFSET($H$3,0,0,'Données projet'!$E$9+1,1))</f>
        <v>187.13674266165236</v>
      </c>
      <c r="T18" s="62">
        <f t="shared" si="34"/>
        <v>439.28159165815276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20.8</v>
      </c>
      <c r="AI18" s="14">
        <f>IF('Données projet'!$A$62&gt;35,AI17+AH18-AQ17,IF(A18&lt;'Données projet'!$A$62,$AF$205^A18,IF(A18='Données projet'!$A$62,'Données projet'!$B$62,AI17+AH18-AQ17)))</f>
        <v>134.4</v>
      </c>
      <c r="AJ18" s="14">
        <f>AI18*VLOOKUP('Données projet'!$B$10,Paramètres!$A$1:$I$89,3,0)*VLOOKUP('Données projet'!$B$10,Paramètres!$A$1:$I$89,5,0)</f>
        <v>80.371200000000016</v>
      </c>
      <c r="AK18" s="14">
        <f t="shared" si="35"/>
        <v>22.227919990990831</v>
      </c>
      <c r="AL18" s="22">
        <f t="shared" si="4"/>
        <v>178.69346731764236</v>
      </c>
      <c r="AM18" s="62">
        <f t="shared" si="5"/>
        <v>453.69346731764233</v>
      </c>
      <c r="AN18" s="62">
        <f ca="1">AVERAGE(OFFSET($AM$3,0,0,'Données projet'!$E$10+1,1))-AVERAGE(OFFSET($H$3,0,0,'Données projet'!$E$10+1,1))</f>
        <v>187.13674266165236</v>
      </c>
      <c r="AO18" s="62">
        <f t="shared" si="36"/>
        <v>439.28159165815276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8.1389924710801456</v>
      </c>
      <c r="AX18" s="23">
        <f t="shared" si="6"/>
        <v>8.1389924710801456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140</v>
      </c>
      <c r="BB18" s="13">
        <f>VLOOKUP(A18,'Données projet'!$A$87:$I$107,9,0)</f>
        <v>13.8</v>
      </c>
      <c r="BC18" s="13">
        <f t="array" ref="BC18">INDEX(BB:BB,MIN(IF(ISNUMBER(BB18:BB214),ROW(BB18:BB214),"")))</f>
        <v>13.8</v>
      </c>
      <c r="BD18" s="13">
        <f>IF('Données projet'!$A$88&gt;35,BD17+BC18-BL17,IF(A18&lt;'Données projet'!$A$88,$BA$205^A18,IF(A18='Données projet'!$A$88,'Données projet'!$B$88,BD17+BC18-BL17)))</f>
        <v>140</v>
      </c>
      <c r="BE18" s="14">
        <f>BD18*VLOOKUP('Données projet'!$B$11,Paramètres!$A$1:$I$89,3,0)*VLOOKUP('Données projet'!$B$11,Paramètres!$A$1:$I$89,5,0)</f>
        <v>126.67199999999998</v>
      </c>
      <c r="BF18" s="14">
        <f t="shared" si="37"/>
        <v>33.226199426361347</v>
      </c>
      <c r="BG18" s="22">
        <f t="shared" si="7"/>
        <v>278.48936400091264</v>
      </c>
      <c r="BH18" s="62">
        <f t="shared" si="8"/>
        <v>553.4893640009127</v>
      </c>
      <c r="BI18" s="62">
        <f ca="1">AVERAGE(OFFSET($BH$3,0,0,'Données projet'!$E$11+1,1))-AVERAGE(OFFSET($H$3,0,0,'Données projet'!$E$11+1,1))</f>
        <v>366.86025470473652</v>
      </c>
      <c r="BJ18" s="62">
        <f t="shared" si="38"/>
        <v>513.80016421153414</v>
      </c>
      <c r="BK18" s="16">
        <f>IF(ISNA(VLOOKUP(A18,'Données projet'!$A$87:$I$107,3,0)),0,VLOOKUP(A18,'Données projet'!$A$87:$I$107,3,0))</f>
        <v>3</v>
      </c>
      <c r="BL18" s="16">
        <f>IF(ISNA(VLOOKUP(A18,'Données projet'!$A$87:$I$107,4,0)),0,VLOOKUP(A18,'Données projet'!$A$87:$I$107,4,0))</f>
        <v>23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481.82808974199105</v>
      </c>
      <c r="S19" s="62">
        <f ca="1">AVERAGE(OFFSET($R$3,0,0,'Données projet'!$E$9+1,1))-AVERAGE(OFFSET($H$3,0,0,'Données projet'!$E$9+1,1))</f>
        <v>187.13674266165236</v>
      </c>
      <c r="T19" s="62">
        <f t="shared" si="34"/>
        <v>439.28159165815276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20.8</v>
      </c>
      <c r="AI19" s="14">
        <f>IF('Données projet'!$A$62&gt;35,AI18+AH19-AQ18,IF(A19&lt;'Données projet'!$A$62,$AF$205^A19,IF(A19='Données projet'!$A$62,'Données projet'!$B$62,AI18+AH19-AQ18)))</f>
        <v>155.20000000000002</v>
      </c>
      <c r="AJ19" s="14">
        <f>AI19*VLOOKUP('Données projet'!$B$10,Paramètres!$A$1:$I$89,3,0)*VLOOKUP('Données projet'!$B$10,Paramètres!$A$1:$I$89,5,0)</f>
        <v>92.809600000000017</v>
      </c>
      <c r="AK19" s="14">
        <f t="shared" si="35"/>
        <v>25.241615800824192</v>
      </c>
      <c r="AL19" s="22">
        <f t="shared" si="4"/>
        <v>205.60586751976882</v>
      </c>
      <c r="AM19" s="62">
        <f t="shared" si="5"/>
        <v>481.82808974199105</v>
      </c>
      <c r="AN19" s="62">
        <f ca="1">AVERAGE(OFFSET($AM$3,0,0,'Données projet'!$E$10+1,1))-AVERAGE(OFFSET($H$3,0,0,'Données projet'!$E$10+1,1))</f>
        <v>187.13674266165236</v>
      </c>
      <c r="AO19" s="62">
        <f t="shared" si="36"/>
        <v>439.28159165815276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5.7551367683270263</v>
      </c>
      <c r="AX19" s="23">
        <f t="shared" si="6"/>
        <v>5.7551367683270263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12.6</v>
      </c>
      <c r="BD19" s="13">
        <f>IF('Données projet'!$A$88&gt;35,BD18+BC19-BL18,IF(A19&lt;'Données projet'!$A$88,$BA$205^A19,IF(A19='Données projet'!$A$88,'Données projet'!$B$88,BD18+BC19-BL18)))</f>
        <v>129.6</v>
      </c>
      <c r="BE19" s="14">
        <f>BD19*VLOOKUP('Données projet'!$B$11,Paramètres!$A$1:$I$89,3,0)*VLOOKUP('Données projet'!$B$11,Paramètres!$A$1:$I$89,5,0)</f>
        <v>117.26208</v>
      </c>
      <c r="BF19" s="14">
        <f t="shared" si="37"/>
        <v>31.035569170075775</v>
      </c>
      <c r="BG19" s="22">
        <f t="shared" si="7"/>
        <v>258.28507230454863</v>
      </c>
      <c r="BH19" s="62">
        <f t="shared" si="8"/>
        <v>534.50729452677092</v>
      </c>
      <c r="BI19" s="62">
        <f ca="1">AVERAGE(OFFSET($BH$3,0,0,'Données projet'!$E$11+1,1))-AVERAGE(OFFSET($H$3,0,0,'Données projet'!$E$11+1,1))</f>
        <v>366.86025470473652</v>
      </c>
      <c r="BJ19" s="62">
        <f t="shared" si="38"/>
        <v>513.80016421153414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509.88120811744579</v>
      </c>
      <c r="S20" s="62">
        <f ca="1">AVERAGE(OFFSET($R$3,0,0,'Données projet'!$E$9+1,1))-AVERAGE(OFFSET($H$3,0,0,'Données projet'!$E$9+1,1))</f>
        <v>187.13674266165236</v>
      </c>
      <c r="T20" s="62">
        <f t="shared" si="34"/>
        <v>439.28159165815276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0.13500000000000001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0.7</v>
      </c>
      <c r="Z20" s="23">
        <f>EXP(-LN(2)/35)*Z19+(1-EXP(-LN(2)/35))/(LN(2)/35)*V20*W20*VLOOKUP('Données projet'!$B$9,Paramètres!$A$1:$I$89,3,0)*0.475*44/12</f>
        <v>4.6050225849682649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24.449451144556949</v>
      </c>
      <c r="AC20" s="24">
        <f t="shared" si="3"/>
        <v>29.054473729525213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>
        <f>VLOOKUP(A20,'Données projet'!$A$61:$I$81,2,0)</f>
        <v>176</v>
      </c>
      <c r="AG20" s="13">
        <f>VLOOKUP(A20,'Données projet'!$A$61:$I$81,9,0)</f>
        <v>20.8</v>
      </c>
      <c r="AH20" s="13">
        <f t="array" ref="AH20">INDEX(AG:AG,MIN(IF(ISNUMBER(AG20:AG216),ROW(AG20:AG216),"")))</f>
        <v>20.8</v>
      </c>
      <c r="AI20" s="14">
        <f>IF('Données projet'!$A$62&gt;35,AI19+AH20-AQ19,IF(A20&lt;'Données projet'!$A$62,$AF$205^A20,IF(A20='Données projet'!$A$62,'Données projet'!$B$62,AI19+AH20-AQ19)))</f>
        <v>176.00000000000003</v>
      </c>
      <c r="AJ20" s="14">
        <f>AI20*VLOOKUP('Données projet'!$B$10,Paramètres!$A$1:$I$89,3,0)*VLOOKUP('Données projet'!$B$10,Paramètres!$A$1:$I$89,5,0)</f>
        <v>105.24800000000003</v>
      </c>
      <c r="AK20" s="14">
        <f t="shared" si="35"/>
        <v>28.208515027560551</v>
      </c>
      <c r="AL20" s="22">
        <f t="shared" si="4"/>
        <v>232.43676367300134</v>
      </c>
      <c r="AM20" s="62">
        <f t="shared" si="5"/>
        <v>509.88120811744579</v>
      </c>
      <c r="AN20" s="62">
        <f ca="1">AVERAGE(OFFSET($AM$3,0,0,'Données projet'!$E$10+1,1))-AVERAGE(OFFSET($H$3,0,0,'Données projet'!$E$10+1,1))</f>
        <v>187.13674266165236</v>
      </c>
      <c r="AO20" s="62">
        <f t="shared" si="36"/>
        <v>439.28159165815276</v>
      </c>
      <c r="AP20" s="16">
        <f>IF(ISNA(VLOOKUP(A20,'Données projet'!$A$61:$I$81,3,0)),0,VLOOKUP(A20,'Données projet'!$A$61:$I$81,3,0))</f>
        <v>2</v>
      </c>
      <c r="AQ20" s="16">
        <f>IF(ISNA(VLOOKUP(A20,'Données projet'!$A$61:$I$81,4,0)),0,VLOOKUP(A20,'Données projet'!$A$61:$I$81,4,0))</f>
        <v>43</v>
      </c>
      <c r="AR20" s="17">
        <f>IF(ISNA(VLOOKUP(A20,'Données projet'!$A$61:$I$81,5,0)),0%,VLOOKUP(A20,'Données projet'!$A$61:$I$81,5,0)*VLOOKUP('Données projet'!$B$10,Paramètres!$A$1:$I$89,7,0))</f>
        <v>0.13500000000000001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0.7</v>
      </c>
      <c r="AU20" s="23">
        <f>EXP(-LN(2)/35)*AU19+(1-EXP(-LN(2)/35))/(LN(2)/35)*AQ20*AR20*VLOOKUP('Données projet'!$B$10,Paramètres!$A$1:$I$89,3,0)*0.475*44/12</f>
        <v>4.6050225849682649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24.449451144556949</v>
      </c>
      <c r="AX20" s="23">
        <f t="shared" si="6"/>
        <v>29.054473729525213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12.6</v>
      </c>
      <c r="BD20" s="13">
        <f>IF('Données projet'!$A$88&gt;35,BD19+BC20-BL19,IF(A20&lt;'Données projet'!$A$88,$BA$205^A20,IF(A20='Données projet'!$A$88,'Données projet'!$B$88,BD19+BC20-BL19)))</f>
        <v>142.19999999999999</v>
      </c>
      <c r="BE20" s="14">
        <f>BD20*VLOOKUP('Données projet'!$B$11,Paramètres!$A$1:$I$89,3,0)*VLOOKUP('Données projet'!$B$11,Paramètres!$A$1:$I$89,5,0)</f>
        <v>128.66255999999998</v>
      </c>
      <c r="BF20" s="14">
        <f t="shared" si="37"/>
        <v>33.687130461083775</v>
      </c>
      <c r="BG20" s="22">
        <f t="shared" si="7"/>
        <v>282.75904421972086</v>
      </c>
      <c r="BH20" s="62">
        <f t="shared" si="8"/>
        <v>560.20348866416532</v>
      </c>
      <c r="BI20" s="62">
        <f ca="1">AVERAGE(OFFSET($BH$3,0,0,'Données projet'!$E$11+1,1))-AVERAGE(OFFSET($H$3,0,0,'Données projet'!$E$11+1,1))</f>
        <v>366.86025470473652</v>
      </c>
      <c r="BJ20" s="62">
        <f t="shared" si="38"/>
        <v>513.80016421153414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481.1716507072569</v>
      </c>
      <c r="S21" s="62">
        <f ca="1">AVERAGE(OFFSET($R$3,0,0,'Données projet'!$E$9+1,1))-AVERAGE(OFFSET($H$3,0,0,'Données projet'!$E$9+1,1))</f>
        <v>187.13674266165236</v>
      </c>
      <c r="T21" s="62">
        <f t="shared" si="34"/>
        <v>439.28159165815276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4.5147209008634697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17.288372700605414</v>
      </c>
      <c r="AC21" s="24">
        <f t="shared" si="3"/>
        <v>21.803093601468884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19.8</v>
      </c>
      <c r="AI21" s="14">
        <f>IF('Données projet'!$A$62&gt;35,AI20+AH21-AQ20,IF(A21&lt;'Données projet'!$A$62,$AF$205^A21,IF(A21='Données projet'!$A$62,'Données projet'!$B$62,AI20+AH21-AQ20)))</f>
        <v>152.80000000000004</v>
      </c>
      <c r="AJ21" s="14">
        <f>AI21*VLOOKUP('Données projet'!$B$10,Paramètres!$A$1:$I$89,3,0)*VLOOKUP('Données projet'!$B$10,Paramètres!$A$1:$I$89,5,0)</f>
        <v>91.374400000000037</v>
      </c>
      <c r="AK21" s="14">
        <f t="shared" si="35"/>
        <v>24.89640423383166</v>
      </c>
      <c r="AL21" s="22">
        <f t="shared" si="4"/>
        <v>202.50498404059022</v>
      </c>
      <c r="AM21" s="62">
        <f t="shared" si="5"/>
        <v>481.1716507072569</v>
      </c>
      <c r="AN21" s="62">
        <f ca="1">AVERAGE(OFFSET($AM$3,0,0,'Données projet'!$E$10+1,1))-AVERAGE(OFFSET($H$3,0,0,'Données projet'!$E$10+1,1))</f>
        <v>187.13674266165236</v>
      </c>
      <c r="AO21" s="62">
        <f t="shared" si="36"/>
        <v>439.28159165815276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4.5147209008634697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17.288372700605414</v>
      </c>
      <c r="AX21" s="23">
        <f t="shared" si="6"/>
        <v>21.803093601468884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12.6</v>
      </c>
      <c r="BD21" s="13">
        <f>IF('Données projet'!$A$88&gt;35,BD20+BC21-BL20,IF(A21&lt;'Données projet'!$A$88,$BA$205^A21,IF(A21='Données projet'!$A$88,'Données projet'!$B$88,BD20+BC21-BL20)))</f>
        <v>154.79999999999998</v>
      </c>
      <c r="BE21" s="14">
        <f>BD21*VLOOKUP('Données projet'!$B$11,Paramètres!$A$1:$I$89,3,0)*VLOOKUP('Données projet'!$B$11,Paramètres!$A$1:$I$89,5,0)</f>
        <v>140.06303999999997</v>
      </c>
      <c r="BF21" s="14">
        <f t="shared" si="37"/>
        <v>36.31144669536954</v>
      </c>
      <c r="BG21" s="22">
        <f t="shared" si="7"/>
        <v>307.18556432776853</v>
      </c>
      <c r="BH21" s="62">
        <f t="shared" si="8"/>
        <v>585.85223099443522</v>
      </c>
      <c r="BI21" s="62">
        <f ca="1">AVERAGE(OFFSET($BH$3,0,0,'Données projet'!$E$11+1,1))-AVERAGE(OFFSET($H$3,0,0,'Données projet'!$E$11+1,1))</f>
        <v>366.86025470473652</v>
      </c>
      <c r="BJ21" s="62">
        <f t="shared" si="38"/>
        <v>513.80016421153414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507.94492229456341</v>
      </c>
      <c r="S22" s="62">
        <f ca="1">AVERAGE(OFFSET($R$3,0,0,'Données projet'!$E$9+1,1))-AVERAGE(OFFSET($H$3,0,0,'Données projet'!$E$9+1,1))</f>
        <v>187.13674266165236</v>
      </c>
      <c r="T22" s="62">
        <f t="shared" si="34"/>
        <v>439.28159165815276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4.4261899777053806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12.224725572278475</v>
      </c>
      <c r="AC22" s="24">
        <f t="shared" si="3"/>
        <v>16.650915549983857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19.8</v>
      </c>
      <c r="AI22" s="14">
        <f>IF('Données projet'!$A$62&gt;35,AI21+AH22-AQ21,IF(A22&lt;'Données projet'!$A$62,$AF$205^A22,IF(A22='Données projet'!$A$62,'Données projet'!$B$62,AI21+AH22-AQ21)))</f>
        <v>172.60000000000005</v>
      </c>
      <c r="AJ22" s="14">
        <f>AI22*VLOOKUP('Données projet'!$B$10,Paramètres!$A$1:$I$89,3,0)*VLOOKUP('Données projet'!$B$10,Paramètres!$A$1:$I$89,5,0)</f>
        <v>103.21480000000004</v>
      </c>
      <c r="AK22" s="14">
        <f t="shared" si="35"/>
        <v>27.726463199430338</v>
      </c>
      <c r="AL22" s="22">
        <f t="shared" si="4"/>
        <v>228.05603340567458</v>
      </c>
      <c r="AM22" s="62">
        <f t="shared" si="5"/>
        <v>507.94492229456341</v>
      </c>
      <c r="AN22" s="62">
        <f ca="1">AVERAGE(OFFSET($AM$3,0,0,'Données projet'!$E$10+1,1))-AVERAGE(OFFSET($H$3,0,0,'Données projet'!$E$10+1,1))</f>
        <v>187.13674266165236</v>
      </c>
      <c r="AO22" s="62">
        <f t="shared" si="36"/>
        <v>439.28159165815276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4.4261899777053806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12.224725572278475</v>
      </c>
      <c r="AX22" s="23">
        <f t="shared" si="6"/>
        <v>16.650915549983857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12.6</v>
      </c>
      <c r="BD22" s="13">
        <f>IF('Données projet'!$A$88&gt;35,BD21+BC22-BL21,IF(A22&lt;'Données projet'!$A$88,$BA$205^A22,IF(A22='Données projet'!$A$88,'Données projet'!$B$88,BD21+BC22-BL21)))</f>
        <v>167.39999999999998</v>
      </c>
      <c r="BE22" s="14">
        <f>BD22*VLOOKUP('Données projet'!$B$11,Paramètres!$A$1:$I$89,3,0)*VLOOKUP('Données projet'!$B$11,Paramètres!$A$1:$I$89,5,0)</f>
        <v>151.46351999999999</v>
      </c>
      <c r="BF22" s="14">
        <f t="shared" si="37"/>
        <v>38.910987614777085</v>
      </c>
      <c r="BG22" s="22">
        <f t="shared" si="7"/>
        <v>331.56893409573678</v>
      </c>
      <c r="BH22" s="62">
        <f t="shared" si="8"/>
        <v>611.45782298462564</v>
      </c>
      <c r="BI22" s="62">
        <f ca="1">AVERAGE(OFFSET($BH$3,0,0,'Données projet'!$E$11+1,1))-AVERAGE(OFFSET($H$3,0,0,'Données projet'!$E$11+1,1))</f>
        <v>366.86025470473652</v>
      </c>
      <c r="BJ22" s="62">
        <f t="shared" si="38"/>
        <v>513.80016421153414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534.65266281929757</v>
      </c>
      <c r="S23" s="62">
        <f ca="1">AVERAGE(OFFSET($R$3,0,0,'Données projet'!$E$9+1,1))-AVERAGE(OFFSET($H$3,0,0,'Données projet'!$E$9+1,1))</f>
        <v>187.13674266165236</v>
      </c>
      <c r="T23" s="62">
        <f t="shared" si="34"/>
        <v>439.28159165815276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4.3393950919518902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8.6441863503027072</v>
      </c>
      <c r="AC23" s="24">
        <f t="shared" si="3"/>
        <v>12.983581442254597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19.8</v>
      </c>
      <c r="AI23" s="14">
        <f>IF('Données projet'!$A$62&gt;35,AI22+AH23-AQ22,IF(A23&lt;'Données projet'!$A$62,$AF$205^A23,IF(A23='Données projet'!$A$62,'Données projet'!$B$62,AI22+AH23-AQ22)))</f>
        <v>192.40000000000006</v>
      </c>
      <c r="AJ23" s="14">
        <f>AI23*VLOOKUP('Données projet'!$B$10,Paramètres!$A$1:$I$89,3,0)*VLOOKUP('Données projet'!$B$10,Paramètres!$A$1:$I$89,5,0)</f>
        <v>115.05520000000004</v>
      </c>
      <c r="AK23" s="14">
        <f t="shared" si="35"/>
        <v>30.5188966745568</v>
      </c>
      <c r="AL23" s="22">
        <f t="shared" si="4"/>
        <v>253.54155170818649</v>
      </c>
      <c r="AM23" s="62">
        <f t="shared" si="5"/>
        <v>534.65266281929757</v>
      </c>
      <c r="AN23" s="62">
        <f ca="1">AVERAGE(OFFSET($AM$3,0,0,'Données projet'!$E$10+1,1))-AVERAGE(OFFSET($H$3,0,0,'Données projet'!$E$10+1,1))</f>
        <v>187.13674266165236</v>
      </c>
      <c r="AO23" s="62">
        <f t="shared" si="36"/>
        <v>439.28159165815276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4.3393950919518902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8.6441863503027072</v>
      </c>
      <c r="AX23" s="23">
        <f t="shared" si="6"/>
        <v>12.983581442254597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180</v>
      </c>
      <c r="BB23" s="13">
        <f>VLOOKUP(A23,'Données projet'!$A$87:$I$107,9,0)</f>
        <v>12.6</v>
      </c>
      <c r="BC23" s="13">
        <f t="array" ref="BC23">INDEX(BB:BB,MIN(IF(ISNUMBER(BB23:BB219),ROW(BB23:BB219),"")))</f>
        <v>12.6</v>
      </c>
      <c r="BD23" s="13">
        <f>IF('Données projet'!$A$88&gt;35,BD22+BC23-BL22,IF(A23&lt;'Données projet'!$A$88,$BA$205^A23,IF(A23='Données projet'!$A$88,'Données projet'!$B$88,BD22+BC23-BL22)))</f>
        <v>179.99999999999997</v>
      </c>
      <c r="BE23" s="14">
        <f>BD23*VLOOKUP('Données projet'!$B$11,Paramètres!$A$1:$I$89,3,0)*VLOOKUP('Données projet'!$B$11,Paramètres!$A$1:$I$89,5,0)</f>
        <v>162.86399999999998</v>
      </c>
      <c r="BF23" s="14">
        <f t="shared" si="37"/>
        <v>41.487830069509123</v>
      </c>
      <c r="BG23" s="22">
        <f t="shared" si="7"/>
        <v>355.91277070439497</v>
      </c>
      <c r="BH23" s="62">
        <f t="shared" si="8"/>
        <v>637.02388181550612</v>
      </c>
      <c r="BI23" s="62">
        <f ca="1">AVERAGE(OFFSET($BH$3,0,0,'Données projet'!$E$11+1,1))-AVERAGE(OFFSET($H$3,0,0,'Données projet'!$E$11+1,1))</f>
        <v>366.86025470473652</v>
      </c>
      <c r="BJ23" s="62">
        <f t="shared" si="38"/>
        <v>513.80016421153414</v>
      </c>
      <c r="BK23" s="16">
        <f>IF(ISNA(VLOOKUP(A23,'Données projet'!$A$87:$I$107,3,0)),0,VLOOKUP(A23,'Données projet'!$A$87:$I$107,3,0))</f>
        <v>4</v>
      </c>
      <c r="BL23" s="16">
        <f>IF(ISNA(VLOOKUP(A23,'Données projet'!$A$87:$I$107,4,0)),0,VLOOKUP(A23,'Données projet'!$A$87:$I$107,4,0))</f>
        <v>18</v>
      </c>
      <c r="BM23" s="17">
        <f>IF(ISNA(VLOOKUP(A23,'Données projet'!$A$87:$I$107,5,0)),0%,VLOOKUP(A23,'Données projet'!$A$87:$I$107,5,0)*VLOOKUP('Données projet'!$B$11,Paramètres!$A$1:$I$89,7,0))</f>
        <v>0.03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0.54012398367676318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0.54012398367676318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561.30238416423026</v>
      </c>
      <c r="S24" s="62">
        <f ca="1">AVERAGE(OFFSET($R$3,0,0,'Données projet'!$E$9+1,1))-AVERAGE(OFFSET($H$3,0,0,'Données projet'!$E$9+1,1))</f>
        <v>187.13674266165236</v>
      </c>
      <c r="T24" s="62">
        <f t="shared" si="34"/>
        <v>439.28159165815276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4.2543022009683726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6.1123627861392373</v>
      </c>
      <c r="AC24" s="24">
        <f t="shared" si="3"/>
        <v>10.36666498710761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19.8</v>
      </c>
      <c r="AI24" s="14">
        <f>IF('Données projet'!$A$62&gt;35,AI23+AH24-AQ23,IF(A24&lt;'Données projet'!$A$62,$AF$205^A24,IF(A24='Données projet'!$A$62,'Données projet'!$B$62,AI23+AH24-AQ23)))</f>
        <v>212.20000000000007</v>
      </c>
      <c r="AJ24" s="14">
        <f>AI24*VLOOKUP('Données projet'!$B$10,Paramètres!$A$1:$I$89,3,0)*VLOOKUP('Données projet'!$B$10,Paramètres!$A$1:$I$89,5,0)</f>
        <v>126.89560000000006</v>
      </c>
      <c r="AK24" s="14">
        <f t="shared" si="35"/>
        <v>33.278017701950326</v>
      </c>
      <c r="AL24" s="22">
        <f t="shared" si="4"/>
        <v>278.96905083089689</v>
      </c>
      <c r="AM24" s="62">
        <f t="shared" si="5"/>
        <v>561.30238416423026</v>
      </c>
      <c r="AN24" s="62">
        <f ca="1">AVERAGE(OFFSET($AM$3,0,0,'Données projet'!$E$10+1,1))-AVERAGE(OFFSET($H$3,0,0,'Données projet'!$E$10+1,1))</f>
        <v>187.13674266165236</v>
      </c>
      <c r="AO24" s="62">
        <f t="shared" si="36"/>
        <v>439.28159165815276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4.2543022009683726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6.1123627861392373</v>
      </c>
      <c r="AX24" s="23">
        <f t="shared" si="6"/>
        <v>10.36666498710761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10.4</v>
      </c>
      <c r="BD24" s="13">
        <f>IF('Données projet'!$A$88&gt;35,BD23+BC24-BL23,IF(A24&lt;'Données projet'!$A$88,$BA$205^A24,IF(A24='Données projet'!$A$88,'Données projet'!$B$88,BD23+BC24-BL23)))</f>
        <v>172.39999999999998</v>
      </c>
      <c r="BE24" s="14">
        <f>BD24*VLOOKUP('Données projet'!$B$11,Paramètres!$A$1:$I$89,3,0)*VLOOKUP('Données projet'!$B$11,Paramètres!$A$1:$I$89,5,0)</f>
        <v>155.98751999999996</v>
      </c>
      <c r="BF24" s="14">
        <f t="shared" si="37"/>
        <v>39.936155927663087</v>
      </c>
      <c r="BG24" s="22">
        <f t="shared" si="7"/>
        <v>341.23373557401311</v>
      </c>
      <c r="BH24" s="62">
        <f t="shared" si="8"/>
        <v>623.56706890734642</v>
      </c>
      <c r="BI24" s="62">
        <f ca="1">AVERAGE(OFFSET($BH$3,0,0,'Données projet'!$E$11+1,1))-AVERAGE(OFFSET($H$3,0,0,'Données projet'!$E$11+1,1))</f>
        <v>366.86025470473652</v>
      </c>
      <c r="BJ24" s="62">
        <f t="shared" si="38"/>
        <v>513.80016421153414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0.52953248179996204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0.52953248179996204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587.9001157946177</v>
      </c>
      <c r="S25" s="62">
        <f ca="1">AVERAGE(OFFSET($R$3,0,0,'Données projet'!$E$9+1,1))-AVERAGE(OFFSET($H$3,0,0,'Données projet'!$E$9+1,1))</f>
        <v>187.13674266165236</v>
      </c>
      <c r="T25" s="62">
        <f t="shared" si="34"/>
        <v>439.28159165815276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9.0000000000000011E-2</v>
      </c>
      <c r="Y25" s="17">
        <f>IF(ISNA(VLOOKUP(A25,'Données projet'!$A$35:$I$55,7,0)),0%,VLOOKUP(A25,'Données projet'!$A$35:$I$55,7,0))</f>
        <v>0.4</v>
      </c>
      <c r="Z25" s="23">
        <f>EXP(-LN(2)/35)*Z24+(1-EXP(-LN(2)/35))/(LN(2)/35)*V25*W25*VLOOKUP('Données projet'!$B$9,Paramètres!$A$1:$I$89,3,0)*0.475*44/12</f>
        <v>12.167196216752183</v>
      </c>
      <c r="AA25" s="23">
        <f>EXP(-LN(2)/25)*AA24+(1-EXP(-LN(2)/25))/(LN(2)/25)*Calculateur!V25*Calculateur!X25*VLOOKUP('Données projet'!$B$9,Paramètres!$A$1:$I$89,3,0)*0.475*44/12</f>
        <v>3.9824168675721618</v>
      </c>
      <c r="AB25" s="23">
        <f>EXP(-LN(2)/2)*AB24+(1-EXP(-LN(2)/2))/(LN(2)/2)*V25*Y25*VLOOKUP('Données projet'!$B$9,Paramètres!$A$1:$I$89,3,0)*0.475*44/12</f>
        <v>19.48857124697787</v>
      </c>
      <c r="AC25" s="24">
        <f t="shared" si="3"/>
        <v>35.638184331302213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>
        <f>VLOOKUP(A25,'Données projet'!$A$61:$I$81,2,0)</f>
        <v>232</v>
      </c>
      <c r="AG25" s="13">
        <f>VLOOKUP(A25,'Données projet'!$A$61:$I$81,9,0)</f>
        <v>19.8</v>
      </c>
      <c r="AH25" s="13">
        <f t="array" ref="AH25">INDEX(AG:AG,MIN(IF(ISNUMBER(AG25:AG221),ROW(AG25:AG221),"")))</f>
        <v>19.8</v>
      </c>
      <c r="AI25" s="14">
        <f>IF('Données projet'!$A$62&gt;35,AI24+AH25-AQ24,IF(A25&lt;'Données projet'!$A$62,$AF$205^A25,IF(A25='Données projet'!$A$62,'Données projet'!$B$62,AI24+AH25-AQ24)))</f>
        <v>232.00000000000009</v>
      </c>
      <c r="AJ25" s="14">
        <f>AI25*VLOOKUP('Données projet'!$B$10,Paramètres!$A$1:$I$89,3,0)*VLOOKUP('Données projet'!$B$10,Paramètres!$A$1:$I$89,5,0)</f>
        <v>138.73600000000005</v>
      </c>
      <c r="AK25" s="14">
        <f t="shared" si="35"/>
        <v>36.007288175538072</v>
      </c>
      <c r="AL25" s="22">
        <f t="shared" si="4"/>
        <v>304.34456023906222</v>
      </c>
      <c r="AM25" s="62">
        <f t="shared" si="5"/>
        <v>587.9001157946177</v>
      </c>
      <c r="AN25" s="62">
        <f ca="1">AVERAGE(OFFSET($AM$3,0,0,'Données projet'!$E$10+1,1))-AVERAGE(OFFSET($H$3,0,0,'Données projet'!$E$10+1,1))</f>
        <v>187.13674266165236</v>
      </c>
      <c r="AO25" s="62">
        <f t="shared" si="36"/>
        <v>439.28159165815276</v>
      </c>
      <c r="AP25" s="16">
        <f>IF(ISNA(VLOOKUP(A25,'Données projet'!$A$61:$I$81,3,0)),0,VLOOKUP(A25,'Données projet'!$A$61:$I$81,3,0))</f>
        <v>3</v>
      </c>
      <c r="AQ25" s="16">
        <f>IF(ISNA(VLOOKUP(A25,'Données projet'!$A$61:$I$81,4,0)),0,VLOOKUP(A25,'Données projet'!$A$61:$I$81,4,0))</f>
        <v>56</v>
      </c>
      <c r="AR25" s="17">
        <f>IF(ISNA(VLOOKUP(A25,'Données projet'!$A$61:$I$81,5,0)),0%,VLOOKUP(A25,'Données projet'!$A$61:$I$81,5,0)*VLOOKUP('Données projet'!$B$10,Paramètres!$A$1:$I$89,7,0))</f>
        <v>0.18000000000000002</v>
      </c>
      <c r="AS25" s="17">
        <f>IF(ISNA(VLOOKUP(A25,'Données projet'!$A$61:$I$81,6,0)),0%,VLOOKUP(A25,'Données projet'!$A$61:$I$81,6,0)*VLOOKUP('Données projet'!$B$10,Paramètres!$A$1:$I$89,7,0))</f>
        <v>9.0000000000000011E-2</v>
      </c>
      <c r="AT25" s="17">
        <f>IF(ISNA(VLOOKUP(A25,'Données projet'!$A$61:$I$81,7,0)),0%,VLOOKUP(A25,'Données projet'!$A$61:$I$81,7,0))</f>
        <v>0.4</v>
      </c>
      <c r="AU25" s="23">
        <f>EXP(-LN(2)/35)*AU24+(1-EXP(-LN(2)/35))/(LN(2)/35)*AQ25*AR25*VLOOKUP('Données projet'!$B$10,Paramètres!$A$1:$I$89,3,0)*0.475*44/12</f>
        <v>12.167196216752183</v>
      </c>
      <c r="AV25" s="23">
        <f>EXP(-LN(2)/25)*AV24+(1-EXP(-LN(2)/25))/(LN(2)/25)*Calculateur!AQ25*Calculateur!AS25*VLOOKUP('Données projet'!$B$10,Paramètres!$A$1:$I$89,3,0)*0.475*44/12</f>
        <v>3.9824168675721618</v>
      </c>
      <c r="AW25" s="23">
        <f>EXP(-LN(2)/2)*AW24+(1-EXP(-LN(2)/2))/(LN(2)/2)*AQ25*AT25*VLOOKUP('Données projet'!$B$10,Paramètres!$A$1:$I$89,3,0)*0.475*44/12</f>
        <v>19.48857124697787</v>
      </c>
      <c r="AX25" s="23">
        <f t="shared" si="6"/>
        <v>35.638184331302213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10.4</v>
      </c>
      <c r="BD25" s="13">
        <f>IF('Données projet'!$A$88&gt;35,BD24+BC25-BL24,IF(A25&lt;'Données projet'!$A$88,$BA$205^A25,IF(A25='Données projet'!$A$88,'Données projet'!$B$88,BD24+BC25-BL24)))</f>
        <v>182.79999999999998</v>
      </c>
      <c r="BE25" s="14">
        <f>BD25*VLOOKUP('Données projet'!$B$11,Paramètres!$A$1:$I$89,3,0)*VLOOKUP('Données projet'!$B$11,Paramètres!$A$1:$I$89,5,0)</f>
        <v>165.39743999999999</v>
      </c>
      <c r="BF25" s="14">
        <f t="shared" si="37"/>
        <v>42.057562385840804</v>
      </c>
      <c r="BG25" s="22">
        <f t="shared" si="7"/>
        <v>361.31746248867267</v>
      </c>
      <c r="BH25" s="62">
        <f t="shared" si="8"/>
        <v>644.87301804422827</v>
      </c>
      <c r="BI25" s="62">
        <f ca="1">AVERAGE(OFFSET($BH$3,0,0,'Données projet'!$E$11+1,1))-AVERAGE(OFFSET($H$3,0,0,'Données projet'!$E$11+1,1))</f>
        <v>366.86025470473652</v>
      </c>
      <c r="BJ25" s="62">
        <f t="shared" si="38"/>
        <v>513.80016421153414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0.51914867281478672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0.51914867281478672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538.60859161500105</v>
      </c>
      <c r="S26" s="62">
        <f ca="1">AVERAGE(OFFSET($R$3,0,0,'Données projet'!$E$9+1,1))-AVERAGE(OFFSET($H$3,0,0,'Données projet'!$E$9+1,1))</f>
        <v>187.13674266165236</v>
      </c>
      <c r="T26" s="62">
        <f t="shared" si="34"/>
        <v>439.28159165815276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11.928604920198577</v>
      </c>
      <c r="AA26" s="23">
        <f>EXP(-LN(2)/25)*AA25+(1-EXP(-LN(2)/25))/(LN(2)/25)*Calculateur!V26*Calculateur!X26*VLOOKUP('Données projet'!$B$9,Paramètres!$A$1:$I$89,3,0)*0.475*44/12</f>
        <v>3.8735174689021998</v>
      </c>
      <c r="AB26" s="23">
        <f>EXP(-LN(2)/2)*AB25+(1-EXP(-LN(2)/2))/(LN(2)/2)*V26*Y26*VLOOKUP('Données projet'!$B$9,Paramètres!$A$1:$I$89,3,0)*0.475*44/12</f>
        <v>13.780500884375224</v>
      </c>
      <c r="AC26" s="24">
        <f t="shared" si="3"/>
        <v>29.582623273476003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16.625</v>
      </c>
      <c r="AI26" s="14">
        <f>IF('Données projet'!$A$62&gt;35,AI25+AH26-AQ25,IF(A26&lt;'Données projet'!$A$62,$AF$205^A26,IF(A26='Données projet'!$A$62,'Données projet'!$B$62,AI25+AH26-AQ25)))</f>
        <v>192.62500000000009</v>
      </c>
      <c r="AJ26" s="14">
        <f>AI26*VLOOKUP('Données projet'!$B$10,Paramètres!$A$1:$I$89,3,0)*VLOOKUP('Données projet'!$B$10,Paramètres!$A$1:$I$89,5,0)</f>
        <v>115.18975000000006</v>
      </c>
      <c r="AK26" s="14">
        <f t="shared" si="35"/>
        <v>30.550430193620951</v>
      </c>
      <c r="AL26" s="22">
        <f t="shared" si="4"/>
        <v>253.83081383722325</v>
      </c>
      <c r="AM26" s="62">
        <f t="shared" si="5"/>
        <v>538.60859161500105</v>
      </c>
      <c r="AN26" s="62">
        <f ca="1">AVERAGE(OFFSET($AM$3,0,0,'Données projet'!$E$10+1,1))-AVERAGE(OFFSET($H$3,0,0,'Données projet'!$E$10+1,1))</f>
        <v>187.13674266165236</v>
      </c>
      <c r="AO26" s="62">
        <f t="shared" si="36"/>
        <v>439.28159165815276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11.928604920198577</v>
      </c>
      <c r="AV26" s="23">
        <f>EXP(-LN(2)/25)*AV25+(1-EXP(-LN(2)/25))/(LN(2)/25)*Calculateur!AQ26*Calculateur!AS26*VLOOKUP('Données projet'!$B$10,Paramètres!$A$1:$I$89,3,0)*0.475*44/12</f>
        <v>3.8735174689021998</v>
      </c>
      <c r="AW26" s="23">
        <f>EXP(-LN(2)/2)*AW25+(1-EXP(-LN(2)/2))/(LN(2)/2)*AQ26*AT26*VLOOKUP('Données projet'!$B$10,Paramètres!$A$1:$I$89,3,0)*0.475*44/12</f>
        <v>13.780500884375224</v>
      </c>
      <c r="AX26" s="23">
        <f t="shared" si="6"/>
        <v>29.582623273476003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10.4</v>
      </c>
      <c r="BD26" s="13">
        <f>IF('Données projet'!$A$88&gt;35,BD25+BC26-BL25,IF(A26&lt;'Données projet'!$A$88,$BA$205^A26,IF(A26='Données projet'!$A$88,'Données projet'!$B$88,BD25+BC26-BL25)))</f>
        <v>193.2</v>
      </c>
      <c r="BE26" s="14">
        <f>BD26*VLOOKUP('Données projet'!$B$11,Paramètres!$A$1:$I$89,3,0)*VLOOKUP('Données projet'!$B$11,Paramètres!$A$1:$I$89,5,0)</f>
        <v>174.80735999999999</v>
      </c>
      <c r="BF26" s="14">
        <f t="shared" si="37"/>
        <v>44.164958649772579</v>
      </c>
      <c r="BG26" s="22">
        <f t="shared" si="7"/>
        <v>381.37678831502052</v>
      </c>
      <c r="BH26" s="62">
        <f t="shared" si="8"/>
        <v>666.15456609279829</v>
      </c>
      <c r="BI26" s="62">
        <f ca="1">AVERAGE(OFFSET($BH$3,0,0,'Données projet'!$E$11+1,1))-AVERAGE(OFFSET($H$3,0,0,'Données projet'!$E$11+1,1))</f>
        <v>366.86025470473652</v>
      </c>
      <c r="BJ26" s="62">
        <f t="shared" si="38"/>
        <v>513.80016421153414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0.50896848399031258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0.50896848399031258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561.18403886927126</v>
      </c>
      <c r="S27" s="62">
        <f ca="1">AVERAGE(OFFSET($R$3,0,0,'Données projet'!$E$9+1,1))-AVERAGE(OFFSET($H$3,0,0,'Données projet'!$E$9+1,1))</f>
        <v>187.13674266165236</v>
      </c>
      <c r="T27" s="62">
        <f t="shared" si="34"/>
        <v>439.28159165815276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11.694692253444066</v>
      </c>
      <c r="AA27" s="23">
        <f>EXP(-LN(2)/25)*AA26+(1-EXP(-LN(2)/25))/(LN(2)/25)*Calculateur!V27*Calculateur!X27*VLOOKUP('Données projet'!$B$9,Paramètres!$A$1:$I$89,3,0)*0.475*44/12</f>
        <v>3.7675959300156387</v>
      </c>
      <c r="AB27" s="23">
        <f>EXP(-LN(2)/2)*AB26+(1-EXP(-LN(2)/2))/(LN(2)/2)*V27*Y27*VLOOKUP('Données projet'!$B$9,Paramètres!$A$1:$I$89,3,0)*0.475*44/12</f>
        <v>9.7442856234889366</v>
      </c>
      <c r="AC27" s="24">
        <f t="shared" si="3"/>
        <v>25.20657380694864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16.625</v>
      </c>
      <c r="AI27" s="14">
        <f>IF('Données projet'!$A$62&gt;35,AI26+AH27-AQ26,IF(A27&lt;'Données projet'!$A$62,$AF$205^A27,IF(A27='Données projet'!$A$62,'Données projet'!$B$62,AI26+AH27-AQ26)))</f>
        <v>209.25000000000009</v>
      </c>
      <c r="AJ27" s="14">
        <f>AI27*VLOOKUP('Données projet'!$B$10,Paramètres!$A$1:$I$89,3,0)*VLOOKUP('Données projet'!$B$10,Paramètres!$A$1:$I$89,5,0)</f>
        <v>125.13150000000006</v>
      </c>
      <c r="AK27" s="14">
        <f t="shared" si="35"/>
        <v>32.868905092404546</v>
      </c>
      <c r="AL27" s="22">
        <f t="shared" si="4"/>
        <v>275.18403886927132</v>
      </c>
      <c r="AM27" s="62">
        <f t="shared" si="5"/>
        <v>561.18403886927126</v>
      </c>
      <c r="AN27" s="62">
        <f ca="1">AVERAGE(OFFSET($AM$3,0,0,'Données projet'!$E$10+1,1))-AVERAGE(OFFSET($H$3,0,0,'Données projet'!$E$10+1,1))</f>
        <v>187.13674266165236</v>
      </c>
      <c r="AO27" s="62">
        <f t="shared" si="36"/>
        <v>439.28159165815276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11.694692253444066</v>
      </c>
      <c r="AV27" s="23">
        <f>EXP(-LN(2)/25)*AV26+(1-EXP(-LN(2)/25))/(LN(2)/25)*Calculateur!AQ27*Calculateur!AS27*VLOOKUP('Données projet'!$B$10,Paramètres!$A$1:$I$89,3,0)*0.475*44/12</f>
        <v>3.7675959300156387</v>
      </c>
      <c r="AW27" s="23">
        <f>EXP(-LN(2)/2)*AW26+(1-EXP(-LN(2)/2))/(LN(2)/2)*AQ27*AT27*VLOOKUP('Données projet'!$B$10,Paramètres!$A$1:$I$89,3,0)*0.475*44/12</f>
        <v>9.7442856234889366</v>
      </c>
      <c r="AX27" s="23">
        <f t="shared" si="6"/>
        <v>25.20657380694864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10.4</v>
      </c>
      <c r="BD27" s="13">
        <f>IF('Données projet'!$A$88&gt;35,BD26+BC27-BL26,IF(A27&lt;'Données projet'!$A$88,$BA$205^A27,IF(A27='Données projet'!$A$88,'Données projet'!$B$88,BD26+BC27-BL26)))</f>
        <v>203.6</v>
      </c>
      <c r="BE27" s="14">
        <f>BD27*VLOOKUP('Données projet'!$B$11,Paramètres!$A$1:$I$89,3,0)*VLOOKUP('Données projet'!$B$11,Paramètres!$A$1:$I$89,5,0)</f>
        <v>184.21727999999999</v>
      </c>
      <c r="BF27" s="14">
        <f t="shared" si="37"/>
        <v>46.25918487744358</v>
      </c>
      <c r="BG27" s="22">
        <f t="shared" si="7"/>
        <v>401.41317632821421</v>
      </c>
      <c r="BH27" s="62">
        <f t="shared" si="8"/>
        <v>687.41317632821415</v>
      </c>
      <c r="BI27" s="62">
        <f ca="1">AVERAGE(OFFSET($BH$3,0,0,'Données projet'!$E$11+1,1))-AVERAGE(OFFSET($H$3,0,0,'Données projet'!$E$11+1,1))</f>
        <v>366.86025470473652</v>
      </c>
      <c r="BJ27" s="62">
        <f t="shared" si="38"/>
        <v>513.80016421153414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0.49898792245938439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0.49898792245938439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583.72227333286173</v>
      </c>
      <c r="S28" s="62">
        <f ca="1">AVERAGE(OFFSET($R$3,0,0,'Données projet'!$E$9+1,1))-AVERAGE(OFFSET($H$3,0,0,'Données projet'!$E$9+1,1))</f>
        <v>187.13674266165236</v>
      </c>
      <c r="T28" s="62">
        <f t="shared" si="34"/>
        <v>439.28159165815276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11.46536647141197</v>
      </c>
      <c r="AA28" s="23">
        <f>EXP(-LN(2)/25)*AA27+(1-EXP(-LN(2)/25))/(LN(2)/25)*Calculateur!V28*Calculateur!X28*VLOOKUP('Données projet'!$B$9,Paramètres!$A$1:$I$89,3,0)*0.475*44/12</f>
        <v>3.664570821180102</v>
      </c>
      <c r="AB28" s="23">
        <f>EXP(-LN(2)/2)*AB27+(1-EXP(-LN(2)/2))/(LN(2)/2)*V28*Y28*VLOOKUP('Données projet'!$B$9,Paramètres!$A$1:$I$89,3,0)*0.475*44/12</f>
        <v>6.8902504421876127</v>
      </c>
      <c r="AC28" s="24">
        <f t="shared" si="3"/>
        <v>22.020187734779682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16.625</v>
      </c>
      <c r="AI28" s="14">
        <f>IF('Données projet'!$A$62&gt;35,AI27+AH28-AQ27,IF(A28&lt;'Données projet'!$A$62,$AF$205^A28,IF(A28='Données projet'!$A$62,'Données projet'!$B$62,AI27+AH28-AQ27)))</f>
        <v>225.87500000000009</v>
      </c>
      <c r="AJ28" s="14">
        <f>AI28*VLOOKUP('Données projet'!$B$10,Paramètres!$A$1:$I$89,3,0)*VLOOKUP('Données projet'!$B$10,Paramètres!$A$1:$I$89,5,0)</f>
        <v>135.07325000000006</v>
      </c>
      <c r="AK28" s="14">
        <f t="shared" si="35"/>
        <v>35.166013795582487</v>
      </c>
      <c r="AL28" s="22">
        <f t="shared" si="4"/>
        <v>296.50005111063956</v>
      </c>
      <c r="AM28" s="62">
        <f t="shared" si="5"/>
        <v>583.72227333286173</v>
      </c>
      <c r="AN28" s="62">
        <f ca="1">AVERAGE(OFFSET($AM$3,0,0,'Données projet'!$E$10+1,1))-AVERAGE(OFFSET($H$3,0,0,'Données projet'!$E$10+1,1))</f>
        <v>187.13674266165236</v>
      </c>
      <c r="AO28" s="62">
        <f t="shared" si="36"/>
        <v>439.28159165815276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11.46536647141197</v>
      </c>
      <c r="AV28" s="23">
        <f>EXP(-LN(2)/25)*AV27+(1-EXP(-LN(2)/25))/(LN(2)/25)*Calculateur!AQ28*Calculateur!AS28*VLOOKUP('Données projet'!$B$10,Paramètres!$A$1:$I$89,3,0)*0.475*44/12</f>
        <v>3.664570821180102</v>
      </c>
      <c r="AW28" s="23">
        <f>EXP(-LN(2)/2)*AW27+(1-EXP(-LN(2)/2))/(LN(2)/2)*AQ28*AT28*VLOOKUP('Données projet'!$B$10,Paramètres!$A$1:$I$89,3,0)*0.475*44/12</f>
        <v>6.8902504421876127</v>
      </c>
      <c r="AX28" s="23">
        <f t="shared" si="6"/>
        <v>22.020187734779682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214</v>
      </c>
      <c r="BB28" s="13">
        <f>VLOOKUP(A28,'Données projet'!$A$87:$I$107,9,0)</f>
        <v>10.4</v>
      </c>
      <c r="BC28" s="13">
        <f t="array" ref="BC28">INDEX(BB:BB,MIN(IF(ISNUMBER(BB28:BB224),ROW(BB28:BB224),"")))</f>
        <v>10.4</v>
      </c>
      <c r="BD28" s="13">
        <f>IF('Données projet'!$A$88&gt;35,BD27+BC28-BL27,IF(A28&lt;'Données projet'!$A$88,$BA$205^A28,IF(A28='Données projet'!$A$88,'Données projet'!$B$88,BD27+BC28-BL27)))</f>
        <v>214</v>
      </c>
      <c r="BE28" s="14">
        <f>BD28*VLOOKUP('Données projet'!$B$11,Paramètres!$A$1:$I$89,3,0)*VLOOKUP('Données projet'!$B$11,Paramètres!$A$1:$I$89,5,0)</f>
        <v>193.62719999999999</v>
      </c>
      <c r="BF28" s="14">
        <f t="shared" si="37"/>
        <v>48.340990547231193</v>
      </c>
      <c r="BG28" s="22">
        <f t="shared" si="7"/>
        <v>421.42793186976093</v>
      </c>
      <c r="BH28" s="62">
        <f t="shared" si="8"/>
        <v>708.65015409198315</v>
      </c>
      <c r="BI28" s="62">
        <f ca="1">AVERAGE(OFFSET($BH$3,0,0,'Données projet'!$E$11+1,1))-AVERAGE(OFFSET($H$3,0,0,'Données projet'!$E$11+1,1))</f>
        <v>366.86025470473652</v>
      </c>
      <c r="BJ28" s="62">
        <f t="shared" si="38"/>
        <v>513.80016421153414</v>
      </c>
      <c r="BK28" s="16">
        <f>IF(ISNA(VLOOKUP(A28,'Données projet'!$A$87:$I$107,3,0)),0,VLOOKUP(A28,'Données projet'!$A$87:$I$107,3,0))</f>
        <v>5</v>
      </c>
      <c r="BL28" s="16">
        <f>IF(ISNA(VLOOKUP(A28,'Données projet'!$A$87:$I$107,4,0)),0,VLOOKUP(A28,'Données projet'!$A$87:$I$107,4,0))</f>
        <v>14</v>
      </c>
      <c r="BM28" s="17">
        <f>IF(ISNA(VLOOKUP(A28,'Données projet'!$A$87:$I$107,5,0)),0%,VLOOKUP(A28,'Données projet'!$A$87:$I$107,5,0)*VLOOKUP('Données projet'!$B$11,Paramètres!$A$1:$I$89,7,0))</f>
        <v>0.06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1.3293959371497233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1.3293959371497233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606.22634543239269</v>
      </c>
      <c r="S29" s="62">
        <f ca="1">AVERAGE(OFFSET($R$3,0,0,'Données projet'!$E$9+1,1))-AVERAGE(OFFSET($H$3,0,0,'Données projet'!$E$9+1,1))</f>
        <v>187.13674266165236</v>
      </c>
      <c r="T29" s="62">
        <f t="shared" si="34"/>
        <v>439.28159165815276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11.24053762809061</v>
      </c>
      <c r="AA29" s="23">
        <f>EXP(-LN(2)/25)*AA28+(1-EXP(-LN(2)/25))/(LN(2)/25)*Calculateur!V29*Calculateur!X29*VLOOKUP('Données projet'!$B$9,Paramètres!$A$1:$I$89,3,0)*0.475*44/12</f>
        <v>3.5643629393635283</v>
      </c>
      <c r="AB29" s="23">
        <f>EXP(-LN(2)/2)*AB28+(1-EXP(-LN(2)/2))/(LN(2)/2)*V29*Y29*VLOOKUP('Données projet'!$B$9,Paramètres!$A$1:$I$89,3,0)*0.475*44/12</f>
        <v>4.8721428117444692</v>
      </c>
      <c r="AC29" s="24">
        <f t="shared" si="3"/>
        <v>19.677043379198608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16.625</v>
      </c>
      <c r="AI29" s="14">
        <f>IF('Données projet'!$A$62&gt;35,AI28+AH29-AQ28,IF(A29&lt;'Données projet'!$A$62,$AF$205^A29,IF(A29='Données projet'!$A$62,'Données projet'!$B$62,AI28+AH29-AQ28)))</f>
        <v>242.50000000000009</v>
      </c>
      <c r="AJ29" s="14">
        <f>AI29*VLOOKUP('Données projet'!$B$10,Paramètres!$A$1:$I$89,3,0)*VLOOKUP('Données projet'!$B$10,Paramètres!$A$1:$I$89,5,0)</f>
        <v>145.01500000000004</v>
      </c>
      <c r="AK29" s="14">
        <f t="shared" si="35"/>
        <v>37.443507744276459</v>
      </c>
      <c r="AL29" s="22">
        <f t="shared" si="4"/>
        <v>317.78190098794829</v>
      </c>
      <c r="AM29" s="62">
        <f t="shared" si="5"/>
        <v>606.22634543239269</v>
      </c>
      <c r="AN29" s="62">
        <f ca="1">AVERAGE(OFFSET($AM$3,0,0,'Données projet'!$E$10+1,1))-AVERAGE(OFFSET($H$3,0,0,'Données projet'!$E$10+1,1))</f>
        <v>187.13674266165236</v>
      </c>
      <c r="AO29" s="62">
        <f t="shared" si="36"/>
        <v>439.28159165815276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11.24053762809061</v>
      </c>
      <c r="AV29" s="23">
        <f>EXP(-LN(2)/25)*AV28+(1-EXP(-LN(2)/25))/(LN(2)/25)*Calculateur!AQ29*Calculateur!AS29*VLOOKUP('Données projet'!$B$10,Paramètres!$A$1:$I$89,3,0)*0.475*44/12</f>
        <v>3.5643629393635283</v>
      </c>
      <c r="AW29" s="23">
        <f>EXP(-LN(2)/2)*AW28+(1-EXP(-LN(2)/2))/(LN(2)/2)*AQ29*AT29*VLOOKUP('Données projet'!$B$10,Paramètres!$A$1:$I$89,3,0)*0.475*44/12</f>
        <v>4.8721428117444692</v>
      </c>
      <c r="AX29" s="23">
        <f t="shared" si="6"/>
        <v>19.677043379198608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8.6</v>
      </c>
      <c r="BD29" s="13">
        <f>IF('Données projet'!$A$88&gt;35,BD28+BC29-BL28,IF(A29&lt;'Données projet'!$A$88,$BA$205^A29,IF(A29='Données projet'!$A$88,'Données projet'!$B$88,BD28+BC29-BL28)))</f>
        <v>208.6</v>
      </c>
      <c r="BE29" s="14">
        <f>BD29*VLOOKUP('Données projet'!$B$11,Paramètres!$A$1:$I$89,3,0)*VLOOKUP('Données projet'!$B$11,Paramètres!$A$1:$I$89,5,0)</f>
        <v>188.74127999999999</v>
      </c>
      <c r="BF29" s="14">
        <f t="shared" si="37"/>
        <v>47.261560168122358</v>
      </c>
      <c r="BG29" s="22">
        <f t="shared" si="7"/>
        <v>411.03827995947972</v>
      </c>
      <c r="BH29" s="62">
        <f t="shared" si="8"/>
        <v>699.48272440392418</v>
      </c>
      <c r="BI29" s="62">
        <f ca="1">AVERAGE(OFFSET($BH$3,0,0,'Données projet'!$E$11+1,1))-AVERAGE(OFFSET($H$3,0,0,'Données projet'!$E$11+1,1))</f>
        <v>366.86025470473652</v>
      </c>
      <c r="BJ29" s="62">
        <f t="shared" si="38"/>
        <v>513.80016421153414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1.3033272936736739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1.3033272936736739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628.69886366407695</v>
      </c>
      <c r="S30" s="62">
        <f ca="1">AVERAGE(OFFSET($R$3,0,0,'Données projet'!$E$9+1,1))-AVERAGE(OFFSET($H$3,0,0,'Données projet'!$E$9+1,1))</f>
        <v>187.13674266165236</v>
      </c>
      <c r="T30" s="62">
        <f t="shared" si="34"/>
        <v>439.28159165815276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11.020117541254727</v>
      </c>
      <c r="AA30" s="23">
        <f>EXP(-LN(2)/25)*AA29+(1-EXP(-LN(2)/25))/(LN(2)/25)*Calculateur!V30*Calculateur!X30*VLOOKUP('Données projet'!$B$9,Paramètres!$A$1:$I$89,3,0)*0.475*44/12</f>
        <v>3.4668952473449322</v>
      </c>
      <c r="AB30" s="23">
        <f>EXP(-LN(2)/2)*AB29+(1-EXP(-LN(2)/2))/(LN(2)/2)*V30*Y30*VLOOKUP('Données projet'!$B$9,Paramètres!$A$1:$I$89,3,0)*0.475*44/12</f>
        <v>3.4451252210938068</v>
      </c>
      <c r="AC30" s="24">
        <f t="shared" si="3"/>
        <v>17.932138009693467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16.625</v>
      </c>
      <c r="AI30" s="14">
        <f>IF('Données projet'!$A$62&gt;35,AI29+AH30-AQ29,IF(A30&lt;'Données projet'!$A$62,$AF$205^A30,IF(A30='Données projet'!$A$62,'Données projet'!$B$62,AI29+AH30-AQ29)))</f>
        <v>259.12500000000011</v>
      </c>
      <c r="AJ30" s="14">
        <f>AI30*VLOOKUP('Données projet'!$B$10,Paramètres!$A$1:$I$89,3,0)*VLOOKUP('Données projet'!$B$10,Paramètres!$A$1:$I$89,5,0)</f>
        <v>154.95675000000008</v>
      </c>
      <c r="AK30" s="14">
        <f t="shared" si="35"/>
        <v>39.702884639661342</v>
      </c>
      <c r="AL30" s="22">
        <f t="shared" si="4"/>
        <v>339.03219699741027</v>
      </c>
      <c r="AM30" s="62">
        <f t="shared" si="5"/>
        <v>628.69886366407695</v>
      </c>
      <c r="AN30" s="62">
        <f ca="1">AVERAGE(OFFSET($AM$3,0,0,'Données projet'!$E$10+1,1))-AVERAGE(OFFSET($H$3,0,0,'Données projet'!$E$10+1,1))</f>
        <v>187.13674266165236</v>
      </c>
      <c r="AO30" s="62">
        <f t="shared" si="36"/>
        <v>439.28159165815276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11.020117541254727</v>
      </c>
      <c r="AV30" s="23">
        <f>EXP(-LN(2)/25)*AV29+(1-EXP(-LN(2)/25))/(LN(2)/25)*Calculateur!AQ30*Calculateur!AS30*VLOOKUP('Données projet'!$B$10,Paramètres!$A$1:$I$89,3,0)*0.475*44/12</f>
        <v>3.4668952473449322</v>
      </c>
      <c r="AW30" s="23">
        <f>EXP(-LN(2)/2)*AW29+(1-EXP(-LN(2)/2))/(LN(2)/2)*AQ30*AT30*VLOOKUP('Données projet'!$B$10,Paramètres!$A$1:$I$89,3,0)*0.475*44/12</f>
        <v>3.4451252210938068</v>
      </c>
      <c r="AX30" s="23">
        <f t="shared" si="6"/>
        <v>17.932138009693467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8.6</v>
      </c>
      <c r="BD30" s="13">
        <f>IF('Données projet'!$A$88&gt;35,BD29+BC30-BL29,IF(A30&lt;'Données projet'!$A$88,$BA$205^A30,IF(A30='Données projet'!$A$88,'Données projet'!$B$88,BD29+BC30-BL29)))</f>
        <v>217.2</v>
      </c>
      <c r="BE30" s="14">
        <f>BD30*VLOOKUP('Données projet'!$B$11,Paramètres!$A$1:$I$89,3,0)*VLOOKUP('Données projet'!$B$11,Paramètres!$A$1:$I$89,5,0)</f>
        <v>196.52255999999997</v>
      </c>
      <c r="BF30" s="14">
        <f t="shared" si="37"/>
        <v>48.979153257338155</v>
      </c>
      <c r="BG30" s="22">
        <f t="shared" si="7"/>
        <v>427.58215058986383</v>
      </c>
      <c r="BH30" s="62">
        <f t="shared" si="8"/>
        <v>717.24881725653051</v>
      </c>
      <c r="BI30" s="62">
        <f ca="1">AVERAGE(OFFSET($BH$3,0,0,'Données projet'!$E$11+1,1))-AVERAGE(OFFSET($H$3,0,0,'Données projet'!$E$11+1,1))</f>
        <v>366.86025470473652</v>
      </c>
      <c r="BJ30" s="62">
        <f t="shared" si="38"/>
        <v>513.80016421153414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1.2777698403958875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1.2777698403958875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651.14208288676889</v>
      </c>
      <c r="S31" s="62">
        <f ca="1">AVERAGE(OFFSET($R$3,0,0,'Données projet'!$E$9+1,1))-AVERAGE(OFFSET($H$3,0,0,'Données projet'!$E$9+1,1))</f>
        <v>187.13674266165236</v>
      </c>
      <c r="T31" s="62">
        <f t="shared" si="34"/>
        <v>439.28159165815276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10.804019757878718</v>
      </c>
      <c r="AA31" s="23">
        <f>EXP(-LN(2)/25)*AA30+(1-EXP(-LN(2)/25))/(LN(2)/25)*Calculateur!V31*Calculateur!X31*VLOOKUP('Données projet'!$B$9,Paramètres!$A$1:$I$89,3,0)*0.475*44/12</f>
        <v>3.3720928144901876</v>
      </c>
      <c r="AB31" s="23">
        <f>EXP(-LN(2)/2)*AB30+(1-EXP(-LN(2)/2))/(LN(2)/2)*V31*Y31*VLOOKUP('Données projet'!$B$9,Paramètres!$A$1:$I$89,3,0)*0.475*44/12</f>
        <v>2.4360714058722346</v>
      </c>
      <c r="AC31" s="24">
        <f t="shared" si="3"/>
        <v>16.612183978241141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16.625</v>
      </c>
      <c r="AI31" s="14">
        <f>IF('Données projet'!$A$62&gt;35,AI30+AH31-AQ30,IF(A31&lt;'Données projet'!$A$62,$AF$205^A31,IF(A31='Données projet'!$A$62,'Données projet'!$B$62,AI30+AH31-AQ30)))</f>
        <v>275.75000000000011</v>
      </c>
      <c r="AJ31" s="14">
        <f>AI31*VLOOKUP('Données projet'!$B$10,Paramètres!$A$1:$I$89,3,0)*VLOOKUP('Données projet'!$B$10,Paramètres!$A$1:$I$89,5,0)</f>
        <v>164.89850000000007</v>
      </c>
      <c r="AK31" s="14">
        <f t="shared" si="35"/>
        <v>41.94543913753872</v>
      </c>
      <c r="AL31" s="22">
        <f t="shared" si="4"/>
        <v>360.25319399788003</v>
      </c>
      <c r="AM31" s="62">
        <f t="shared" si="5"/>
        <v>651.14208288676889</v>
      </c>
      <c r="AN31" s="62">
        <f ca="1">AVERAGE(OFFSET($AM$3,0,0,'Données projet'!$E$10+1,1))-AVERAGE(OFFSET($H$3,0,0,'Données projet'!$E$10+1,1))</f>
        <v>187.13674266165236</v>
      </c>
      <c r="AO31" s="62">
        <f t="shared" si="36"/>
        <v>439.28159165815276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10.804019757878718</v>
      </c>
      <c r="AV31" s="23">
        <f>EXP(-LN(2)/25)*AV30+(1-EXP(-LN(2)/25))/(LN(2)/25)*Calculateur!AQ31*Calculateur!AS31*VLOOKUP('Données projet'!$B$10,Paramètres!$A$1:$I$89,3,0)*0.475*44/12</f>
        <v>3.3720928144901876</v>
      </c>
      <c r="AW31" s="23">
        <f>EXP(-LN(2)/2)*AW30+(1-EXP(-LN(2)/2))/(LN(2)/2)*AQ31*AT31*VLOOKUP('Données projet'!$B$10,Paramètres!$A$1:$I$89,3,0)*0.475*44/12</f>
        <v>2.4360714058722346</v>
      </c>
      <c r="AX31" s="23">
        <f t="shared" si="6"/>
        <v>16.612183978241141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8.6</v>
      </c>
      <c r="BD31" s="13">
        <f>IF('Données projet'!$A$88&gt;35,BD30+BC31-BL30,IF(A31&lt;'Données projet'!$A$88,$BA$205^A31,IF(A31='Données projet'!$A$88,'Données projet'!$B$88,BD30+BC31-BL30)))</f>
        <v>225.79999999999998</v>
      </c>
      <c r="BE31" s="14">
        <f>BD31*VLOOKUP('Données projet'!$B$11,Paramètres!$A$1:$I$89,3,0)*VLOOKUP('Données projet'!$B$11,Paramètres!$A$1:$I$89,5,0)</f>
        <v>204.30383999999995</v>
      </c>
      <c r="BF31" s="14">
        <f t="shared" si="37"/>
        <v>50.688846269088558</v>
      </c>
      <c r="BG31" s="22">
        <f t="shared" si="7"/>
        <v>444.11226191866245</v>
      </c>
      <c r="BH31" s="62">
        <f t="shared" si="8"/>
        <v>735.00115080755131</v>
      </c>
      <c r="BI31" s="62">
        <f ca="1">AVERAGE(OFFSET($BH$3,0,0,'Données projet'!$E$11+1,1))-AVERAGE(OFFSET($H$3,0,0,'Données projet'!$E$11+1,1))</f>
        <v>366.86025470473652</v>
      </c>
      <c r="BJ31" s="62">
        <f t="shared" si="38"/>
        <v>513.80016421153414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1.2527135531883711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1.2527135531883711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673.55797070593519</v>
      </c>
      <c r="S32" s="62">
        <f ca="1">AVERAGE(OFFSET($R$3,0,0,'Données projet'!$E$9+1,1))-AVERAGE(OFFSET($H$3,0,0,'Données projet'!$E$9+1,1))</f>
        <v>187.13674266165236</v>
      </c>
      <c r="T32" s="62">
        <f t="shared" si="34"/>
        <v>439.28159165815276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10.59215952022808</v>
      </c>
      <c r="AA32" s="23">
        <f>EXP(-LN(2)/25)*AA31+(1-EXP(-LN(2)/25))/(LN(2)/25)*Calculateur!V32*Calculateur!X32*VLOOKUP('Données projet'!$B$9,Paramètres!$A$1:$I$89,3,0)*0.475*44/12</f>
        <v>3.2798827591472994</v>
      </c>
      <c r="AB32" s="23">
        <f>EXP(-LN(2)/2)*AB31+(1-EXP(-LN(2)/2))/(LN(2)/2)*V32*Y32*VLOOKUP('Données projet'!$B$9,Paramètres!$A$1:$I$89,3,0)*0.475*44/12</f>
        <v>1.7225626105469034</v>
      </c>
      <c r="AC32" s="24">
        <f t="shared" si="3"/>
        <v>15.594604889922282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16.625</v>
      </c>
      <c r="AI32" s="14">
        <f>IF('Données projet'!$A$62&gt;35,AI31+AH32-AQ31,IF(A32&lt;'Données projet'!$A$62,$AF$205^A32,IF(A32='Données projet'!$A$62,'Données projet'!$B$62,AI31+AH32-AQ31)))</f>
        <v>292.37500000000011</v>
      </c>
      <c r="AJ32" s="14">
        <f>AI32*VLOOKUP('Données projet'!$B$10,Paramètres!$A$1:$I$89,3,0)*VLOOKUP('Données projet'!$B$10,Paramètres!$A$1:$I$89,5,0)</f>
        <v>174.84025000000008</v>
      </c>
      <c r="AK32" s="14">
        <f t="shared" si="35"/>
        <v>44.172300963535264</v>
      </c>
      <c r="AL32" s="22">
        <f t="shared" si="4"/>
        <v>381.44685959482405</v>
      </c>
      <c r="AM32" s="62">
        <f t="shared" si="5"/>
        <v>673.55797070593519</v>
      </c>
      <c r="AN32" s="62">
        <f ca="1">AVERAGE(OFFSET($AM$3,0,0,'Données projet'!$E$10+1,1))-AVERAGE(OFFSET($H$3,0,0,'Données projet'!$E$10+1,1))</f>
        <v>187.13674266165236</v>
      </c>
      <c r="AO32" s="62">
        <f t="shared" si="36"/>
        <v>439.28159165815276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10.59215952022808</v>
      </c>
      <c r="AV32" s="23">
        <f>EXP(-LN(2)/25)*AV31+(1-EXP(-LN(2)/25))/(LN(2)/25)*Calculateur!AQ32*Calculateur!AS32*VLOOKUP('Données projet'!$B$10,Paramètres!$A$1:$I$89,3,0)*0.475*44/12</f>
        <v>3.2798827591472994</v>
      </c>
      <c r="AW32" s="23">
        <f>EXP(-LN(2)/2)*AW31+(1-EXP(-LN(2)/2))/(LN(2)/2)*AQ32*AT32*VLOOKUP('Données projet'!$B$10,Paramètres!$A$1:$I$89,3,0)*0.475*44/12</f>
        <v>1.7225626105469034</v>
      </c>
      <c r="AX32" s="23">
        <f t="shared" si="6"/>
        <v>15.594604889922282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8.6</v>
      </c>
      <c r="BD32" s="13">
        <f>IF('Données projet'!$A$88&gt;35,BD31+BC32-BL31,IF(A32&lt;'Données projet'!$A$88,$BA$205^A32,IF(A32='Données projet'!$A$88,'Données projet'!$B$88,BD31+BC32-BL31)))</f>
        <v>234.39999999999998</v>
      </c>
      <c r="BE32" s="14">
        <f>BD32*VLOOKUP('Données projet'!$B$11,Paramètres!$A$1:$I$89,3,0)*VLOOKUP('Données projet'!$B$11,Paramètres!$A$1:$I$89,5,0)</f>
        <v>212.08511999999996</v>
      </c>
      <c r="BF32" s="14">
        <f t="shared" si="37"/>
        <v>52.390974537063087</v>
      </c>
      <c r="BG32" s="22">
        <f t="shared" si="7"/>
        <v>460.62919798538474</v>
      </c>
      <c r="BH32" s="62">
        <f t="shared" si="8"/>
        <v>752.74030909649582</v>
      </c>
      <c r="BI32" s="62">
        <f ca="1">AVERAGE(OFFSET($BH$3,0,0,'Données projet'!$E$11+1,1))-AVERAGE(OFFSET($H$3,0,0,'Données projet'!$E$11+1,1))</f>
        <v>366.86025470473652</v>
      </c>
      <c r="BJ32" s="62">
        <f t="shared" si="38"/>
        <v>513.80016421153414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1.2281486044901679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1.2281486044901679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187.13674266165236</v>
      </c>
      <c r="T33" s="62">
        <f t="shared" si="34"/>
        <v>439.28159165815276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0.315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0.3</v>
      </c>
      <c r="Z33" s="23">
        <f>EXP(-LN(2)/35)*Z32+(1-EXP(-LN(2)/35))/(LN(2)/35)*V33*W33*VLOOKUP('Données projet'!$B$9,Paramètres!$A$1:$I$89,3,0)*0.475*44/12</f>
        <v>87.598902192199958</v>
      </c>
      <c r="AA33" s="23">
        <f>EXP(-LN(2)/25)*AA32+(1-EXP(-LN(2)/25))/(LN(2)/25)*Calculateur!V33*Calculateur!X33*VLOOKUP('Données projet'!$B$9,Paramètres!$A$1:$I$89,3,0)*0.475*44/12</f>
        <v>47.139008909752512</v>
      </c>
      <c r="AB33" s="23">
        <f>EXP(-LN(2)/2)*AB32+(1-EXP(-LN(2)/2))/(LN(2)/2)*V33*Y33*VLOOKUP('Données projet'!$B$9,Paramètres!$A$1:$I$89,3,0)*0.475*44/12</f>
        <v>63.982880223396748</v>
      </c>
      <c r="AC33" s="24">
        <f t="shared" si="3"/>
        <v>198.72079132534924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309</v>
      </c>
      <c r="AG33" s="13">
        <f>VLOOKUP(A33,'Données projet'!$A$61:$I$81,9,0)</f>
        <v>16.625</v>
      </c>
      <c r="AH33" s="13">
        <f t="array" ref="AH33">INDEX(AG:AG,MIN(IF(ISNUMBER(AG33:AG229),ROW(AG33:AG229),"")))</f>
        <v>16.625</v>
      </c>
      <c r="AI33" s="14">
        <f>IF('Données projet'!$A$62&gt;35,AI32+AH33-AQ32,IF(A33&lt;'Données projet'!$A$62,$AF$205^A33,IF(A33='Données projet'!$A$62,'Données projet'!$B$62,AI32+AH33-AQ32)))</f>
        <v>309.00000000000011</v>
      </c>
      <c r="AJ33" s="14">
        <f>AI33*VLOOKUP('Données projet'!$B$10,Paramètres!$A$1:$I$89,3,0)*VLOOKUP('Données projet'!$B$10,Paramètres!$A$1:$I$89,5,0)</f>
        <v>184.7820000000001</v>
      </c>
      <c r="AK33" s="14">
        <f t="shared" si="35"/>
        <v>46.384464109944147</v>
      </c>
      <c r="AL33" s="22">
        <f t="shared" si="4"/>
        <v>402.61492499148613</v>
      </c>
      <c r="AM33" s="62">
        <f t="shared" si="5"/>
        <v>695.94825832481945</v>
      </c>
      <c r="AN33" s="62">
        <f ca="1">AVERAGE(OFFSET($AM$3,0,0,'Données projet'!$E$10+1,1))-AVERAGE(OFFSET($H$3,0,0,'Données projet'!$E$10+1,1))</f>
        <v>187.13674266165236</v>
      </c>
      <c r="AO33" s="62">
        <f t="shared" si="36"/>
        <v>439.28159165815276</v>
      </c>
      <c r="AP33" s="16">
        <f>IF(ISNA(VLOOKUP(A33,'Données projet'!$A$61:$I$81,3,0)),0,VLOOKUP(A33,'Données projet'!$A$61:$I$81,3,0))</f>
        <v>4</v>
      </c>
      <c r="AQ33" s="16">
        <f>IF(ISNA(VLOOKUP(A33,'Données projet'!$A$61:$I$81,4,0)),0,VLOOKUP(A33,'Données projet'!$A$61:$I$81,4,0))</f>
        <v>309</v>
      </c>
      <c r="AR33" s="17">
        <f>IF(ISNA(VLOOKUP(A33,'Données projet'!$A$61:$I$81,5,0)),0%,VLOOKUP(A33,'Données projet'!$A$61:$I$81,5,0)*VLOOKUP('Données projet'!$B$10,Paramètres!$A$1:$I$89,7,0))</f>
        <v>0.315</v>
      </c>
      <c r="AS33" s="17">
        <f>IF(ISNA(VLOOKUP(A33,'Données projet'!$A$61:$I$81,6,0)),0%,VLOOKUP(A33,'Données projet'!$A$61:$I$81,6,0)*VLOOKUP('Données projet'!$B$10,Paramètres!$A$1:$I$89,7,0))</f>
        <v>0.18000000000000002</v>
      </c>
      <c r="AT33" s="17">
        <f>IF(ISNA(VLOOKUP(A33,'Données projet'!$A$61:$I$81,7,0)),0%,VLOOKUP(A33,'Données projet'!$A$61:$I$81,7,0))</f>
        <v>0.3</v>
      </c>
      <c r="AU33" s="23">
        <f>EXP(-LN(2)/35)*AU32+(1-EXP(-LN(2)/35))/(LN(2)/35)*AQ33*AR33*VLOOKUP('Données projet'!$B$10,Paramètres!$A$1:$I$89,3,0)*0.475*44/12</f>
        <v>87.598902192199958</v>
      </c>
      <c r="AV33" s="23">
        <f>EXP(-LN(2)/25)*AV32+(1-EXP(-LN(2)/25))/(LN(2)/25)*Calculateur!AQ33*Calculateur!AS33*VLOOKUP('Données projet'!$B$10,Paramètres!$A$1:$I$89,3,0)*0.475*44/12</f>
        <v>47.139008909752512</v>
      </c>
      <c r="AW33" s="23">
        <f>EXP(-LN(2)/2)*AW32+(1-EXP(-LN(2)/2))/(LN(2)/2)*AQ33*AT33*VLOOKUP('Données projet'!$B$10,Paramètres!$A$1:$I$89,3,0)*0.475*44/12</f>
        <v>63.982880223396748</v>
      </c>
      <c r="AX33" s="23">
        <f t="shared" si="6"/>
        <v>198.72079132534924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243</v>
      </c>
      <c r="BB33" s="13">
        <f>VLOOKUP(A33,'Données projet'!$A$87:$I$107,9,0)</f>
        <v>8.6</v>
      </c>
      <c r="BC33" s="13">
        <f t="array" ref="BC33">INDEX(BB:BB,MIN(IF(ISNUMBER(BB33:BB229),ROW(BB33:BB229),"")))</f>
        <v>8.6</v>
      </c>
      <c r="BD33" s="13">
        <f>IF('Données projet'!$A$88&gt;35,BD32+BC33-BL32,IF(A33&lt;'Données projet'!$A$88,$BA$205^A33,IF(A33='Données projet'!$A$88,'Données projet'!$B$88,BD32+BC33-BL32)))</f>
        <v>242.99999999999997</v>
      </c>
      <c r="BE33" s="14">
        <f>BD33*VLOOKUP('Données projet'!$B$11,Paramètres!$A$1:$I$89,3,0)*VLOOKUP('Données projet'!$B$11,Paramètres!$A$1:$I$89,5,0)</f>
        <v>219.86639999999997</v>
      </c>
      <c r="BF33" s="14">
        <f t="shared" si="37"/>
        <v>54.085847394182416</v>
      </c>
      <c r="BG33" s="22">
        <f t="shared" si="7"/>
        <v>477.13349754486762</v>
      </c>
      <c r="BH33" s="62">
        <f t="shared" si="8"/>
        <v>770.46683087820088</v>
      </c>
      <c r="BI33" s="62">
        <f ca="1">AVERAGE(OFFSET($BH$3,0,0,'Données projet'!$E$11+1,1))-AVERAGE(OFFSET($H$3,0,0,'Données projet'!$E$11+1,1))</f>
        <v>366.86025470473652</v>
      </c>
      <c r="BJ33" s="62">
        <f t="shared" si="38"/>
        <v>513.80016421153414</v>
      </c>
      <c r="BK33" s="16">
        <f>IF(ISNA(VLOOKUP(A33,'Données projet'!$A$87:$I$107,3,0)),0,VLOOKUP(A33,'Données projet'!$A$87:$I$107,3,0))</f>
        <v>6</v>
      </c>
      <c r="BL33" s="16">
        <f>IF(ISNA(VLOOKUP(A33,'Données projet'!$A$87:$I$107,4,0)),0,VLOOKUP(A33,'Données projet'!$A$87:$I$107,4,0))</f>
        <v>11</v>
      </c>
      <c r="BM33" s="17">
        <f>IF(ISNA(VLOOKUP(A33,'Données projet'!$A$87:$I$107,5,0)),0%,VLOOKUP(A33,'Données projet'!$A$87:$I$107,5,0)*VLOOKUP('Données projet'!$B$11,Paramètres!$A$1:$I$89,7,0))</f>
        <v>0.09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2.1942926628601964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2.1942926628601964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187.13674266165236</v>
      </c>
      <c r="T34" s="62">
        <f t="shared" si="34"/>
        <v>439.28159165815276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85.881141150265478</v>
      </c>
      <c r="AA34" s="23">
        <f>EXP(-LN(2)/25)*AA33+(1-EXP(-LN(2)/25))/(LN(2)/25)*Calculateur!V34*Calculateur!X34*VLOOKUP('Données projet'!$B$9,Paramètres!$A$1:$I$89,3,0)*0.475*44/12</f>
        <v>45.849990232182591</v>
      </c>
      <c r="AB34" s="23">
        <f>EXP(-LN(2)/2)*AB33+(1-EXP(-LN(2)/2))/(LN(2)/2)*V34*Y34*VLOOKUP('Données projet'!$B$9,Paramètres!$A$1:$I$89,3,0)*0.475*44/12</f>
        <v>45.242728485810488</v>
      </c>
      <c r="AC34" s="24">
        <f t="shared" si="3"/>
        <v>176.97385986825856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1.1368683772161603E-13</v>
      </c>
      <c r="AJ34" s="14">
        <f>AI34*VLOOKUP('Données projet'!$B$10,Paramètres!$A$1:$I$89,3,0)*VLOOKUP('Données projet'!$B$10,Paramètres!$A$1:$I$89,5,0)</f>
        <v>6.7984728957526396E-14</v>
      </c>
      <c r="AK34" s="14">
        <f t="shared" si="35"/>
        <v>1.0682447123141398E-12</v>
      </c>
      <c r="AL34" s="22">
        <f t="shared" si="4"/>
        <v>1.978932943548152E-12</v>
      </c>
      <c r="AM34" s="62">
        <f t="shared" si="5"/>
        <v>293.3333333333353</v>
      </c>
      <c r="AN34" s="62">
        <f ca="1">AVERAGE(OFFSET($AM$3,0,0,'Données projet'!$E$10+1,1))-AVERAGE(OFFSET($H$3,0,0,'Données projet'!$E$10+1,1))</f>
        <v>187.13674266165236</v>
      </c>
      <c r="AO34" s="62">
        <f t="shared" si="36"/>
        <v>439.28159165815276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85.881141150265478</v>
      </c>
      <c r="AV34" s="23">
        <f>EXP(-LN(2)/25)*AV33+(1-EXP(-LN(2)/25))/(LN(2)/25)*Calculateur!AQ34*Calculateur!AS34*VLOOKUP('Données projet'!$B$10,Paramètres!$A$1:$I$89,3,0)*0.475*44/12</f>
        <v>45.849990232182591</v>
      </c>
      <c r="AW34" s="23">
        <f>EXP(-LN(2)/2)*AW33+(1-EXP(-LN(2)/2))/(LN(2)/2)*AQ34*AT34*VLOOKUP('Données projet'!$B$10,Paramètres!$A$1:$I$89,3,0)*0.475*44/12</f>
        <v>45.242728485810488</v>
      </c>
      <c r="AX34" s="23">
        <f t="shared" si="6"/>
        <v>176.97385986825856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7</v>
      </c>
      <c r="BD34" s="13">
        <f>IF('Données projet'!$A$88&gt;35,BD33+BC34-BL33,IF(A34&lt;'Données projet'!$A$88,$BA$205^A34,IF(A34='Données projet'!$A$88,'Données projet'!$B$88,BD33+BC34-BL33)))</f>
        <v>238.99999999999997</v>
      </c>
      <c r="BE34" s="14">
        <f>BD34*VLOOKUP('Données projet'!$B$11,Paramètres!$A$1:$I$89,3,0)*VLOOKUP('Données projet'!$B$11,Paramètres!$A$1:$I$89,5,0)</f>
        <v>216.24719999999996</v>
      </c>
      <c r="BF34" s="14">
        <f t="shared" si="37"/>
        <v>53.298418226645332</v>
      </c>
      <c r="BG34" s="22">
        <f t="shared" si="7"/>
        <v>469.45861841140714</v>
      </c>
      <c r="BH34" s="62">
        <f t="shared" si="8"/>
        <v>762.79195174474046</v>
      </c>
      <c r="BI34" s="62">
        <f ca="1">AVERAGE(OFFSET($BH$3,0,0,'Données projet'!$E$11+1,1))-AVERAGE(OFFSET($H$3,0,0,'Données projet'!$E$11+1,1))</f>
        <v>366.86025470473652</v>
      </c>
      <c r="BJ34" s="62">
        <f t="shared" si="38"/>
        <v>513.80016421153414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2.1512639221278778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2.1512639221278778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187.13674266165236</v>
      </c>
      <c r="T35" s="62">
        <f t="shared" si="34"/>
        <v>439.28159165815276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84.197064354632545</v>
      </c>
      <c r="AA35" s="23">
        <f>EXP(-LN(2)/25)*AA34+(1-EXP(-LN(2)/25))/(LN(2)/25)*Calculateur!V35*Calculateur!X35*VLOOKUP('Données projet'!$B$9,Paramètres!$A$1:$I$89,3,0)*0.475*44/12</f>
        <v>44.596219838137365</v>
      </c>
      <c r="AB35" s="23">
        <f>EXP(-LN(2)/2)*AB34+(1-EXP(-LN(2)/2))/(LN(2)/2)*V35*Y35*VLOOKUP('Données projet'!$B$9,Paramètres!$A$1:$I$89,3,0)*0.475*44/12</f>
        <v>31.991440111698381</v>
      </c>
      <c r="AC35" s="24">
        <f t="shared" si="3"/>
        <v>160.78472430446828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1.1368683772161603E-13</v>
      </c>
      <c r="AJ35" s="14">
        <f>AI35*VLOOKUP('Données projet'!$B$10,Paramètres!$A$1:$I$89,3,0)*VLOOKUP('Données projet'!$B$10,Paramètres!$A$1:$I$89,5,0)</f>
        <v>6.7984728957526396E-14</v>
      </c>
      <c r="AK35" s="14">
        <f t="shared" si="35"/>
        <v>1.0682447123141398E-12</v>
      </c>
      <c r="AL35" s="22">
        <f t="shared" si="4"/>
        <v>1.978932943548152E-12</v>
      </c>
      <c r="AM35" s="62">
        <f t="shared" si="5"/>
        <v>293.3333333333353</v>
      </c>
      <c r="AN35" s="62">
        <f ca="1">AVERAGE(OFFSET($AM$3,0,0,'Données projet'!$E$10+1,1))-AVERAGE(OFFSET($H$3,0,0,'Données projet'!$E$10+1,1))</f>
        <v>187.13674266165236</v>
      </c>
      <c r="AO35" s="62">
        <f t="shared" si="36"/>
        <v>439.28159165815276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84.197064354632545</v>
      </c>
      <c r="AV35" s="23">
        <f>EXP(-LN(2)/25)*AV34+(1-EXP(-LN(2)/25))/(LN(2)/25)*Calculateur!AQ35*Calculateur!AS35*VLOOKUP('Données projet'!$B$10,Paramètres!$A$1:$I$89,3,0)*0.475*44/12</f>
        <v>44.596219838137365</v>
      </c>
      <c r="AW35" s="23">
        <f>EXP(-LN(2)/2)*AW34+(1-EXP(-LN(2)/2))/(LN(2)/2)*AQ35*AT35*VLOOKUP('Données projet'!$B$10,Paramètres!$A$1:$I$89,3,0)*0.475*44/12</f>
        <v>31.991440111698381</v>
      </c>
      <c r="AX35" s="23">
        <f t="shared" si="6"/>
        <v>160.78472430446828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7</v>
      </c>
      <c r="BD35" s="13">
        <f>IF('Données projet'!$A$88&gt;35,BD34+BC35-BL34,IF(A35&lt;'Données projet'!$A$88,$BA$205^A35,IF(A35='Données projet'!$A$88,'Données projet'!$B$88,BD34+BC35-BL34)))</f>
        <v>245.99999999999997</v>
      </c>
      <c r="BE35" s="14">
        <f>BD35*VLOOKUP('Données projet'!$B$11,Paramètres!$A$1:$I$89,3,0)*VLOOKUP('Données projet'!$B$11,Paramètres!$A$1:$I$89,5,0)</f>
        <v>222.58079999999998</v>
      </c>
      <c r="BF35" s="14">
        <f t="shared" si="37"/>
        <v>54.675428546153199</v>
      </c>
      <c r="BG35" s="22">
        <f t="shared" si="7"/>
        <v>482.88793138455003</v>
      </c>
      <c r="BH35" s="62">
        <f t="shared" si="8"/>
        <v>776.22126471788329</v>
      </c>
      <c r="BI35" s="62">
        <f ca="1">AVERAGE(OFFSET($BH$3,0,0,'Données projet'!$E$11+1,1))-AVERAGE(OFFSET($H$3,0,0,'Données projet'!$E$11+1,1))</f>
        <v>366.86025470473652</v>
      </c>
      <c r="BJ35" s="62">
        <f t="shared" si="38"/>
        <v>513.80016421153414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2.1090789487563795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2.1090789487563795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187.13674266165236</v>
      </c>
      <c r="T36" s="62">
        <f t="shared" si="34"/>
        <v>439.28159165815276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82.546011277776557</v>
      </c>
      <c r="AA36" s="23">
        <f>EXP(-LN(2)/25)*AA35+(1-EXP(-LN(2)/25))/(LN(2)/25)*Calculateur!V36*Calculateur!X36*VLOOKUP('Données projet'!$B$9,Paramètres!$A$1:$I$89,3,0)*0.475*44/12</f>
        <v>43.376733861450226</v>
      </c>
      <c r="AB36" s="23">
        <f>EXP(-LN(2)/2)*AB35+(1-EXP(-LN(2)/2))/(LN(2)/2)*V36*Y36*VLOOKUP('Données projet'!$B$9,Paramètres!$A$1:$I$89,3,0)*0.475*44/12</f>
        <v>22.621364242905248</v>
      </c>
      <c r="AC36" s="24">
        <f t="shared" si="3"/>
        <v>148.54410938213204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1.1368683772161603E-13</v>
      </c>
      <c r="AJ36" s="14">
        <f>AI36*VLOOKUP('Données projet'!$B$10,Paramètres!$A$1:$I$89,3,0)*VLOOKUP('Données projet'!$B$10,Paramètres!$A$1:$I$89,5,0)</f>
        <v>6.7984728957526396E-14</v>
      </c>
      <c r="AK36" s="14">
        <f t="shared" si="35"/>
        <v>1.0682447123141398E-12</v>
      </c>
      <c r="AL36" s="22">
        <f t="shared" si="4"/>
        <v>1.978932943548152E-12</v>
      </c>
      <c r="AM36" s="62">
        <f t="shared" si="5"/>
        <v>293.3333333333353</v>
      </c>
      <c r="AN36" s="62">
        <f ca="1">AVERAGE(OFFSET($AM$3,0,0,'Données projet'!$E$10+1,1))-AVERAGE(OFFSET($H$3,0,0,'Données projet'!$E$10+1,1))</f>
        <v>187.13674266165236</v>
      </c>
      <c r="AO36" s="62">
        <f t="shared" si="36"/>
        <v>439.28159165815276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82.546011277776557</v>
      </c>
      <c r="AV36" s="23">
        <f>EXP(-LN(2)/25)*AV35+(1-EXP(-LN(2)/25))/(LN(2)/25)*Calculateur!AQ36*Calculateur!AS36*VLOOKUP('Données projet'!$B$10,Paramètres!$A$1:$I$89,3,0)*0.475*44/12</f>
        <v>43.376733861450226</v>
      </c>
      <c r="AW36" s="23">
        <f>EXP(-LN(2)/2)*AW35+(1-EXP(-LN(2)/2))/(LN(2)/2)*AQ36*AT36*VLOOKUP('Données projet'!$B$10,Paramètres!$A$1:$I$89,3,0)*0.475*44/12</f>
        <v>22.621364242905248</v>
      </c>
      <c r="AX36" s="23">
        <f t="shared" si="6"/>
        <v>148.54410938213204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7</v>
      </c>
      <c r="BD36" s="13">
        <f>IF('Données projet'!$A$88&gt;35,BD35+BC36-BL35,IF(A36&lt;'Données projet'!$A$88,$BA$205^A36,IF(A36='Données projet'!$A$88,'Données projet'!$B$88,BD35+BC36-BL35)))</f>
        <v>252.99999999999997</v>
      </c>
      <c r="BE36" s="14">
        <f>BD36*VLOOKUP('Données projet'!$B$11,Paramètres!$A$1:$I$89,3,0)*VLOOKUP('Données projet'!$B$11,Paramètres!$A$1:$I$89,5,0)</f>
        <v>228.91439999999997</v>
      </c>
      <c r="BF36" s="14">
        <f t="shared" si="37"/>
        <v>56.047884834417424</v>
      </c>
      <c r="BG36" s="22">
        <f t="shared" si="7"/>
        <v>496.30931275327697</v>
      </c>
      <c r="BH36" s="62">
        <f t="shared" si="8"/>
        <v>789.64264608661028</v>
      </c>
      <c r="BI36" s="62">
        <f ca="1">AVERAGE(OFFSET($BH$3,0,0,'Données projet'!$E$11+1,1))-AVERAGE(OFFSET($H$3,0,0,'Données projet'!$E$11+1,1))</f>
        <v>366.86025470473652</v>
      </c>
      <c r="BJ36" s="62">
        <f t="shared" si="38"/>
        <v>513.80016421153414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2.067721196982403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2.067721196982403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187.13674266165236</v>
      </c>
      <c r="T37" s="62">
        <f t="shared" si="34"/>
        <v>439.28159165815276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80.927334344714779</v>
      </c>
      <c r="AA37" s="23">
        <f>EXP(-LN(2)/25)*AA36+(1-EXP(-LN(2)/25))/(LN(2)/25)*Calculateur!V37*Calculateur!X37*VLOOKUP('Données projet'!$B$9,Paramètres!$A$1:$I$89,3,0)*0.475*44/12</f>
        <v>42.190594792925573</v>
      </c>
      <c r="AB37" s="23">
        <f>EXP(-LN(2)/2)*AB36+(1-EXP(-LN(2)/2))/(LN(2)/2)*V37*Y37*VLOOKUP('Données projet'!$B$9,Paramètres!$A$1:$I$89,3,0)*0.475*44/12</f>
        <v>15.995720055849192</v>
      </c>
      <c r="AC37" s="24">
        <f t="shared" si="3"/>
        <v>139.11364919348955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1.1368683772161603E-13</v>
      </c>
      <c r="AJ37" s="14">
        <f>AI37*VLOOKUP('Données projet'!$B$10,Paramètres!$A$1:$I$89,3,0)*VLOOKUP('Données projet'!$B$10,Paramètres!$A$1:$I$89,5,0)</f>
        <v>6.7984728957526396E-14</v>
      </c>
      <c r="AK37" s="14">
        <f t="shared" si="35"/>
        <v>1.0682447123141398E-12</v>
      </c>
      <c r="AL37" s="22">
        <f t="shared" si="4"/>
        <v>1.978932943548152E-12</v>
      </c>
      <c r="AM37" s="62">
        <f t="shared" si="5"/>
        <v>293.3333333333353</v>
      </c>
      <c r="AN37" s="62">
        <f ca="1">AVERAGE(OFFSET($AM$3,0,0,'Données projet'!$E$10+1,1))-AVERAGE(OFFSET($H$3,0,0,'Données projet'!$E$10+1,1))</f>
        <v>187.13674266165236</v>
      </c>
      <c r="AO37" s="62">
        <f t="shared" si="36"/>
        <v>439.28159165815276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80.927334344714779</v>
      </c>
      <c r="AV37" s="23">
        <f>EXP(-LN(2)/25)*AV36+(1-EXP(-LN(2)/25))/(LN(2)/25)*Calculateur!AQ37*Calculateur!AS37*VLOOKUP('Données projet'!$B$10,Paramètres!$A$1:$I$89,3,0)*0.475*44/12</f>
        <v>42.190594792925573</v>
      </c>
      <c r="AW37" s="23">
        <f>EXP(-LN(2)/2)*AW36+(1-EXP(-LN(2)/2))/(LN(2)/2)*AQ37*AT37*VLOOKUP('Données projet'!$B$10,Paramètres!$A$1:$I$89,3,0)*0.475*44/12</f>
        <v>15.995720055849192</v>
      </c>
      <c r="AX37" s="23">
        <f t="shared" si="6"/>
        <v>139.11364919348955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7</v>
      </c>
      <c r="BD37" s="13">
        <f>IF('Données projet'!$A$88&gt;35,BD36+BC37-BL36,IF(A37&lt;'Données projet'!$A$88,$BA$205^A37,IF(A37='Données projet'!$A$88,'Données projet'!$B$88,BD36+BC37-BL36)))</f>
        <v>260</v>
      </c>
      <c r="BE37" s="14">
        <f>BD37*VLOOKUP('Données projet'!$B$11,Paramètres!$A$1:$I$89,3,0)*VLOOKUP('Données projet'!$B$11,Paramètres!$A$1:$I$89,5,0)</f>
        <v>235.24799999999999</v>
      </c>
      <c r="BF37" s="14">
        <f t="shared" si="37"/>
        <v>57.41592756883739</v>
      </c>
      <c r="BG37" s="22">
        <f t="shared" si="7"/>
        <v>509.72300718239177</v>
      </c>
      <c r="BH37" s="62">
        <f t="shared" si="8"/>
        <v>803.05634051572508</v>
      </c>
      <c r="BI37" s="62">
        <f ca="1">AVERAGE(OFFSET($BH$3,0,0,'Données projet'!$E$11+1,1))-AVERAGE(OFFSET($H$3,0,0,'Données projet'!$E$11+1,1))</f>
        <v>366.86025470473652</v>
      </c>
      <c r="BJ37" s="62">
        <f t="shared" si="38"/>
        <v>513.80016421153414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2.0271744454949765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2.0271744454949765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187.13674266165236</v>
      </c>
      <c r="T38" s="62">
        <f t="shared" si="34"/>
        <v>439.28159165815276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79.340398679014896</v>
      </c>
      <c r="AA38" s="23">
        <f>EXP(-LN(2)/25)*AA37+(1-EXP(-LN(2)/25))/(LN(2)/25)*Calculateur!V38*Calculateur!X38*VLOOKUP('Données projet'!$B$9,Paramètres!$A$1:$I$89,3,0)*0.475*44/12</f>
        <v>41.036890759606074</v>
      </c>
      <c r="AB38" s="23">
        <f>EXP(-LN(2)/2)*AB37+(1-EXP(-LN(2)/2))/(LN(2)/2)*V38*Y38*VLOOKUP('Données projet'!$B$9,Paramètres!$A$1:$I$89,3,0)*0.475*44/12</f>
        <v>11.310682121452626</v>
      </c>
      <c r="AC38" s="24">
        <f t="shared" si="3"/>
        <v>131.68797156007361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1.1368683772161603E-13</v>
      </c>
      <c r="AJ38" s="14">
        <f>AI38*VLOOKUP('Données projet'!$B$10,Paramètres!$A$1:$I$89,3,0)*VLOOKUP('Données projet'!$B$10,Paramètres!$A$1:$I$89,5,0)</f>
        <v>6.7984728957526396E-14</v>
      </c>
      <c r="AK38" s="14">
        <f t="shared" si="35"/>
        <v>1.0682447123141398E-12</v>
      </c>
      <c r="AL38" s="22">
        <f t="shared" si="4"/>
        <v>1.978932943548152E-12</v>
      </c>
      <c r="AM38" s="62">
        <f t="shared" si="5"/>
        <v>293.3333333333353</v>
      </c>
      <c r="AN38" s="62">
        <f ca="1">AVERAGE(OFFSET($AM$3,0,0,'Données projet'!$E$10+1,1))-AVERAGE(OFFSET($H$3,0,0,'Données projet'!$E$10+1,1))</f>
        <v>187.13674266165236</v>
      </c>
      <c r="AO38" s="62">
        <f t="shared" si="36"/>
        <v>439.28159165815276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79.340398679014896</v>
      </c>
      <c r="AV38" s="23">
        <f>EXP(-LN(2)/25)*AV37+(1-EXP(-LN(2)/25))/(LN(2)/25)*Calculateur!AQ38*Calculateur!AS38*VLOOKUP('Données projet'!$B$10,Paramètres!$A$1:$I$89,3,0)*0.475*44/12</f>
        <v>41.036890759606074</v>
      </c>
      <c r="AW38" s="23">
        <f>EXP(-LN(2)/2)*AW37+(1-EXP(-LN(2)/2))/(LN(2)/2)*AQ38*AT38*VLOOKUP('Données projet'!$B$10,Paramètres!$A$1:$I$89,3,0)*0.475*44/12</f>
        <v>11.310682121452626</v>
      </c>
      <c r="AX38" s="23">
        <f t="shared" si="6"/>
        <v>131.68797156007361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267</v>
      </c>
      <c r="BB38" s="13">
        <f>VLOOKUP(A38,'Données projet'!$A$87:$I$107,9,0)</f>
        <v>7</v>
      </c>
      <c r="BC38" s="13">
        <f t="array" ref="BC38">INDEX(BB:BB,MIN(IF(ISNUMBER(BB38:BB234),ROW(BB38:BB234),"")))</f>
        <v>7</v>
      </c>
      <c r="BD38" s="13">
        <f>IF('Données projet'!$A$88&gt;35,BD37+BC38-BL37,IF(A38&lt;'Données projet'!$A$88,$BA$205^A38,IF(A38='Données projet'!$A$88,'Données projet'!$B$88,BD37+BC38-BL37)))</f>
        <v>267</v>
      </c>
      <c r="BE38" s="14">
        <f>BD38*VLOOKUP('Données projet'!$B$11,Paramètres!$A$1:$I$89,3,0)*VLOOKUP('Données projet'!$B$11,Paramètres!$A$1:$I$89,5,0)</f>
        <v>241.58159999999998</v>
      </c>
      <c r="BF38" s="14">
        <f t="shared" si="37"/>
        <v>58.779689232021951</v>
      </c>
      <c r="BG38" s="22">
        <f t="shared" si="7"/>
        <v>523.12924541243819</v>
      </c>
      <c r="BH38" s="62">
        <f t="shared" si="8"/>
        <v>816.46257874577145</v>
      </c>
      <c r="BI38" s="62">
        <f ca="1">AVERAGE(OFFSET($BH$3,0,0,'Données projet'!$E$11+1,1))-AVERAGE(OFFSET($H$3,0,0,'Données projet'!$E$11+1,1))</f>
        <v>366.86025470473652</v>
      </c>
      <c r="BJ38" s="62">
        <f t="shared" si="38"/>
        <v>513.80016421153414</v>
      </c>
      <c r="BK38" s="16">
        <f>IF(ISNA(VLOOKUP(A38,'Données projet'!$A$87:$I$107,3,0)),0,VLOOKUP(A38,'Données projet'!$A$87:$I$107,3,0))</f>
        <v>7</v>
      </c>
      <c r="BL38" s="16">
        <f>IF(ISNA(VLOOKUP(A38,'Données projet'!$A$87:$I$107,4,0)),0,VLOOKUP(A38,'Données projet'!$A$87:$I$107,4,0))</f>
        <v>9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1.9874227910731421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1.9874227910731421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187.13674266165236</v>
      </c>
      <c r="T39" s="62">
        <f t="shared" si="34"/>
        <v>439.28159165815276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77.784581853784204</v>
      </c>
      <c r="AA39" s="23">
        <f>EXP(-LN(2)/25)*AA38+(1-EXP(-LN(2)/25))/(LN(2)/25)*Calculateur!V39*Calculateur!X39*VLOOKUP('Données projet'!$B$9,Paramètres!$A$1:$I$89,3,0)*0.475*44/12</f>
        <v>39.914734823748354</v>
      </c>
      <c r="AB39" s="23">
        <f>EXP(-LN(2)/2)*AB38+(1-EXP(-LN(2)/2))/(LN(2)/2)*V39*Y39*VLOOKUP('Données projet'!$B$9,Paramètres!$A$1:$I$89,3,0)*0.475*44/12</f>
        <v>7.997860027924597</v>
      </c>
      <c r="AC39" s="24">
        <f t="shared" si="3"/>
        <v>125.69717670545715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1.1368683772161603E-13</v>
      </c>
      <c r="AJ39" s="14">
        <f>AI39*VLOOKUP('Données projet'!$B$10,Paramètres!$A$1:$I$89,3,0)*VLOOKUP('Données projet'!$B$10,Paramètres!$A$1:$I$89,5,0)</f>
        <v>6.7984728957526396E-14</v>
      </c>
      <c r="AK39" s="14">
        <f t="shared" si="35"/>
        <v>1.0682447123141398E-12</v>
      </c>
      <c r="AL39" s="22">
        <f t="shared" si="4"/>
        <v>1.978932943548152E-12</v>
      </c>
      <c r="AM39" s="62">
        <f t="shared" si="5"/>
        <v>293.3333333333353</v>
      </c>
      <c r="AN39" s="62">
        <f ca="1">AVERAGE(OFFSET($AM$3,0,0,'Données projet'!$E$10+1,1))-AVERAGE(OFFSET($H$3,0,0,'Données projet'!$E$10+1,1))</f>
        <v>187.13674266165236</v>
      </c>
      <c r="AO39" s="62">
        <f t="shared" si="36"/>
        <v>439.28159165815276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77.784581853784204</v>
      </c>
      <c r="AV39" s="23">
        <f>EXP(-LN(2)/25)*AV38+(1-EXP(-LN(2)/25))/(LN(2)/25)*Calculateur!AQ39*Calculateur!AS39*VLOOKUP('Données projet'!$B$10,Paramètres!$A$1:$I$89,3,0)*0.475*44/12</f>
        <v>39.914734823748354</v>
      </c>
      <c r="AW39" s="23">
        <f>EXP(-LN(2)/2)*AW38+(1-EXP(-LN(2)/2))/(LN(2)/2)*AQ39*AT39*VLOOKUP('Données projet'!$B$10,Paramètres!$A$1:$I$89,3,0)*0.475*44/12</f>
        <v>7.997860027924597</v>
      </c>
      <c r="AX39" s="23">
        <f t="shared" si="6"/>
        <v>125.69717670545715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6.2</v>
      </c>
      <c r="BD39" s="13">
        <f>IF('Données projet'!$A$88&gt;35,BD38+BC39-BL38,IF(A39&lt;'Données projet'!$A$88,$BA$205^A39,IF(A39='Données projet'!$A$88,'Données projet'!$B$88,BD38+BC39-BL38)))</f>
        <v>264.2</v>
      </c>
      <c r="BE39" s="14">
        <f>BD39*VLOOKUP('Données projet'!$B$11,Paramètres!$A$1:$I$89,3,0)*VLOOKUP('Données projet'!$B$11,Paramètres!$A$1:$I$89,5,0)</f>
        <v>239.04816</v>
      </c>
      <c r="BF39" s="14">
        <f t="shared" si="37"/>
        <v>58.234690128947292</v>
      </c>
      <c r="BG39" s="22">
        <f t="shared" si="7"/>
        <v>517.76763064124987</v>
      </c>
      <c r="BH39" s="62">
        <f t="shared" si="8"/>
        <v>811.10096397458324</v>
      </c>
      <c r="BI39" s="62">
        <f ca="1">AVERAGE(OFFSET($BH$3,0,0,'Données projet'!$E$11+1,1))-AVERAGE(OFFSET($H$3,0,0,'Données projet'!$E$11+1,1))</f>
        <v>366.86025470473652</v>
      </c>
      <c r="BJ39" s="62">
        <f t="shared" si="38"/>
        <v>513.80016421153414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1.9484506423484047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1.9484506423484047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187.13674266165236</v>
      </c>
      <c r="T40" s="62">
        <f t="shared" si="34"/>
        <v>439.28159165815276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76.259273647541733</v>
      </c>
      <c r="AA40" s="23">
        <f>EXP(-LN(2)/25)*AA39+(1-EXP(-LN(2)/25))/(LN(2)/25)*Calculateur!V40*Calculateur!X40*VLOOKUP('Données projet'!$B$9,Paramètres!$A$1:$I$89,3,0)*0.475*44/12</f>
        <v>38.823264300968276</v>
      </c>
      <c r="AB40" s="23">
        <f>EXP(-LN(2)/2)*AB39+(1-EXP(-LN(2)/2))/(LN(2)/2)*V40*Y40*VLOOKUP('Données projet'!$B$9,Paramètres!$A$1:$I$89,3,0)*0.475*44/12</f>
        <v>5.6553410607263137</v>
      </c>
      <c r="AC40" s="24">
        <f t="shared" si="3"/>
        <v>120.73787900923632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1.1368683772161603E-13</v>
      </c>
      <c r="AJ40" s="14">
        <f>AI40*VLOOKUP('Données projet'!$B$10,Paramètres!$A$1:$I$89,3,0)*VLOOKUP('Données projet'!$B$10,Paramètres!$A$1:$I$89,5,0)</f>
        <v>6.7984728957526396E-14</v>
      </c>
      <c r="AK40" s="14">
        <f t="shared" si="35"/>
        <v>1.0682447123141398E-12</v>
      </c>
      <c r="AL40" s="22">
        <f t="shared" si="4"/>
        <v>1.978932943548152E-12</v>
      </c>
      <c r="AM40" s="62">
        <f t="shared" si="5"/>
        <v>293.3333333333353</v>
      </c>
      <c r="AN40" s="62">
        <f ca="1">AVERAGE(OFFSET($AM$3,0,0,'Données projet'!$E$10+1,1))-AVERAGE(OFFSET($H$3,0,0,'Données projet'!$E$10+1,1))</f>
        <v>187.13674266165236</v>
      </c>
      <c r="AO40" s="62">
        <f t="shared" si="36"/>
        <v>439.28159165815276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76.259273647541733</v>
      </c>
      <c r="AV40" s="23">
        <f>EXP(-LN(2)/25)*AV39+(1-EXP(-LN(2)/25))/(LN(2)/25)*Calculateur!AQ40*Calculateur!AS40*VLOOKUP('Données projet'!$B$10,Paramètres!$A$1:$I$89,3,0)*0.475*44/12</f>
        <v>38.823264300968276</v>
      </c>
      <c r="AW40" s="23">
        <f>EXP(-LN(2)/2)*AW39+(1-EXP(-LN(2)/2))/(LN(2)/2)*AQ40*AT40*VLOOKUP('Données projet'!$B$10,Paramètres!$A$1:$I$89,3,0)*0.475*44/12</f>
        <v>5.6553410607263137</v>
      </c>
      <c r="AX40" s="23">
        <f t="shared" si="6"/>
        <v>120.73787900923632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6.2</v>
      </c>
      <c r="BD40" s="13">
        <f>IF('Données projet'!$A$88&gt;35,BD39+BC40-BL39,IF(A40&lt;'Données projet'!$A$88,$BA$205^A40,IF(A40='Données projet'!$A$88,'Données projet'!$B$88,BD39+BC40-BL39)))</f>
        <v>270.39999999999998</v>
      </c>
      <c r="BE40" s="14">
        <f>BD40*VLOOKUP('Données projet'!$B$11,Paramètres!$A$1:$I$89,3,0)*VLOOKUP('Données projet'!$B$11,Paramètres!$A$1:$I$89,5,0)</f>
        <v>244.65791999999996</v>
      </c>
      <c r="BF40" s="14">
        <f t="shared" si="37"/>
        <v>59.44058075210868</v>
      </c>
      <c r="BG40" s="22">
        <f t="shared" si="7"/>
        <v>529.6382221432558</v>
      </c>
      <c r="BH40" s="62">
        <f t="shared" si="8"/>
        <v>822.97155547658917</v>
      </c>
      <c r="BI40" s="62">
        <f ca="1">AVERAGE(OFFSET($BH$3,0,0,'Données projet'!$E$11+1,1))-AVERAGE(OFFSET($H$3,0,0,'Données projet'!$E$11+1,1))</f>
        <v>366.86025470473652</v>
      </c>
      <c r="BJ40" s="62">
        <f t="shared" si="38"/>
        <v>513.80016421153414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1.9102427136894959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1.9102427136894959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187.13674266165236</v>
      </c>
      <c r="T41" s="62">
        <f t="shared" si="34"/>
        <v>439.28159165815276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74.763875804877529</v>
      </c>
      <c r="AA41" s="23">
        <f>EXP(-LN(2)/25)*AA40+(1-EXP(-LN(2)/25))/(LN(2)/25)*Calculateur!V41*Calculateur!X41*VLOOKUP('Données projet'!$B$9,Paramètres!$A$1:$I$89,3,0)*0.475*44/12</f>
        <v>37.76164009703156</v>
      </c>
      <c r="AB41" s="23">
        <f>EXP(-LN(2)/2)*AB40+(1-EXP(-LN(2)/2))/(LN(2)/2)*V41*Y41*VLOOKUP('Données projet'!$B$9,Paramètres!$A$1:$I$89,3,0)*0.475*44/12</f>
        <v>3.9989300139622994</v>
      </c>
      <c r="AC41" s="24">
        <f t="shared" si="3"/>
        <v>116.52444591587138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1.1368683772161603E-13</v>
      </c>
      <c r="AJ41" s="14">
        <f>AI41*VLOOKUP('Données projet'!$B$10,Paramètres!$A$1:$I$89,3,0)*VLOOKUP('Données projet'!$B$10,Paramètres!$A$1:$I$89,5,0)</f>
        <v>6.7984728957526396E-14</v>
      </c>
      <c r="AK41" s="14">
        <f t="shared" si="35"/>
        <v>1.0682447123141398E-12</v>
      </c>
      <c r="AL41" s="22">
        <f t="shared" si="4"/>
        <v>1.978932943548152E-12</v>
      </c>
      <c r="AM41" s="62">
        <f t="shared" si="5"/>
        <v>293.3333333333353</v>
      </c>
      <c r="AN41" s="62">
        <f ca="1">AVERAGE(OFFSET($AM$3,0,0,'Données projet'!$E$10+1,1))-AVERAGE(OFFSET($H$3,0,0,'Données projet'!$E$10+1,1))</f>
        <v>187.13674266165236</v>
      </c>
      <c r="AO41" s="62">
        <f t="shared" si="36"/>
        <v>439.28159165815276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74.763875804877529</v>
      </c>
      <c r="AV41" s="23">
        <f>EXP(-LN(2)/25)*AV40+(1-EXP(-LN(2)/25))/(LN(2)/25)*Calculateur!AQ41*Calculateur!AS41*VLOOKUP('Données projet'!$B$10,Paramètres!$A$1:$I$89,3,0)*0.475*44/12</f>
        <v>37.76164009703156</v>
      </c>
      <c r="AW41" s="23">
        <f>EXP(-LN(2)/2)*AW40+(1-EXP(-LN(2)/2))/(LN(2)/2)*AQ41*AT41*VLOOKUP('Données projet'!$B$10,Paramètres!$A$1:$I$89,3,0)*0.475*44/12</f>
        <v>3.9989300139622994</v>
      </c>
      <c r="AX41" s="23">
        <f t="shared" si="6"/>
        <v>116.52444591587138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6.2</v>
      </c>
      <c r="BD41" s="13">
        <f>IF('Données projet'!$A$88&gt;35,BD40+BC41-BL40,IF(A41&lt;'Données projet'!$A$88,$BA$205^A41,IF(A41='Données projet'!$A$88,'Données projet'!$B$88,BD40+BC41-BL40)))</f>
        <v>276.59999999999997</v>
      </c>
      <c r="BE41" s="14">
        <f>BD41*VLOOKUP('Données projet'!$B$11,Paramètres!$A$1:$I$89,3,0)*VLOOKUP('Données projet'!$B$11,Paramètres!$A$1:$I$89,5,0)</f>
        <v>250.26767999999996</v>
      </c>
      <c r="BF41" s="14">
        <f t="shared" si="37"/>
        <v>60.643256925083442</v>
      </c>
      <c r="BG41" s="22">
        <f t="shared" si="7"/>
        <v>541.50321514452014</v>
      </c>
      <c r="BH41" s="62">
        <f t="shared" si="8"/>
        <v>834.83654847785351</v>
      </c>
      <c r="BI41" s="62">
        <f ca="1">AVERAGE(OFFSET($BH$3,0,0,'Données projet'!$E$11+1,1))-AVERAGE(OFFSET($H$3,0,0,'Données projet'!$E$11+1,1))</f>
        <v>366.86025470473652</v>
      </c>
      <c r="BJ41" s="62">
        <f t="shared" si="38"/>
        <v>513.80016421153414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1.8727840192070528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1.8727840192070528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187.13674266165236</v>
      </c>
      <c r="T42" s="62">
        <f t="shared" si="34"/>
        <v>439.28159165815276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73.297801801805349</v>
      </c>
      <c r="AA42" s="23">
        <f>EXP(-LN(2)/25)*AA41+(1-EXP(-LN(2)/25))/(LN(2)/25)*Calculateur!V42*Calculateur!X42*VLOOKUP('Données projet'!$B$9,Paramètres!$A$1:$I$89,3,0)*0.475*44/12</f>
        <v>36.729046062779886</v>
      </c>
      <c r="AB42" s="23">
        <f>EXP(-LN(2)/2)*AB41+(1-EXP(-LN(2)/2))/(LN(2)/2)*V42*Y42*VLOOKUP('Données projet'!$B$9,Paramètres!$A$1:$I$89,3,0)*0.475*44/12</f>
        <v>2.8276705303631573</v>
      </c>
      <c r="AC42" s="24">
        <f t="shared" si="3"/>
        <v>112.8545183949484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1.1368683772161603E-13</v>
      </c>
      <c r="AJ42" s="14">
        <f>AI42*VLOOKUP('Données projet'!$B$10,Paramètres!$A$1:$I$89,3,0)*VLOOKUP('Données projet'!$B$10,Paramètres!$A$1:$I$89,5,0)</f>
        <v>6.7984728957526396E-14</v>
      </c>
      <c r="AK42" s="14">
        <f t="shared" si="35"/>
        <v>1.0682447123141398E-12</v>
      </c>
      <c r="AL42" s="22">
        <f t="shared" si="4"/>
        <v>1.978932943548152E-12</v>
      </c>
      <c r="AM42" s="62">
        <f t="shared" si="5"/>
        <v>293.3333333333353</v>
      </c>
      <c r="AN42" s="62">
        <f ca="1">AVERAGE(OFFSET($AM$3,0,0,'Données projet'!$E$10+1,1))-AVERAGE(OFFSET($H$3,0,0,'Données projet'!$E$10+1,1))</f>
        <v>187.13674266165236</v>
      </c>
      <c r="AO42" s="62">
        <f t="shared" si="36"/>
        <v>439.28159165815276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73.297801801805349</v>
      </c>
      <c r="AV42" s="23">
        <f>EXP(-LN(2)/25)*AV41+(1-EXP(-LN(2)/25))/(LN(2)/25)*Calculateur!AQ42*Calculateur!AS42*VLOOKUP('Données projet'!$B$10,Paramètres!$A$1:$I$89,3,0)*0.475*44/12</f>
        <v>36.729046062779886</v>
      </c>
      <c r="AW42" s="23">
        <f>EXP(-LN(2)/2)*AW41+(1-EXP(-LN(2)/2))/(LN(2)/2)*AQ42*AT42*VLOOKUP('Données projet'!$B$10,Paramètres!$A$1:$I$89,3,0)*0.475*44/12</f>
        <v>2.8276705303631573</v>
      </c>
      <c r="AX42" s="23">
        <f t="shared" si="6"/>
        <v>112.8545183949484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6.2</v>
      </c>
      <c r="BD42" s="13">
        <f>IF('Données projet'!$A$88&gt;35,BD41+BC42-BL41,IF(A42&lt;'Données projet'!$A$88,$BA$205^A42,IF(A42='Données projet'!$A$88,'Données projet'!$B$88,BD41+BC42-BL41)))</f>
        <v>282.79999999999995</v>
      </c>
      <c r="BE42" s="14">
        <f>BD42*VLOOKUP('Données projet'!$B$11,Paramètres!$A$1:$I$89,3,0)*VLOOKUP('Données projet'!$B$11,Paramètres!$A$1:$I$89,5,0)</f>
        <v>255.87743999999998</v>
      </c>
      <c r="BF42" s="14">
        <f t="shared" si="37"/>
        <v>61.842798995505326</v>
      </c>
      <c r="BG42" s="22">
        <f t="shared" si="7"/>
        <v>553.36274958383854</v>
      </c>
      <c r="BH42" s="62">
        <f t="shared" si="8"/>
        <v>846.69608291717191</v>
      </c>
      <c r="BI42" s="62">
        <f ca="1">AVERAGE(OFFSET($BH$3,0,0,'Données projet'!$E$11+1,1))-AVERAGE(OFFSET($H$3,0,0,'Données projet'!$E$11+1,1))</f>
        <v>366.86025470473652</v>
      </c>
      <c r="BJ42" s="62">
        <f t="shared" si="38"/>
        <v>513.80016421153414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1.836059866875863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1.836059866875863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187.13674266165236</v>
      </c>
      <c r="T43" s="62">
        <f t="shared" si="34"/>
        <v>439.28159165815276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71.860476615716578</v>
      </c>
      <c r="AA43" s="23">
        <f>EXP(-LN(2)/25)*AA42+(1-EXP(-LN(2)/25))/(LN(2)/25)*Calculateur!V43*Calculateur!X43*VLOOKUP('Données projet'!$B$9,Paramètres!$A$1:$I$89,3,0)*0.475*44/12</f>
        <v>35.724688366696583</v>
      </c>
      <c r="AB43" s="23">
        <f>EXP(-LN(2)/2)*AB42+(1-EXP(-LN(2)/2))/(LN(2)/2)*V43*Y43*VLOOKUP('Données projet'!$B$9,Paramètres!$A$1:$I$89,3,0)*0.475*44/12</f>
        <v>1.9994650069811499</v>
      </c>
      <c r="AC43" s="24">
        <f t="shared" si="3"/>
        <v>109.58462998939432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1.1368683772161603E-13</v>
      </c>
      <c r="AJ43" s="14">
        <f>AI43*VLOOKUP('Données projet'!$B$10,Paramètres!$A$1:$I$89,3,0)*VLOOKUP('Données projet'!$B$10,Paramètres!$A$1:$I$89,5,0)</f>
        <v>6.7984728957526396E-14</v>
      </c>
      <c r="AK43" s="14">
        <f t="shared" si="35"/>
        <v>1.0682447123141398E-12</v>
      </c>
      <c r="AL43" s="22">
        <f t="shared" si="4"/>
        <v>1.978932943548152E-12</v>
      </c>
      <c r="AM43" s="62">
        <f t="shared" si="5"/>
        <v>293.3333333333353</v>
      </c>
      <c r="AN43" s="62">
        <f ca="1">AVERAGE(OFFSET($AM$3,0,0,'Données projet'!$E$10+1,1))-AVERAGE(OFFSET($H$3,0,0,'Données projet'!$E$10+1,1))</f>
        <v>187.13674266165236</v>
      </c>
      <c r="AO43" s="62">
        <f t="shared" si="36"/>
        <v>439.28159165815276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71.860476615716578</v>
      </c>
      <c r="AV43" s="23">
        <f>EXP(-LN(2)/25)*AV42+(1-EXP(-LN(2)/25))/(LN(2)/25)*Calculateur!AQ43*Calculateur!AS43*VLOOKUP('Données projet'!$B$10,Paramètres!$A$1:$I$89,3,0)*0.475*44/12</f>
        <v>35.724688366696583</v>
      </c>
      <c r="AW43" s="23">
        <f>EXP(-LN(2)/2)*AW42+(1-EXP(-LN(2)/2))/(LN(2)/2)*AQ43*AT43*VLOOKUP('Données projet'!$B$10,Paramètres!$A$1:$I$89,3,0)*0.475*44/12</f>
        <v>1.9994650069811499</v>
      </c>
      <c r="AX43" s="23">
        <f t="shared" si="6"/>
        <v>109.58462998939432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289</v>
      </c>
      <c r="BB43" s="13">
        <f>VLOOKUP(A43,'Données projet'!$A$87:$I$107,9,0)</f>
        <v>6.2</v>
      </c>
      <c r="BC43" s="13">
        <f t="array" ref="BC43">INDEX(BB:BB,MIN(IF(ISNUMBER(BB43:BB239),ROW(BB43:BB239),"")))</f>
        <v>6.2</v>
      </c>
      <c r="BD43" s="13">
        <f>IF('Données projet'!$A$88&gt;35,BD42+BC43-BL42,IF(A43&lt;'Données projet'!$A$88,$BA$205^A43,IF(A43='Données projet'!$A$88,'Données projet'!$B$88,BD42+BC43-BL42)))</f>
        <v>288.99999999999994</v>
      </c>
      <c r="BE43" s="14">
        <f>BD43*VLOOKUP('Données projet'!$B$11,Paramètres!$A$1:$I$89,3,0)*VLOOKUP('Données projet'!$B$11,Paramètres!$A$1:$I$89,5,0)</f>
        <v>261.48719999999992</v>
      </c>
      <c r="BF43" s="14">
        <f t="shared" si="37"/>
        <v>63.039283586802391</v>
      </c>
      <c r="BG43" s="22">
        <f t="shared" si="7"/>
        <v>565.21695891368074</v>
      </c>
      <c r="BH43" s="62">
        <f t="shared" si="8"/>
        <v>858.55029224701411</v>
      </c>
      <c r="BI43" s="62">
        <f ca="1">AVERAGE(OFFSET($BH$3,0,0,'Données projet'!$E$11+1,1))-AVERAGE(OFFSET($H$3,0,0,'Données projet'!$E$11+1,1))</f>
        <v>366.86025470473652</v>
      </c>
      <c r="BJ43" s="62">
        <f t="shared" si="38"/>
        <v>513.80016421153414</v>
      </c>
      <c r="BK43" s="16">
        <f>IF(ISNA(VLOOKUP(A43,'Données projet'!$A$87:$I$107,3,0)),0,VLOOKUP(A43,'Données projet'!$A$87:$I$107,3,0))</f>
        <v>8</v>
      </c>
      <c r="BL43" s="16">
        <f>IF(ISNA(VLOOKUP(A43,'Données projet'!$A$87:$I$107,4,0)),0,VLOOKUP(A43,'Données projet'!$A$87:$I$107,4,0))</f>
        <v>7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1.8000558527723665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1.8000558527723665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187.13674266165236</v>
      </c>
      <c r="T44" s="62">
        <f t="shared" si="34"/>
        <v>439.28159165815276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70.451336499845198</v>
      </c>
      <c r="AA44" s="23">
        <f>EXP(-LN(2)/25)*AA43+(1-EXP(-LN(2)/25))/(LN(2)/25)*Calculateur!V44*Calculateur!X44*VLOOKUP('Données projet'!$B$9,Paramètres!$A$1:$I$89,3,0)*0.475*44/12</f>
        <v>34.747794884629556</v>
      </c>
      <c r="AB44" s="23">
        <f>EXP(-LN(2)/2)*AB43+(1-EXP(-LN(2)/2))/(LN(2)/2)*V44*Y44*VLOOKUP('Données projet'!$B$9,Paramètres!$A$1:$I$89,3,0)*0.475*44/12</f>
        <v>1.4138352651815789</v>
      </c>
      <c r="AC44" s="24">
        <f t="shared" si="3"/>
        <v>106.61296664965633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1.1368683772161603E-13</v>
      </c>
      <c r="AJ44" s="14">
        <f>AI44*VLOOKUP('Données projet'!$B$10,Paramètres!$A$1:$I$89,3,0)*VLOOKUP('Données projet'!$B$10,Paramètres!$A$1:$I$89,5,0)</f>
        <v>6.7984728957526396E-14</v>
      </c>
      <c r="AK44" s="14">
        <f t="shared" si="35"/>
        <v>1.0682447123141398E-12</v>
      </c>
      <c r="AL44" s="22">
        <f t="shared" si="4"/>
        <v>1.978932943548152E-12</v>
      </c>
      <c r="AM44" s="62">
        <f t="shared" si="5"/>
        <v>293.3333333333353</v>
      </c>
      <c r="AN44" s="62">
        <f ca="1">AVERAGE(OFFSET($AM$3,0,0,'Données projet'!$E$10+1,1))-AVERAGE(OFFSET($H$3,0,0,'Données projet'!$E$10+1,1))</f>
        <v>187.13674266165236</v>
      </c>
      <c r="AO44" s="62">
        <f t="shared" si="36"/>
        <v>439.28159165815276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70.451336499845198</v>
      </c>
      <c r="AV44" s="23">
        <f>EXP(-LN(2)/25)*AV43+(1-EXP(-LN(2)/25))/(LN(2)/25)*Calculateur!AQ44*Calculateur!AS44*VLOOKUP('Données projet'!$B$10,Paramètres!$A$1:$I$89,3,0)*0.475*44/12</f>
        <v>34.747794884629556</v>
      </c>
      <c r="AW44" s="23">
        <f>EXP(-LN(2)/2)*AW43+(1-EXP(-LN(2)/2))/(LN(2)/2)*AQ44*AT44*VLOOKUP('Données projet'!$B$10,Paramètres!$A$1:$I$89,3,0)*0.475*44/12</f>
        <v>1.4138352651815789</v>
      </c>
      <c r="AX44" s="23">
        <f t="shared" si="6"/>
        <v>106.61296664965633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6</v>
      </c>
      <c r="BD44" s="13">
        <f>IF('Données projet'!$A$88&gt;35,BD43+BC44-BL43,IF(A44&lt;'Données projet'!$A$88,$BA$205^A44,IF(A44='Données projet'!$A$88,'Données projet'!$B$88,BD43+BC44-BL43)))</f>
        <v>287.99999999999994</v>
      </c>
      <c r="BE44" s="14">
        <f>BD44*VLOOKUP('Données projet'!$B$11,Paramètres!$A$1:$I$89,3,0)*VLOOKUP('Données projet'!$B$11,Paramètres!$A$1:$I$89,5,0)</f>
        <v>260.58239999999995</v>
      </c>
      <c r="BF44" s="14">
        <f t="shared" si="37"/>
        <v>62.846505929896907</v>
      </c>
      <c r="BG44" s="22">
        <f t="shared" si="7"/>
        <v>563.30534449457025</v>
      </c>
      <c r="BH44" s="62">
        <f t="shared" si="8"/>
        <v>856.63867782790362</v>
      </c>
      <c r="BI44" s="62">
        <f ca="1">AVERAGE(OFFSET($BH$3,0,0,'Données projet'!$E$11+1,1))-AVERAGE(OFFSET($H$3,0,0,'Données projet'!$E$11+1,1))</f>
        <v>366.86025470473652</v>
      </c>
      <c r="BJ44" s="62">
        <f t="shared" si="38"/>
        <v>513.80016421153414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1.7647578554251593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1.7647578554251593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187.13674266165236</v>
      </c>
      <c r="T45" s="62">
        <f t="shared" si="34"/>
        <v>439.28159165815276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69.069828762155453</v>
      </c>
      <c r="AA45" s="23">
        <f>EXP(-LN(2)/25)*AA44+(1-EXP(-LN(2)/25))/(LN(2)/25)*Calculateur!V45*Calculateur!X45*VLOOKUP('Données projet'!$B$9,Paramètres!$A$1:$I$89,3,0)*0.475*44/12</f>
        <v>33.797614606202245</v>
      </c>
      <c r="AB45" s="23">
        <f>EXP(-LN(2)/2)*AB44+(1-EXP(-LN(2)/2))/(LN(2)/2)*V45*Y45*VLOOKUP('Données projet'!$B$9,Paramètres!$A$1:$I$89,3,0)*0.475*44/12</f>
        <v>0.99973250349057519</v>
      </c>
      <c r="AC45" s="24">
        <f t="shared" si="3"/>
        <v>103.86717587184827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1.1368683772161603E-13</v>
      </c>
      <c r="AJ45" s="14">
        <f>AI45*VLOOKUP('Données projet'!$B$10,Paramètres!$A$1:$I$89,3,0)*VLOOKUP('Données projet'!$B$10,Paramètres!$A$1:$I$89,5,0)</f>
        <v>6.7984728957526396E-14</v>
      </c>
      <c r="AK45" s="14">
        <f t="shared" si="35"/>
        <v>1.0682447123141398E-12</v>
      </c>
      <c r="AL45" s="22">
        <f t="shared" si="4"/>
        <v>1.978932943548152E-12</v>
      </c>
      <c r="AM45" s="62">
        <f t="shared" si="5"/>
        <v>293.3333333333353</v>
      </c>
      <c r="AN45" s="62">
        <f ca="1">AVERAGE(OFFSET($AM$3,0,0,'Données projet'!$E$10+1,1))-AVERAGE(OFFSET($H$3,0,0,'Données projet'!$E$10+1,1))</f>
        <v>187.13674266165236</v>
      </c>
      <c r="AO45" s="62">
        <f t="shared" si="36"/>
        <v>439.28159165815276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69.069828762155453</v>
      </c>
      <c r="AV45" s="23">
        <f>EXP(-LN(2)/25)*AV44+(1-EXP(-LN(2)/25))/(LN(2)/25)*Calculateur!AQ45*Calculateur!AS45*VLOOKUP('Données projet'!$B$10,Paramètres!$A$1:$I$89,3,0)*0.475*44/12</f>
        <v>33.797614606202245</v>
      </c>
      <c r="AW45" s="23">
        <f>EXP(-LN(2)/2)*AW44+(1-EXP(-LN(2)/2))/(LN(2)/2)*AQ45*AT45*VLOOKUP('Données projet'!$B$10,Paramètres!$A$1:$I$89,3,0)*0.475*44/12</f>
        <v>0.99973250349057519</v>
      </c>
      <c r="AX45" s="23">
        <f t="shared" si="6"/>
        <v>103.86717587184827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6</v>
      </c>
      <c r="BD45" s="13">
        <f>IF('Données projet'!$A$88&gt;35,BD44+BC45-BL44,IF(A45&lt;'Données projet'!$A$88,$BA$205^A45,IF(A45='Données projet'!$A$88,'Données projet'!$B$88,BD44+BC45-BL44)))</f>
        <v>293.99999999999994</v>
      </c>
      <c r="BE45" s="14">
        <f>BD45*VLOOKUP('Données projet'!$B$11,Paramètres!$A$1:$I$89,3,0)*VLOOKUP('Données projet'!$B$11,Paramètres!$A$1:$I$89,5,0)</f>
        <v>266.01119999999992</v>
      </c>
      <c r="BF45" s="14">
        <f t="shared" si="37"/>
        <v>64.00201337612566</v>
      </c>
      <c r="BG45" s="22">
        <f t="shared" si="7"/>
        <v>574.77301329675208</v>
      </c>
      <c r="BH45" s="62">
        <f t="shared" si="8"/>
        <v>868.10634663008545</v>
      </c>
      <c r="BI45" s="62">
        <f ca="1">AVERAGE(OFFSET($BH$3,0,0,'Données projet'!$E$11+1,1))-AVERAGE(OFFSET($H$3,0,0,'Données projet'!$E$11+1,1))</f>
        <v>366.86025470473652</v>
      </c>
      <c r="BJ45" s="62">
        <f t="shared" si="38"/>
        <v>513.80016421153414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1.7301520302762785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1.7301520302762785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187.13674266165236</v>
      </c>
      <c r="T46" s="62">
        <f t="shared" si="34"/>
        <v>439.28159165815276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67.715411548565285</v>
      </c>
      <c r="AA46" s="23">
        <f>EXP(-LN(2)/25)*AA45+(1-EXP(-LN(2)/25))/(LN(2)/25)*Calculateur!V46*Calculateur!X46*VLOOKUP('Données projet'!$B$9,Paramètres!$A$1:$I$89,3,0)*0.475*44/12</f>
        <v>32.873417057456336</v>
      </c>
      <c r="AB46" s="23">
        <f>EXP(-LN(2)/2)*AB45+(1-EXP(-LN(2)/2))/(LN(2)/2)*V46*Y46*VLOOKUP('Données projet'!$B$9,Paramètres!$A$1:$I$89,3,0)*0.475*44/12</f>
        <v>0.70691763259078955</v>
      </c>
      <c r="AC46" s="24">
        <f t="shared" si="3"/>
        <v>101.29574623861241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1.1368683772161603E-13</v>
      </c>
      <c r="AJ46" s="14">
        <f>AI46*VLOOKUP('Données projet'!$B$10,Paramètres!$A$1:$I$89,3,0)*VLOOKUP('Données projet'!$B$10,Paramètres!$A$1:$I$89,5,0)</f>
        <v>6.7984728957526396E-14</v>
      </c>
      <c r="AK46" s="14">
        <f t="shared" si="35"/>
        <v>1.0682447123141398E-12</v>
      </c>
      <c r="AL46" s="22">
        <f t="shared" si="4"/>
        <v>1.978932943548152E-12</v>
      </c>
      <c r="AM46" s="62">
        <f t="shared" si="5"/>
        <v>293.3333333333353</v>
      </c>
      <c r="AN46" s="62">
        <f ca="1">AVERAGE(OFFSET($AM$3,0,0,'Données projet'!$E$10+1,1))-AVERAGE(OFFSET($H$3,0,0,'Données projet'!$E$10+1,1))</f>
        <v>187.13674266165236</v>
      </c>
      <c r="AO46" s="62">
        <f t="shared" si="36"/>
        <v>439.28159165815276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67.715411548565285</v>
      </c>
      <c r="AV46" s="23">
        <f>EXP(-LN(2)/25)*AV45+(1-EXP(-LN(2)/25))/(LN(2)/25)*Calculateur!AQ46*Calculateur!AS46*VLOOKUP('Données projet'!$B$10,Paramètres!$A$1:$I$89,3,0)*0.475*44/12</f>
        <v>32.873417057456336</v>
      </c>
      <c r="AW46" s="23">
        <f>EXP(-LN(2)/2)*AW45+(1-EXP(-LN(2)/2))/(LN(2)/2)*AQ46*AT46*VLOOKUP('Données projet'!$B$10,Paramètres!$A$1:$I$89,3,0)*0.475*44/12</f>
        <v>0.70691763259078955</v>
      </c>
      <c r="AX46" s="23">
        <f t="shared" si="6"/>
        <v>101.29574623861241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6</v>
      </c>
      <c r="BD46" s="13">
        <f>IF('Données projet'!$A$88&gt;35,BD45+BC46-BL45,IF(A46&lt;'Données projet'!$A$88,$BA$205^A46,IF(A46='Données projet'!$A$88,'Données projet'!$B$88,BD45+BC46-BL45)))</f>
        <v>299.99999999999994</v>
      </c>
      <c r="BE46" s="14">
        <f>BD46*VLOOKUP('Données projet'!$B$11,Paramètres!$A$1:$I$89,3,0)*VLOOKUP('Données projet'!$B$11,Paramètres!$A$1:$I$89,5,0)</f>
        <v>271.43999999999994</v>
      </c>
      <c r="BF46" s="14">
        <f t="shared" si="37"/>
        <v>65.154778959151173</v>
      </c>
      <c r="BG46" s="22">
        <f t="shared" si="7"/>
        <v>586.23590668718805</v>
      </c>
      <c r="BH46" s="62">
        <f t="shared" si="8"/>
        <v>879.56924002052142</v>
      </c>
      <c r="BI46" s="62">
        <f ca="1">AVERAGE(OFFSET($BH$3,0,0,'Données projet'!$E$11+1,1))-AVERAGE(OFFSET($H$3,0,0,'Données projet'!$E$11+1,1))</f>
        <v>366.86025470473652</v>
      </c>
      <c r="BJ46" s="62">
        <f t="shared" si="38"/>
        <v>513.80016421153414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1.6962248042510981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1.6962248042510981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187.13674266165236</v>
      </c>
      <c r="T47" s="62">
        <f t="shared" si="34"/>
        <v>439.28159165815276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66.387553630420697</v>
      </c>
      <c r="AA47" s="23">
        <f>EXP(-LN(2)/25)*AA46+(1-EXP(-LN(2)/25))/(LN(2)/25)*Calculateur!V47*Calculateur!X47*VLOOKUP('Données projet'!$B$9,Paramètres!$A$1:$I$89,3,0)*0.475*44/12</f>
        <v>31.974491739282325</v>
      </c>
      <c r="AB47" s="23">
        <f>EXP(-LN(2)/2)*AB46+(1-EXP(-LN(2)/2))/(LN(2)/2)*V47*Y47*VLOOKUP('Données projet'!$B$9,Paramètres!$A$1:$I$89,3,0)*0.475*44/12</f>
        <v>0.49986625174528765</v>
      </c>
      <c r="AC47" s="24">
        <f t="shared" si="3"/>
        <v>98.861911621448314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1.1368683772161603E-13</v>
      </c>
      <c r="AJ47" s="14">
        <f>AI47*VLOOKUP('Données projet'!$B$10,Paramètres!$A$1:$I$89,3,0)*VLOOKUP('Données projet'!$B$10,Paramètres!$A$1:$I$89,5,0)</f>
        <v>6.7984728957526396E-14</v>
      </c>
      <c r="AK47" s="14">
        <f t="shared" si="35"/>
        <v>1.0682447123141398E-12</v>
      </c>
      <c r="AL47" s="22">
        <f t="shared" si="4"/>
        <v>1.978932943548152E-12</v>
      </c>
      <c r="AM47" s="62">
        <f t="shared" si="5"/>
        <v>293.3333333333353</v>
      </c>
      <c r="AN47" s="62">
        <f ca="1">AVERAGE(OFFSET($AM$3,0,0,'Données projet'!$E$10+1,1))-AVERAGE(OFFSET($H$3,0,0,'Données projet'!$E$10+1,1))</f>
        <v>187.13674266165236</v>
      </c>
      <c r="AO47" s="62">
        <f t="shared" si="36"/>
        <v>439.28159165815276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66.387553630420697</v>
      </c>
      <c r="AV47" s="23">
        <f>EXP(-LN(2)/25)*AV46+(1-EXP(-LN(2)/25))/(LN(2)/25)*Calculateur!AQ47*Calculateur!AS47*VLOOKUP('Données projet'!$B$10,Paramètres!$A$1:$I$89,3,0)*0.475*44/12</f>
        <v>31.974491739282325</v>
      </c>
      <c r="AW47" s="23">
        <f>EXP(-LN(2)/2)*AW46+(1-EXP(-LN(2)/2))/(LN(2)/2)*AQ47*AT47*VLOOKUP('Données projet'!$B$10,Paramètres!$A$1:$I$89,3,0)*0.475*44/12</f>
        <v>0.49986625174528765</v>
      </c>
      <c r="AX47" s="23">
        <f t="shared" si="6"/>
        <v>98.861911621448314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6</v>
      </c>
      <c r="BD47" s="13">
        <f>IF('Données projet'!$A$88&gt;35,BD46+BC47-BL46,IF(A47&lt;'Données projet'!$A$88,$BA$205^A47,IF(A47='Données projet'!$A$88,'Données projet'!$B$88,BD46+BC47-BL46)))</f>
        <v>305.99999999999994</v>
      </c>
      <c r="BE47" s="14">
        <f>BD47*VLOOKUP('Données projet'!$B$11,Paramètres!$A$1:$I$89,3,0)*VLOOKUP('Données projet'!$B$11,Paramètres!$A$1:$I$89,5,0)</f>
        <v>276.86879999999996</v>
      </c>
      <c r="BF47" s="14">
        <f t="shared" si="37"/>
        <v>66.30486383631866</v>
      </c>
      <c r="BG47" s="22">
        <f t="shared" si="7"/>
        <v>597.6941311815882</v>
      </c>
      <c r="BH47" s="62">
        <f t="shared" si="8"/>
        <v>891.02746451492158</v>
      </c>
      <c r="BI47" s="62">
        <f ca="1">AVERAGE(OFFSET($BH$3,0,0,'Données projet'!$E$11+1,1))-AVERAGE(OFFSET($H$3,0,0,'Données projet'!$E$11+1,1))</f>
        <v>366.86025470473652</v>
      </c>
      <c r="BJ47" s="62">
        <f t="shared" si="38"/>
        <v>513.80016421153414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1.6629628704347068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1.6629628704347068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187.13674266165236</v>
      </c>
      <c r="T48" s="62">
        <f t="shared" si="34"/>
        <v>439.28159165815276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65.085734196137565</v>
      </c>
      <c r="AA48" s="23">
        <f>EXP(-LN(2)/25)*AA47+(1-EXP(-LN(2)/25))/(LN(2)/25)*Calculateur!V48*Calculateur!X48*VLOOKUP('Données projet'!$B$9,Paramètres!$A$1:$I$89,3,0)*0.475*44/12</f>
        <v>31.100147581206208</v>
      </c>
      <c r="AB48" s="23">
        <f>EXP(-LN(2)/2)*AB47+(1-EXP(-LN(2)/2))/(LN(2)/2)*V48*Y48*VLOOKUP('Données projet'!$B$9,Paramètres!$A$1:$I$89,3,0)*0.475*44/12</f>
        <v>0.35345881629539483</v>
      </c>
      <c r="AC48" s="24">
        <f t="shared" si="3"/>
        <v>96.539340593639182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1.1368683772161603E-13</v>
      </c>
      <c r="AJ48" s="14">
        <f>AI48*VLOOKUP('Données projet'!$B$10,Paramètres!$A$1:$I$89,3,0)*VLOOKUP('Données projet'!$B$10,Paramètres!$A$1:$I$89,5,0)</f>
        <v>6.7984728957526396E-14</v>
      </c>
      <c r="AK48" s="14">
        <f t="shared" si="35"/>
        <v>1.0682447123141398E-12</v>
      </c>
      <c r="AL48" s="22">
        <f t="shared" si="4"/>
        <v>1.978932943548152E-12</v>
      </c>
      <c r="AM48" s="62">
        <f t="shared" si="5"/>
        <v>293.3333333333353</v>
      </c>
      <c r="AN48" s="62">
        <f ca="1">AVERAGE(OFFSET($AM$3,0,0,'Données projet'!$E$10+1,1))-AVERAGE(OFFSET($H$3,0,0,'Données projet'!$E$10+1,1))</f>
        <v>187.13674266165236</v>
      </c>
      <c r="AO48" s="62">
        <f t="shared" si="36"/>
        <v>439.28159165815276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65.085734196137565</v>
      </c>
      <c r="AV48" s="23">
        <f>EXP(-LN(2)/25)*AV47+(1-EXP(-LN(2)/25))/(LN(2)/25)*Calculateur!AQ48*Calculateur!AS48*VLOOKUP('Données projet'!$B$10,Paramètres!$A$1:$I$89,3,0)*0.475*44/12</f>
        <v>31.100147581206208</v>
      </c>
      <c r="AW48" s="23">
        <f>EXP(-LN(2)/2)*AW47+(1-EXP(-LN(2)/2))/(LN(2)/2)*AQ48*AT48*VLOOKUP('Données projet'!$B$10,Paramètres!$A$1:$I$89,3,0)*0.475*44/12</f>
        <v>0.35345881629539483</v>
      </c>
      <c r="AX48" s="23">
        <f t="shared" si="6"/>
        <v>96.539340593639182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312</v>
      </c>
      <c r="BB48" s="13">
        <f>VLOOKUP(A48,'Données projet'!$A$87:$I$107,9,0)</f>
        <v>6</v>
      </c>
      <c r="BC48" s="13">
        <f t="array" ref="BC48">INDEX(BB:BB,MIN(IF(ISNUMBER(BB48:BB244),ROW(BB48:BB244),"")))</f>
        <v>6</v>
      </c>
      <c r="BD48" s="13">
        <f>IF('Données projet'!$A$88&gt;35,BD47+BC48-BL47,IF(A48&lt;'Données projet'!$A$88,$BA$205^A48,IF(A48='Données projet'!$A$88,'Données projet'!$B$88,BD47+BC48-BL47)))</f>
        <v>311.99999999999994</v>
      </c>
      <c r="BE48" s="14">
        <f>BD48*VLOOKUP('Données projet'!$B$11,Paramètres!$A$1:$I$89,3,0)*VLOOKUP('Données projet'!$B$11,Paramètres!$A$1:$I$89,5,0)</f>
        <v>282.29759999999993</v>
      </c>
      <c r="BF48" s="14">
        <f t="shared" si="37"/>
        <v>67.452326629470178</v>
      </c>
      <c r="BG48" s="22">
        <f t="shared" si="7"/>
        <v>609.14778887966042</v>
      </c>
      <c r="BH48" s="62">
        <f t="shared" si="8"/>
        <v>902.4811222129938</v>
      </c>
      <c r="BI48" s="62">
        <f ca="1">AVERAGE(OFFSET($BH$3,0,0,'Données projet'!$E$11+1,1))-AVERAGE(OFFSET($H$3,0,0,'Données projet'!$E$11+1,1))</f>
        <v>366.86025470473652</v>
      </c>
      <c r="BJ48" s="62">
        <f t="shared" si="38"/>
        <v>513.80016421153414</v>
      </c>
      <c r="BK48" s="16">
        <f>IF(ISNA(VLOOKUP(A48,'Données projet'!$A$87:$I$107,3,0)),0,VLOOKUP(A48,'Données projet'!$A$87:$I$107,3,0))</f>
        <v>9</v>
      </c>
      <c r="BL48" s="16">
        <f>IF(ISNA(VLOOKUP(A48,'Données projet'!$A$87:$I$107,4,0)),0,VLOOKUP(A48,'Données projet'!$A$87:$I$107,4,0))</f>
        <v>312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1.6303531828526787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1.6303531828526787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187.13674266165236</v>
      </c>
      <c r="T49" s="62">
        <f t="shared" si="34"/>
        <v>439.28159165815276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63.809442646929277</v>
      </c>
      <c r="AA49" s="23">
        <f>EXP(-LN(2)/25)*AA48+(1-EXP(-LN(2)/25))/(LN(2)/25)*Calculateur!V49*Calculateur!X49*VLOOKUP('Données projet'!$B$9,Paramètres!$A$1:$I$89,3,0)*0.475*44/12</f>
        <v>30.249712410112444</v>
      </c>
      <c r="AB49" s="23">
        <f>EXP(-LN(2)/2)*AB48+(1-EXP(-LN(2)/2))/(LN(2)/2)*V49*Y49*VLOOKUP('Données projet'!$B$9,Paramètres!$A$1:$I$89,3,0)*0.475*44/12</f>
        <v>0.24993312587264388</v>
      </c>
      <c r="AC49" s="24">
        <f t="shared" si="3"/>
        <v>94.309088182914365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1.1368683772161603E-13</v>
      </c>
      <c r="AJ49" s="14">
        <f>AI49*VLOOKUP('Données projet'!$B$10,Paramètres!$A$1:$I$89,3,0)*VLOOKUP('Données projet'!$B$10,Paramètres!$A$1:$I$89,5,0)</f>
        <v>6.7984728957526396E-14</v>
      </c>
      <c r="AK49" s="14">
        <f t="shared" si="35"/>
        <v>1.0682447123141398E-12</v>
      </c>
      <c r="AL49" s="22">
        <f t="shared" si="4"/>
        <v>1.978932943548152E-12</v>
      </c>
      <c r="AM49" s="62">
        <f t="shared" si="5"/>
        <v>293.3333333333353</v>
      </c>
      <c r="AN49" s="62">
        <f ca="1">AVERAGE(OFFSET($AM$3,0,0,'Données projet'!$E$10+1,1))-AVERAGE(OFFSET($H$3,0,0,'Données projet'!$E$10+1,1))</f>
        <v>187.13674266165236</v>
      </c>
      <c r="AO49" s="62">
        <f t="shared" si="36"/>
        <v>439.28159165815276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63.809442646929277</v>
      </c>
      <c r="AV49" s="23">
        <f>EXP(-LN(2)/25)*AV48+(1-EXP(-LN(2)/25))/(LN(2)/25)*Calculateur!AQ49*Calculateur!AS49*VLOOKUP('Données projet'!$B$10,Paramètres!$A$1:$I$89,3,0)*0.475*44/12</f>
        <v>30.249712410112444</v>
      </c>
      <c r="AW49" s="23">
        <f>EXP(-LN(2)/2)*AW48+(1-EXP(-LN(2)/2))/(LN(2)/2)*AQ49*AT49*VLOOKUP('Données projet'!$B$10,Paramètres!$A$1:$I$89,3,0)*0.475*44/12</f>
        <v>0.24993312587264388</v>
      </c>
      <c r="AX49" s="23">
        <f t="shared" si="6"/>
        <v>94.309088182914365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-5.6843418860808015E-14</v>
      </c>
      <c r="BE49" s="14">
        <f>BD49*VLOOKUP('Données projet'!$B$11,Paramètres!$A$1:$I$89,3,0)*VLOOKUP('Données projet'!$B$11,Paramètres!$A$1:$I$89,5,0)</f>
        <v>-5.1431925385259088E-14</v>
      </c>
      <c r="BF49" s="14" t="e">
        <f t="shared" si="37"/>
        <v>#NUM!</v>
      </c>
      <c r="BG49" s="22" t="e">
        <f t="shared" si="7"/>
        <v>#NUM!</v>
      </c>
      <c r="BH49" s="62" t="e">
        <f t="shared" si="8"/>
        <v>#NUM!</v>
      </c>
      <c r="BI49" s="62">
        <f ca="1">AVERAGE(OFFSET($BH$3,0,0,'Données projet'!$E$11+1,1))-AVERAGE(OFFSET($H$3,0,0,'Données projet'!$E$11+1,1))</f>
        <v>366.86025470473652</v>
      </c>
      <c r="BJ49" s="62">
        <f t="shared" si="38"/>
        <v>513.80016421153414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1.5983829513541887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1.5983829513541887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187.13674266165236</v>
      </c>
      <c r="T50" s="62">
        <f t="shared" si="34"/>
        <v>439.28159165815276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62.558178396539986</v>
      </c>
      <c r="AA50" s="23">
        <f>EXP(-LN(2)/25)*AA49+(1-EXP(-LN(2)/25))/(LN(2)/25)*Calculateur!V50*Calculateur!X50*VLOOKUP('Données projet'!$B$9,Paramètres!$A$1:$I$89,3,0)*0.475*44/12</f>
        <v>29.422532433494681</v>
      </c>
      <c r="AB50" s="23">
        <f>EXP(-LN(2)/2)*AB49+(1-EXP(-LN(2)/2))/(LN(2)/2)*V50*Y50*VLOOKUP('Données projet'!$B$9,Paramètres!$A$1:$I$89,3,0)*0.475*44/12</f>
        <v>0.17672940814769744</v>
      </c>
      <c r="AC50" s="24">
        <f t="shared" si="3"/>
        <v>92.15744023818236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1.1368683772161603E-13</v>
      </c>
      <c r="AJ50" s="14">
        <f>AI50*VLOOKUP('Données projet'!$B$10,Paramètres!$A$1:$I$89,3,0)*VLOOKUP('Données projet'!$B$10,Paramètres!$A$1:$I$89,5,0)</f>
        <v>6.7984728957526396E-14</v>
      </c>
      <c r="AK50" s="14">
        <f t="shared" si="35"/>
        <v>1.0682447123141398E-12</v>
      </c>
      <c r="AL50" s="22">
        <f t="shared" si="4"/>
        <v>1.978932943548152E-12</v>
      </c>
      <c r="AM50" s="62">
        <f t="shared" si="5"/>
        <v>293.3333333333353</v>
      </c>
      <c r="AN50" s="62">
        <f ca="1">AVERAGE(OFFSET($AM$3,0,0,'Données projet'!$E$10+1,1))-AVERAGE(OFFSET($H$3,0,0,'Données projet'!$E$10+1,1))</f>
        <v>187.13674266165236</v>
      </c>
      <c r="AO50" s="62">
        <f t="shared" si="36"/>
        <v>439.28159165815276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62.558178396539986</v>
      </c>
      <c r="AV50" s="23">
        <f>EXP(-LN(2)/25)*AV49+(1-EXP(-LN(2)/25))/(LN(2)/25)*Calculateur!AQ50*Calculateur!AS50*VLOOKUP('Données projet'!$B$10,Paramètres!$A$1:$I$89,3,0)*0.475*44/12</f>
        <v>29.422532433494681</v>
      </c>
      <c r="AW50" s="23">
        <f>EXP(-LN(2)/2)*AW49+(1-EXP(-LN(2)/2))/(LN(2)/2)*AQ50*AT50*VLOOKUP('Données projet'!$B$10,Paramètres!$A$1:$I$89,3,0)*0.475*44/12</f>
        <v>0.17672940814769744</v>
      </c>
      <c r="AX50" s="23">
        <f t="shared" si="6"/>
        <v>92.15744023818236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-5.6843418860808015E-14</v>
      </c>
      <c r="BE50" s="14">
        <f>BD50*VLOOKUP('Données projet'!$B$11,Paramètres!$A$1:$I$89,3,0)*VLOOKUP('Données projet'!$B$11,Paramètres!$A$1:$I$89,5,0)</f>
        <v>-5.1431925385259088E-14</v>
      </c>
      <c r="BF50" s="14" t="e">
        <f t="shared" si="37"/>
        <v>#NUM!</v>
      </c>
      <c r="BG50" s="22" t="e">
        <f t="shared" si="7"/>
        <v>#NUM!</v>
      </c>
      <c r="BH50" s="62" t="e">
        <f t="shared" si="8"/>
        <v>#NUM!</v>
      </c>
      <c r="BI50" s="62">
        <f ca="1">AVERAGE(OFFSET($BH$3,0,0,'Données projet'!$E$11+1,1))-AVERAGE(OFFSET($H$3,0,0,'Données projet'!$E$11+1,1))</f>
        <v>366.86025470473652</v>
      </c>
      <c r="BJ50" s="62">
        <f t="shared" si="38"/>
        <v>513.80016421153414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1.5670396365954684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1.5670396365954684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187.13674266165236</v>
      </c>
      <c r="T51" s="62">
        <f t="shared" si="34"/>
        <v>439.28159165815276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61.331450674904993</v>
      </c>
      <c r="AA51" s="23">
        <f>EXP(-LN(2)/25)*AA50+(1-EXP(-LN(2)/25))/(LN(2)/25)*Calculateur!V51*Calculateur!X51*VLOOKUP('Données projet'!$B$9,Paramètres!$A$1:$I$89,3,0)*0.475*44/12</f>
        <v>28.617971736837035</v>
      </c>
      <c r="AB51" s="23">
        <f>EXP(-LN(2)/2)*AB50+(1-EXP(-LN(2)/2))/(LN(2)/2)*V51*Y51*VLOOKUP('Données projet'!$B$9,Paramètres!$A$1:$I$89,3,0)*0.475*44/12</f>
        <v>0.12496656293632195</v>
      </c>
      <c r="AC51" s="24">
        <f t="shared" si="3"/>
        <v>90.074388974678357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1.1368683772161603E-13</v>
      </c>
      <c r="AJ51" s="14">
        <f>AI51*VLOOKUP('Données projet'!$B$10,Paramètres!$A$1:$I$89,3,0)*VLOOKUP('Données projet'!$B$10,Paramètres!$A$1:$I$89,5,0)</f>
        <v>6.7984728957526396E-14</v>
      </c>
      <c r="AK51" s="14">
        <f t="shared" si="35"/>
        <v>1.0682447123141398E-12</v>
      </c>
      <c r="AL51" s="22">
        <f t="shared" si="4"/>
        <v>1.978932943548152E-12</v>
      </c>
      <c r="AM51" s="62">
        <f t="shared" si="5"/>
        <v>293.3333333333353</v>
      </c>
      <c r="AN51" s="62">
        <f ca="1">AVERAGE(OFFSET($AM$3,0,0,'Données projet'!$E$10+1,1))-AVERAGE(OFFSET($H$3,0,0,'Données projet'!$E$10+1,1))</f>
        <v>187.13674266165236</v>
      </c>
      <c r="AO51" s="62">
        <f t="shared" si="36"/>
        <v>439.28159165815276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61.331450674904993</v>
      </c>
      <c r="AV51" s="23">
        <f>EXP(-LN(2)/25)*AV50+(1-EXP(-LN(2)/25))/(LN(2)/25)*Calculateur!AQ51*Calculateur!AS51*VLOOKUP('Données projet'!$B$10,Paramètres!$A$1:$I$89,3,0)*0.475*44/12</f>
        <v>28.617971736837035</v>
      </c>
      <c r="AW51" s="23">
        <f>EXP(-LN(2)/2)*AW50+(1-EXP(-LN(2)/2))/(LN(2)/2)*AQ51*AT51*VLOOKUP('Données projet'!$B$10,Paramètres!$A$1:$I$89,3,0)*0.475*44/12</f>
        <v>0.12496656293632195</v>
      </c>
      <c r="AX51" s="23">
        <f t="shared" si="6"/>
        <v>90.074388974678357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-5.6843418860808015E-14</v>
      </c>
      <c r="BE51" s="14">
        <f>BD51*VLOOKUP('Données projet'!$B$11,Paramètres!$A$1:$I$89,3,0)*VLOOKUP('Données projet'!$B$11,Paramètres!$A$1:$I$89,5,0)</f>
        <v>-5.1431925385259088E-14</v>
      </c>
      <c r="BF51" s="14" t="e">
        <f t="shared" si="37"/>
        <v>#NUM!</v>
      </c>
      <c r="BG51" s="22" t="e">
        <f t="shared" si="7"/>
        <v>#NUM!</v>
      </c>
      <c r="BH51" s="62" t="e">
        <f t="shared" si="8"/>
        <v>#NUM!</v>
      </c>
      <c r="BI51" s="62">
        <f ca="1">AVERAGE(OFFSET($BH$3,0,0,'Données projet'!$E$11+1,1))-AVERAGE(OFFSET($H$3,0,0,'Données projet'!$E$11+1,1))</f>
        <v>366.86025470473652</v>
      </c>
      <c r="BJ51" s="62">
        <f t="shared" si="38"/>
        <v>513.80016421153414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1.5363109451216321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1.5363109451216321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187.13674266165236</v>
      </c>
      <c r="T52" s="62">
        <f t="shared" si="34"/>
        <v>439.28159165815276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60.128778335661238</v>
      </c>
      <c r="AA52" s="23">
        <f>EXP(-LN(2)/25)*AA51+(1-EXP(-LN(2)/25))/(LN(2)/25)*Calculateur!V52*Calculateur!X52*VLOOKUP('Données projet'!$B$9,Paramètres!$A$1:$I$89,3,0)*0.475*44/12</f>
        <v>27.8354117947395</v>
      </c>
      <c r="AB52" s="23">
        <f>EXP(-LN(2)/2)*AB51+(1-EXP(-LN(2)/2))/(LN(2)/2)*V52*Y52*VLOOKUP('Données projet'!$B$9,Paramètres!$A$1:$I$89,3,0)*0.475*44/12</f>
        <v>8.8364704073848735E-2</v>
      </c>
      <c r="AC52" s="24">
        <f t="shared" si="3"/>
        <v>88.052554834474591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1.1368683772161603E-13</v>
      </c>
      <c r="AJ52" s="14">
        <f>AI52*VLOOKUP('Données projet'!$B$10,Paramètres!$A$1:$I$89,3,0)*VLOOKUP('Données projet'!$B$10,Paramètres!$A$1:$I$89,5,0)</f>
        <v>6.7984728957526396E-14</v>
      </c>
      <c r="AK52" s="14">
        <f t="shared" si="35"/>
        <v>1.0682447123141398E-12</v>
      </c>
      <c r="AL52" s="22">
        <f t="shared" si="4"/>
        <v>1.978932943548152E-12</v>
      </c>
      <c r="AM52" s="62">
        <f t="shared" si="5"/>
        <v>293.3333333333353</v>
      </c>
      <c r="AN52" s="62">
        <f ca="1">AVERAGE(OFFSET($AM$3,0,0,'Données projet'!$E$10+1,1))-AVERAGE(OFFSET($H$3,0,0,'Données projet'!$E$10+1,1))</f>
        <v>187.13674266165236</v>
      </c>
      <c r="AO52" s="62">
        <f t="shared" si="36"/>
        <v>439.28159165815276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60.128778335661238</v>
      </c>
      <c r="AV52" s="23">
        <f>EXP(-LN(2)/25)*AV51+(1-EXP(-LN(2)/25))/(LN(2)/25)*Calculateur!AQ52*Calculateur!AS52*VLOOKUP('Données projet'!$B$10,Paramètres!$A$1:$I$89,3,0)*0.475*44/12</f>
        <v>27.8354117947395</v>
      </c>
      <c r="AW52" s="23">
        <f>EXP(-LN(2)/2)*AW51+(1-EXP(-LN(2)/2))/(LN(2)/2)*AQ52*AT52*VLOOKUP('Données projet'!$B$10,Paramètres!$A$1:$I$89,3,0)*0.475*44/12</f>
        <v>8.8364704073848735E-2</v>
      </c>
      <c r="AX52" s="23">
        <f t="shared" si="6"/>
        <v>88.052554834474591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-5.6843418860808015E-14</v>
      </c>
      <c r="BE52" s="14">
        <f>BD52*VLOOKUP('Données projet'!$B$11,Paramètres!$A$1:$I$89,3,0)*VLOOKUP('Données projet'!$B$11,Paramètres!$A$1:$I$89,5,0)</f>
        <v>-5.1431925385259088E-14</v>
      </c>
      <c r="BF52" s="14" t="e">
        <f t="shared" si="37"/>
        <v>#NUM!</v>
      </c>
      <c r="BG52" s="22" t="e">
        <f t="shared" si="7"/>
        <v>#NUM!</v>
      </c>
      <c r="BH52" s="62" t="e">
        <f t="shared" si="8"/>
        <v>#NUM!</v>
      </c>
      <c r="BI52" s="62">
        <f ca="1">AVERAGE(OFFSET($BH$3,0,0,'Données projet'!$E$11+1,1))-AVERAGE(OFFSET($H$3,0,0,'Données projet'!$E$11+1,1))</f>
        <v>366.86025470473652</v>
      </c>
      <c r="BJ52" s="62">
        <f t="shared" si="38"/>
        <v>513.80016421153414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1.5061848245449467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1.5061848245449467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187.13674266165236</v>
      </c>
      <c r="T53" s="62">
        <f t="shared" si="34"/>
        <v>439.28159165815276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58.949689667432359</v>
      </c>
      <c r="AA53" s="23">
        <f>EXP(-LN(2)/25)*AA52+(1-EXP(-LN(2)/25))/(LN(2)/25)*Calculateur!V53*Calculateur!X53*VLOOKUP('Données projet'!$B$9,Paramètres!$A$1:$I$89,3,0)*0.475*44/12</f>
        <v>27.07425099541166</v>
      </c>
      <c r="AB53" s="23">
        <f>EXP(-LN(2)/2)*AB52+(1-EXP(-LN(2)/2))/(LN(2)/2)*V53*Y53*VLOOKUP('Données projet'!$B$9,Paramètres!$A$1:$I$89,3,0)*0.475*44/12</f>
        <v>6.2483281468160984E-2</v>
      </c>
      <c r="AC53" s="24">
        <f t="shared" si="3"/>
        <v>86.086423944312173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1.1368683772161603E-13</v>
      </c>
      <c r="AJ53" s="14">
        <f>AI53*VLOOKUP('Données projet'!$B$10,Paramètres!$A$1:$I$89,3,0)*VLOOKUP('Données projet'!$B$10,Paramètres!$A$1:$I$89,5,0)</f>
        <v>6.7984728957526396E-14</v>
      </c>
      <c r="AK53" s="14">
        <f t="shared" si="35"/>
        <v>1.0682447123141398E-12</v>
      </c>
      <c r="AL53" s="22">
        <f t="shared" si="4"/>
        <v>1.978932943548152E-12</v>
      </c>
      <c r="AM53" s="62">
        <f t="shared" si="5"/>
        <v>293.3333333333353</v>
      </c>
      <c r="AN53" s="62">
        <f ca="1">AVERAGE(OFFSET($AM$3,0,0,'Données projet'!$E$10+1,1))-AVERAGE(OFFSET($H$3,0,0,'Données projet'!$E$10+1,1))</f>
        <v>187.13674266165236</v>
      </c>
      <c r="AO53" s="62">
        <f t="shared" si="36"/>
        <v>439.28159165815276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58.949689667432359</v>
      </c>
      <c r="AV53" s="23">
        <f>EXP(-LN(2)/25)*AV52+(1-EXP(-LN(2)/25))/(LN(2)/25)*Calculateur!AQ53*Calculateur!AS53*VLOOKUP('Données projet'!$B$10,Paramètres!$A$1:$I$89,3,0)*0.475*44/12</f>
        <v>27.07425099541166</v>
      </c>
      <c r="AW53" s="23">
        <f>EXP(-LN(2)/2)*AW52+(1-EXP(-LN(2)/2))/(LN(2)/2)*AQ53*AT53*VLOOKUP('Données projet'!$B$10,Paramètres!$A$1:$I$89,3,0)*0.475*44/12</f>
        <v>6.2483281468160984E-2</v>
      </c>
      <c r="AX53" s="23">
        <f t="shared" si="6"/>
        <v>86.086423944312173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-5.6843418860808015E-14</v>
      </c>
      <c r="BE53" s="14">
        <f>BD53*VLOOKUP('Données projet'!$B$11,Paramètres!$A$1:$I$89,3,0)*VLOOKUP('Données projet'!$B$11,Paramètres!$A$1:$I$89,5,0)</f>
        <v>-5.1431925385259088E-14</v>
      </c>
      <c r="BF53" s="14" t="e">
        <f t="shared" si="37"/>
        <v>#NUM!</v>
      </c>
      <c r="BG53" s="22" t="e">
        <f t="shared" si="7"/>
        <v>#NUM!</v>
      </c>
      <c r="BH53" s="62" t="e">
        <f t="shared" si="8"/>
        <v>#NUM!</v>
      </c>
      <c r="BI53" s="62">
        <f ca="1">AVERAGE(OFFSET($BH$3,0,0,'Données projet'!$E$11+1,1))-AVERAGE(OFFSET($H$3,0,0,'Données projet'!$E$11+1,1))</f>
        <v>366.86025470473652</v>
      </c>
      <c r="BJ53" s="62">
        <f t="shared" si="38"/>
        <v>513.80016421153414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1.4766494588176511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1.4766494588176511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187.13674266165236</v>
      </c>
      <c r="T54" s="62">
        <f t="shared" si="34"/>
        <v>439.28159165815276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57.793722208814373</v>
      </c>
      <c r="AA54" s="23">
        <f>EXP(-LN(2)/25)*AA53+(1-EXP(-LN(2)/25))/(LN(2)/25)*Calculateur!V54*Calculateur!X54*VLOOKUP('Données projet'!$B$9,Paramètres!$A$1:$I$89,3,0)*0.475*44/12</f>
        <v>26.333904178169146</v>
      </c>
      <c r="AB54" s="23">
        <f>EXP(-LN(2)/2)*AB53+(1-EXP(-LN(2)/2))/(LN(2)/2)*V54*Y54*VLOOKUP('Données projet'!$B$9,Paramètres!$A$1:$I$89,3,0)*0.475*44/12</f>
        <v>4.4182352036924374E-2</v>
      </c>
      <c r="AC54" s="24">
        <f t="shared" si="3"/>
        <v>84.171808739020449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1.1368683772161603E-13</v>
      </c>
      <c r="AJ54" s="14">
        <f>AI54*VLOOKUP('Données projet'!$B$10,Paramètres!$A$1:$I$89,3,0)*VLOOKUP('Données projet'!$B$10,Paramètres!$A$1:$I$89,5,0)</f>
        <v>6.7984728957526396E-14</v>
      </c>
      <c r="AK54" s="14">
        <f t="shared" si="35"/>
        <v>1.0682447123141398E-12</v>
      </c>
      <c r="AL54" s="22">
        <f t="shared" si="4"/>
        <v>1.978932943548152E-12</v>
      </c>
      <c r="AM54" s="62">
        <f t="shared" si="5"/>
        <v>293.3333333333353</v>
      </c>
      <c r="AN54" s="62">
        <f ca="1">AVERAGE(OFFSET($AM$3,0,0,'Données projet'!$E$10+1,1))-AVERAGE(OFFSET($H$3,0,0,'Données projet'!$E$10+1,1))</f>
        <v>187.13674266165236</v>
      </c>
      <c r="AO54" s="62">
        <f t="shared" si="36"/>
        <v>439.28159165815276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57.793722208814373</v>
      </c>
      <c r="AV54" s="23">
        <f>EXP(-LN(2)/25)*AV53+(1-EXP(-LN(2)/25))/(LN(2)/25)*Calculateur!AQ54*Calculateur!AS54*VLOOKUP('Données projet'!$B$10,Paramètres!$A$1:$I$89,3,0)*0.475*44/12</f>
        <v>26.333904178169146</v>
      </c>
      <c r="AW54" s="23">
        <f>EXP(-LN(2)/2)*AW53+(1-EXP(-LN(2)/2))/(LN(2)/2)*AQ54*AT54*VLOOKUP('Données projet'!$B$10,Paramètres!$A$1:$I$89,3,0)*0.475*44/12</f>
        <v>4.4182352036924374E-2</v>
      </c>
      <c r="AX54" s="23">
        <f t="shared" si="6"/>
        <v>84.171808739020449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-5.6843418860808015E-14</v>
      </c>
      <c r="BE54" s="14">
        <f>BD54*VLOOKUP('Données projet'!$B$11,Paramètres!$A$1:$I$89,3,0)*VLOOKUP('Données projet'!$B$11,Paramètres!$A$1:$I$89,5,0)</f>
        <v>-5.1431925385259088E-14</v>
      </c>
      <c r="BF54" s="14" t="e">
        <f t="shared" si="37"/>
        <v>#NUM!</v>
      </c>
      <c r="BG54" s="22" t="e">
        <f t="shared" si="7"/>
        <v>#NUM!</v>
      </c>
      <c r="BH54" s="62" t="e">
        <f t="shared" si="8"/>
        <v>#NUM!</v>
      </c>
      <c r="BI54" s="62">
        <f ca="1">AVERAGE(OFFSET($BH$3,0,0,'Données projet'!$E$11+1,1))-AVERAGE(OFFSET($H$3,0,0,'Données projet'!$E$11+1,1))</f>
        <v>366.86025470473652</v>
      </c>
      <c r="BJ54" s="62">
        <f t="shared" si="38"/>
        <v>513.80016421153414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1.4476932635974733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1.4476932635974733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187.13674266165236</v>
      </c>
      <c r="T55" s="62">
        <f t="shared" si="34"/>
        <v>439.28159165815276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56.660422566989354</v>
      </c>
      <c r="AA55" s="23">
        <f>EXP(-LN(2)/25)*AA54+(1-EXP(-LN(2)/25))/(LN(2)/25)*Calculateur!V55*Calculateur!X55*VLOOKUP('Données projet'!$B$9,Paramètres!$A$1:$I$89,3,0)*0.475*44/12</f>
        <v>25.613802183577278</v>
      </c>
      <c r="AB55" s="23">
        <f>EXP(-LN(2)/2)*AB54+(1-EXP(-LN(2)/2))/(LN(2)/2)*V55*Y55*VLOOKUP('Données projet'!$B$9,Paramètres!$A$1:$I$89,3,0)*0.475*44/12</f>
        <v>3.1241640734080499E-2</v>
      </c>
      <c r="AC55" s="24">
        <f t="shared" si="3"/>
        <v>82.305466391300712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1.1368683772161603E-13</v>
      </c>
      <c r="AJ55" s="14">
        <f>AI55*VLOOKUP('Données projet'!$B$10,Paramètres!$A$1:$I$89,3,0)*VLOOKUP('Données projet'!$B$10,Paramètres!$A$1:$I$89,5,0)</f>
        <v>6.7984728957526396E-14</v>
      </c>
      <c r="AK55" s="14">
        <f t="shared" si="35"/>
        <v>1.0682447123141398E-12</v>
      </c>
      <c r="AL55" s="22">
        <f t="shared" si="4"/>
        <v>1.978932943548152E-12</v>
      </c>
      <c r="AM55" s="62">
        <f t="shared" si="5"/>
        <v>293.3333333333353</v>
      </c>
      <c r="AN55" s="62">
        <f ca="1">AVERAGE(OFFSET($AM$3,0,0,'Données projet'!$E$10+1,1))-AVERAGE(OFFSET($H$3,0,0,'Données projet'!$E$10+1,1))</f>
        <v>187.13674266165236</v>
      </c>
      <c r="AO55" s="62">
        <f t="shared" si="36"/>
        <v>439.28159165815276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56.660422566989354</v>
      </c>
      <c r="AV55" s="23">
        <f>EXP(-LN(2)/25)*AV54+(1-EXP(-LN(2)/25))/(LN(2)/25)*Calculateur!AQ55*Calculateur!AS55*VLOOKUP('Données projet'!$B$10,Paramètres!$A$1:$I$89,3,0)*0.475*44/12</f>
        <v>25.613802183577278</v>
      </c>
      <c r="AW55" s="23">
        <f>EXP(-LN(2)/2)*AW54+(1-EXP(-LN(2)/2))/(LN(2)/2)*AQ55*AT55*VLOOKUP('Données projet'!$B$10,Paramètres!$A$1:$I$89,3,0)*0.475*44/12</f>
        <v>3.1241640734080499E-2</v>
      </c>
      <c r="AX55" s="23">
        <f t="shared" si="6"/>
        <v>82.305466391300712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-5.6843418860808015E-14</v>
      </c>
      <c r="BE55" s="14">
        <f>BD55*VLOOKUP('Données projet'!$B$11,Paramètres!$A$1:$I$89,3,0)*VLOOKUP('Données projet'!$B$11,Paramètres!$A$1:$I$89,5,0)</f>
        <v>-5.1431925385259088E-14</v>
      </c>
      <c r="BF55" s="14" t="e">
        <f t="shared" si="37"/>
        <v>#NUM!</v>
      </c>
      <c r="BG55" s="22" t="e">
        <f t="shared" si="7"/>
        <v>#NUM!</v>
      </c>
      <c r="BH55" s="62" t="e">
        <f t="shared" si="8"/>
        <v>#NUM!</v>
      </c>
      <c r="BI55" s="62">
        <f ca="1">AVERAGE(OFFSET($BH$3,0,0,'Données projet'!$E$11+1,1))-AVERAGE(OFFSET($H$3,0,0,'Données projet'!$E$11+1,1))</f>
        <v>366.86025470473652</v>
      </c>
      <c r="BJ55" s="62">
        <f t="shared" si="38"/>
        <v>513.80016421153414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1.4193048817040281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1.4193048817040281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187.13674266165236</v>
      </c>
      <c r="T56" s="62">
        <f t="shared" si="34"/>
        <v>439.28159165815276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55.549346239895996</v>
      </c>
      <c r="AA56" s="23">
        <f>EXP(-LN(2)/25)*AA55+(1-EXP(-LN(2)/25))/(LN(2)/25)*Calculateur!V56*Calculateur!X56*VLOOKUP('Données projet'!$B$9,Paramètres!$A$1:$I$89,3,0)*0.475*44/12</f>
        <v>24.91339141589604</v>
      </c>
      <c r="AB56" s="23">
        <f>EXP(-LN(2)/2)*AB55+(1-EXP(-LN(2)/2))/(LN(2)/2)*V56*Y56*VLOOKUP('Données projet'!$B$9,Paramètres!$A$1:$I$89,3,0)*0.475*44/12</f>
        <v>2.2091176018462191E-2</v>
      </c>
      <c r="AC56" s="24">
        <f t="shared" si="3"/>
        <v>80.484828831810503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1.1368683772161603E-13</v>
      </c>
      <c r="AJ56" s="14">
        <f>AI56*VLOOKUP('Données projet'!$B$10,Paramètres!$A$1:$I$89,3,0)*VLOOKUP('Données projet'!$B$10,Paramètres!$A$1:$I$89,5,0)</f>
        <v>6.7984728957526396E-14</v>
      </c>
      <c r="AK56" s="14">
        <f t="shared" si="35"/>
        <v>1.0682447123141398E-12</v>
      </c>
      <c r="AL56" s="22">
        <f t="shared" si="4"/>
        <v>1.978932943548152E-12</v>
      </c>
      <c r="AM56" s="62">
        <f t="shared" si="5"/>
        <v>293.3333333333353</v>
      </c>
      <c r="AN56" s="62">
        <f ca="1">AVERAGE(OFFSET($AM$3,0,0,'Données projet'!$E$10+1,1))-AVERAGE(OFFSET($H$3,0,0,'Données projet'!$E$10+1,1))</f>
        <v>187.13674266165236</v>
      </c>
      <c r="AO56" s="62">
        <f t="shared" si="36"/>
        <v>439.28159165815276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55.549346239895996</v>
      </c>
      <c r="AV56" s="23">
        <f>EXP(-LN(2)/25)*AV55+(1-EXP(-LN(2)/25))/(LN(2)/25)*Calculateur!AQ56*Calculateur!AS56*VLOOKUP('Données projet'!$B$10,Paramètres!$A$1:$I$89,3,0)*0.475*44/12</f>
        <v>24.91339141589604</v>
      </c>
      <c r="AW56" s="23">
        <f>EXP(-LN(2)/2)*AW55+(1-EXP(-LN(2)/2))/(LN(2)/2)*AQ56*AT56*VLOOKUP('Données projet'!$B$10,Paramètres!$A$1:$I$89,3,0)*0.475*44/12</f>
        <v>2.2091176018462191E-2</v>
      </c>
      <c r="AX56" s="23">
        <f t="shared" si="6"/>
        <v>80.484828831810503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-5.6843418860808015E-14</v>
      </c>
      <c r="BE56" s="14">
        <f>BD56*VLOOKUP('Données projet'!$B$11,Paramètres!$A$1:$I$89,3,0)*VLOOKUP('Données projet'!$B$11,Paramètres!$A$1:$I$89,5,0)</f>
        <v>-5.1431925385259088E-14</v>
      </c>
      <c r="BF56" s="14" t="e">
        <f t="shared" si="37"/>
        <v>#NUM!</v>
      </c>
      <c r="BG56" s="22" t="e">
        <f t="shared" si="7"/>
        <v>#NUM!</v>
      </c>
      <c r="BH56" s="62" t="e">
        <f t="shared" si="8"/>
        <v>#NUM!</v>
      </c>
      <c r="BI56" s="62">
        <f ca="1">AVERAGE(OFFSET($BH$3,0,0,'Données projet'!$E$11+1,1))-AVERAGE(OFFSET($H$3,0,0,'Données projet'!$E$11+1,1))</f>
        <v>366.86025470473652</v>
      </c>
      <c r="BJ56" s="62">
        <f t="shared" si="38"/>
        <v>513.80016421153414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1.3914731786643102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1.3914731786643102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187.13674266165236</v>
      </c>
      <c r="T57" s="62">
        <f t="shared" si="34"/>
        <v>439.28159165815276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54.460057441887294</v>
      </c>
      <c r="AA57" s="23">
        <f>EXP(-LN(2)/25)*AA56+(1-EXP(-LN(2)/25))/(LN(2)/25)*Calculateur!V57*Calculateur!X57*VLOOKUP('Données projet'!$B$9,Paramètres!$A$1:$I$89,3,0)*0.475*44/12</f>
        <v>24.232133417490047</v>
      </c>
      <c r="AB57" s="23">
        <f>EXP(-LN(2)/2)*AB56+(1-EXP(-LN(2)/2))/(LN(2)/2)*V57*Y57*VLOOKUP('Données projet'!$B$9,Paramètres!$A$1:$I$89,3,0)*0.475*44/12</f>
        <v>1.5620820367040251E-2</v>
      </c>
      <c r="AC57" s="24">
        <f t="shared" si="3"/>
        <v>78.707811679744381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1.1368683772161603E-13</v>
      </c>
      <c r="AJ57" s="14">
        <f>AI57*VLOOKUP('Données projet'!$B$10,Paramètres!$A$1:$I$89,3,0)*VLOOKUP('Données projet'!$B$10,Paramètres!$A$1:$I$89,5,0)</f>
        <v>6.7984728957526396E-14</v>
      </c>
      <c r="AK57" s="14">
        <f t="shared" si="35"/>
        <v>1.0682447123141398E-12</v>
      </c>
      <c r="AL57" s="22">
        <f t="shared" si="4"/>
        <v>1.978932943548152E-12</v>
      </c>
      <c r="AM57" s="62">
        <f t="shared" si="5"/>
        <v>293.3333333333353</v>
      </c>
      <c r="AN57" s="62">
        <f ca="1">AVERAGE(OFFSET($AM$3,0,0,'Données projet'!$E$10+1,1))-AVERAGE(OFFSET($H$3,0,0,'Données projet'!$E$10+1,1))</f>
        <v>187.13674266165236</v>
      </c>
      <c r="AO57" s="62">
        <f t="shared" si="36"/>
        <v>439.28159165815276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54.460057441887294</v>
      </c>
      <c r="AV57" s="23">
        <f>EXP(-LN(2)/25)*AV56+(1-EXP(-LN(2)/25))/(LN(2)/25)*Calculateur!AQ57*Calculateur!AS57*VLOOKUP('Données projet'!$B$10,Paramètres!$A$1:$I$89,3,0)*0.475*44/12</f>
        <v>24.232133417490047</v>
      </c>
      <c r="AW57" s="23">
        <f>EXP(-LN(2)/2)*AW56+(1-EXP(-LN(2)/2))/(LN(2)/2)*AQ57*AT57*VLOOKUP('Données projet'!$B$10,Paramètres!$A$1:$I$89,3,0)*0.475*44/12</f>
        <v>1.5620820367040251E-2</v>
      </c>
      <c r="AX57" s="23">
        <f t="shared" si="6"/>
        <v>78.707811679744381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-5.6843418860808015E-14</v>
      </c>
      <c r="BE57" s="14">
        <f>BD57*VLOOKUP('Données projet'!$B$11,Paramètres!$A$1:$I$89,3,0)*VLOOKUP('Données projet'!$B$11,Paramètres!$A$1:$I$89,5,0)</f>
        <v>-5.1431925385259088E-14</v>
      </c>
      <c r="BF57" s="14" t="e">
        <f t="shared" si="37"/>
        <v>#NUM!</v>
      </c>
      <c r="BG57" s="22" t="e">
        <f t="shared" si="7"/>
        <v>#NUM!</v>
      </c>
      <c r="BH57" s="62" t="e">
        <f t="shared" si="8"/>
        <v>#NUM!</v>
      </c>
      <c r="BI57" s="62">
        <f ca="1">AVERAGE(OFFSET($BH$3,0,0,'Données projet'!$E$11+1,1))-AVERAGE(OFFSET($H$3,0,0,'Données projet'!$E$11+1,1))</f>
        <v>366.86025470473652</v>
      </c>
      <c r="BJ57" s="62">
        <f t="shared" si="38"/>
        <v>513.80016421153414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1.3641872383455385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1.3641872383455385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187.13674266165236</v>
      </c>
      <c r="T58" s="62">
        <f t="shared" si="34"/>
        <v>439.28159165815276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53.392128932806983</v>
      </c>
      <c r="AA58" s="23">
        <f>EXP(-LN(2)/25)*AA57+(1-EXP(-LN(2)/25))/(LN(2)/25)*Calculateur!V58*Calculateur!X58*VLOOKUP('Données projet'!$B$9,Paramètres!$A$1:$I$89,3,0)*0.475*44/12</f>
        <v>23.56950445487627</v>
      </c>
      <c r="AB58" s="23">
        <f>EXP(-LN(2)/2)*AB57+(1-EXP(-LN(2)/2))/(LN(2)/2)*V58*Y58*VLOOKUP('Données projet'!$B$9,Paramètres!$A$1:$I$89,3,0)*0.475*44/12</f>
        <v>1.1045588009231097E-2</v>
      </c>
      <c r="AC58" s="24">
        <f t="shared" si="3"/>
        <v>76.972678975692475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1.1368683772161603E-13</v>
      </c>
      <c r="AJ58" s="14">
        <f>AI58*VLOOKUP('Données projet'!$B$10,Paramètres!$A$1:$I$89,3,0)*VLOOKUP('Données projet'!$B$10,Paramètres!$A$1:$I$89,5,0)</f>
        <v>6.7984728957526396E-14</v>
      </c>
      <c r="AK58" s="14">
        <f t="shared" si="35"/>
        <v>1.0682447123141398E-12</v>
      </c>
      <c r="AL58" s="22">
        <f t="shared" si="4"/>
        <v>1.978932943548152E-12</v>
      </c>
      <c r="AM58" s="62">
        <f t="shared" si="5"/>
        <v>293.3333333333353</v>
      </c>
      <c r="AN58" s="62">
        <f ca="1">AVERAGE(OFFSET($AM$3,0,0,'Données projet'!$E$10+1,1))-AVERAGE(OFFSET($H$3,0,0,'Données projet'!$E$10+1,1))</f>
        <v>187.13674266165236</v>
      </c>
      <c r="AO58" s="62">
        <f t="shared" si="36"/>
        <v>439.28159165815276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53.392128932806983</v>
      </c>
      <c r="AV58" s="23">
        <f>EXP(-LN(2)/25)*AV57+(1-EXP(-LN(2)/25))/(LN(2)/25)*Calculateur!AQ58*Calculateur!AS58*VLOOKUP('Données projet'!$B$10,Paramètres!$A$1:$I$89,3,0)*0.475*44/12</f>
        <v>23.56950445487627</v>
      </c>
      <c r="AW58" s="23">
        <f>EXP(-LN(2)/2)*AW57+(1-EXP(-LN(2)/2))/(LN(2)/2)*AQ58*AT58*VLOOKUP('Données projet'!$B$10,Paramètres!$A$1:$I$89,3,0)*0.475*44/12</f>
        <v>1.1045588009231097E-2</v>
      </c>
      <c r="AX58" s="23">
        <f t="shared" si="6"/>
        <v>76.972678975692475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-5.6843418860808015E-14</v>
      </c>
      <c r="BE58" s="14">
        <f>BD58*VLOOKUP('Données projet'!$B$11,Paramètres!$A$1:$I$89,3,0)*VLOOKUP('Données projet'!$B$11,Paramètres!$A$1:$I$89,5,0)</f>
        <v>-5.1431925385259088E-14</v>
      </c>
      <c r="BF58" s="14" t="e">
        <f t="shared" si="37"/>
        <v>#NUM!</v>
      </c>
      <c r="BG58" s="22" t="e">
        <f t="shared" si="7"/>
        <v>#NUM!</v>
      </c>
      <c r="BH58" s="62" t="e">
        <f t="shared" si="8"/>
        <v>#NUM!</v>
      </c>
      <c r="BI58" s="62">
        <f ca="1">AVERAGE(OFFSET($BH$3,0,0,'Données projet'!$E$11+1,1))-AVERAGE(OFFSET($H$3,0,0,'Données projet'!$E$11+1,1))</f>
        <v>366.86025470473652</v>
      </c>
      <c r="BJ58" s="62">
        <f t="shared" si="38"/>
        <v>513.80016421153414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1.3374363586736375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1.3374363586736375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187.13674266165236</v>
      </c>
      <c r="T59" s="62">
        <f t="shared" si="34"/>
        <v>439.28159165815276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52.345141850417662</v>
      </c>
      <c r="AA59" s="23">
        <f>EXP(-LN(2)/25)*AA58+(1-EXP(-LN(2)/25))/(LN(2)/25)*Calculateur!V59*Calculateur!X59*VLOOKUP('Données projet'!$B$9,Paramètres!$A$1:$I$89,3,0)*0.475*44/12</f>
        <v>22.92499511609131</v>
      </c>
      <c r="AB59" s="23">
        <f>EXP(-LN(2)/2)*AB58+(1-EXP(-LN(2)/2))/(LN(2)/2)*V59*Y59*VLOOKUP('Données projet'!$B$9,Paramètres!$A$1:$I$89,3,0)*0.475*44/12</f>
        <v>7.8104101835201273E-3</v>
      </c>
      <c r="AC59" s="24">
        <f t="shared" si="3"/>
        <v>75.277947376692495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1.1368683772161603E-13</v>
      </c>
      <c r="AJ59" s="14">
        <f>AI59*VLOOKUP('Données projet'!$B$10,Paramètres!$A$1:$I$89,3,0)*VLOOKUP('Données projet'!$B$10,Paramètres!$A$1:$I$89,5,0)</f>
        <v>6.7984728957526396E-14</v>
      </c>
      <c r="AK59" s="14">
        <f t="shared" si="35"/>
        <v>1.0682447123141398E-12</v>
      </c>
      <c r="AL59" s="22">
        <f t="shared" si="4"/>
        <v>1.978932943548152E-12</v>
      </c>
      <c r="AM59" s="62">
        <f t="shared" si="5"/>
        <v>293.3333333333353</v>
      </c>
      <c r="AN59" s="62">
        <f ca="1">AVERAGE(OFFSET($AM$3,0,0,'Données projet'!$E$10+1,1))-AVERAGE(OFFSET($H$3,0,0,'Données projet'!$E$10+1,1))</f>
        <v>187.13674266165236</v>
      </c>
      <c r="AO59" s="62">
        <f t="shared" si="36"/>
        <v>439.28159165815276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52.345141850417662</v>
      </c>
      <c r="AV59" s="23">
        <f>EXP(-LN(2)/25)*AV58+(1-EXP(-LN(2)/25))/(LN(2)/25)*Calculateur!AQ59*Calculateur!AS59*VLOOKUP('Données projet'!$B$10,Paramètres!$A$1:$I$89,3,0)*0.475*44/12</f>
        <v>22.92499511609131</v>
      </c>
      <c r="AW59" s="23">
        <f>EXP(-LN(2)/2)*AW58+(1-EXP(-LN(2)/2))/(LN(2)/2)*AQ59*AT59*VLOOKUP('Données projet'!$B$10,Paramètres!$A$1:$I$89,3,0)*0.475*44/12</f>
        <v>7.8104101835201273E-3</v>
      </c>
      <c r="AX59" s="23">
        <f t="shared" si="6"/>
        <v>75.277947376692495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-5.6843418860808015E-14</v>
      </c>
      <c r="BE59" s="14">
        <f>BD59*VLOOKUP('Données projet'!$B$11,Paramètres!$A$1:$I$89,3,0)*VLOOKUP('Données projet'!$B$11,Paramètres!$A$1:$I$89,5,0)</f>
        <v>-5.1431925385259088E-14</v>
      </c>
      <c r="BF59" s="14" t="e">
        <f t="shared" si="37"/>
        <v>#NUM!</v>
      </c>
      <c r="BG59" s="22" t="e">
        <f t="shared" si="7"/>
        <v>#NUM!</v>
      </c>
      <c r="BH59" s="62" t="e">
        <f t="shared" si="8"/>
        <v>#NUM!</v>
      </c>
      <c r="BI59" s="62">
        <f ca="1">AVERAGE(OFFSET($BH$3,0,0,'Données projet'!$E$11+1,1))-AVERAGE(OFFSET($H$3,0,0,'Données projet'!$E$11+1,1))</f>
        <v>366.86025470473652</v>
      </c>
      <c r="BJ59" s="62">
        <f t="shared" si="38"/>
        <v>513.80016421153414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1.3112100474356772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1.3112100474356772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187.13674266165236</v>
      </c>
      <c r="T60" s="62">
        <f t="shared" si="34"/>
        <v>439.28159165815276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51.318685546114935</v>
      </c>
      <c r="AA60" s="23">
        <f>EXP(-LN(2)/25)*AA59+(1-EXP(-LN(2)/25))/(LN(2)/25)*Calculateur!V60*Calculateur!X60*VLOOKUP('Données projet'!$B$9,Paramètres!$A$1:$I$89,3,0)*0.475*44/12</f>
        <v>22.298109919068697</v>
      </c>
      <c r="AB60" s="23">
        <f>EXP(-LN(2)/2)*AB59+(1-EXP(-LN(2)/2))/(LN(2)/2)*V60*Y60*VLOOKUP('Données projet'!$B$9,Paramètres!$A$1:$I$89,3,0)*0.475*44/12</f>
        <v>5.5227940046155494E-3</v>
      </c>
      <c r="AC60" s="24">
        <f t="shared" si="3"/>
        <v>73.622318259188248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1.1368683772161603E-13</v>
      </c>
      <c r="AJ60" s="14">
        <f>AI60*VLOOKUP('Données projet'!$B$10,Paramètres!$A$1:$I$89,3,0)*VLOOKUP('Données projet'!$B$10,Paramètres!$A$1:$I$89,5,0)</f>
        <v>6.7984728957526396E-14</v>
      </c>
      <c r="AK60" s="14">
        <f t="shared" si="35"/>
        <v>1.0682447123141398E-12</v>
      </c>
      <c r="AL60" s="22">
        <f t="shared" si="4"/>
        <v>1.978932943548152E-12</v>
      </c>
      <c r="AM60" s="62">
        <f t="shared" si="5"/>
        <v>293.3333333333353</v>
      </c>
      <c r="AN60" s="62">
        <f ca="1">AVERAGE(OFFSET($AM$3,0,0,'Données projet'!$E$10+1,1))-AVERAGE(OFFSET($H$3,0,0,'Données projet'!$E$10+1,1))</f>
        <v>187.13674266165236</v>
      </c>
      <c r="AO60" s="62">
        <f t="shared" si="36"/>
        <v>439.28159165815276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51.318685546114935</v>
      </c>
      <c r="AV60" s="23">
        <f>EXP(-LN(2)/25)*AV59+(1-EXP(-LN(2)/25))/(LN(2)/25)*Calculateur!AQ60*Calculateur!AS60*VLOOKUP('Données projet'!$B$10,Paramètres!$A$1:$I$89,3,0)*0.475*44/12</f>
        <v>22.298109919068697</v>
      </c>
      <c r="AW60" s="23">
        <f>EXP(-LN(2)/2)*AW59+(1-EXP(-LN(2)/2))/(LN(2)/2)*AQ60*AT60*VLOOKUP('Données projet'!$B$10,Paramètres!$A$1:$I$89,3,0)*0.475*44/12</f>
        <v>5.5227940046155494E-3</v>
      </c>
      <c r="AX60" s="23">
        <f t="shared" si="6"/>
        <v>73.622318259188248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-5.6843418860808015E-14</v>
      </c>
      <c r="BE60" s="14">
        <f>BD60*VLOOKUP('Données projet'!$B$11,Paramètres!$A$1:$I$89,3,0)*VLOOKUP('Données projet'!$B$11,Paramètres!$A$1:$I$89,5,0)</f>
        <v>-5.1431925385259088E-14</v>
      </c>
      <c r="BF60" s="14" t="e">
        <f t="shared" si="37"/>
        <v>#NUM!</v>
      </c>
      <c r="BG60" s="22" t="e">
        <f t="shared" si="7"/>
        <v>#NUM!</v>
      </c>
      <c r="BH60" s="62" t="e">
        <f t="shared" si="8"/>
        <v>#NUM!</v>
      </c>
      <c r="BI60" s="62">
        <f ca="1">AVERAGE(OFFSET($BH$3,0,0,'Données projet'!$E$11+1,1))-AVERAGE(OFFSET($H$3,0,0,'Données projet'!$E$11+1,1))</f>
        <v>366.86025470473652</v>
      </c>
      <c r="BJ60" s="62">
        <f t="shared" si="38"/>
        <v>513.80016421153414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1.2854980181646227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1.2854980181646227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187.13674266165236</v>
      </c>
      <c r="T61" s="62">
        <f t="shared" si="34"/>
        <v>439.28159165815276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50.312357423863055</v>
      </c>
      <c r="AA61" s="23">
        <f>EXP(-LN(2)/25)*AA60+(1-EXP(-LN(2)/25))/(LN(2)/25)*Calculateur!V61*Calculateur!X61*VLOOKUP('Données projet'!$B$9,Paramètres!$A$1:$I$89,3,0)*0.475*44/12</f>
        <v>21.688366930725127</v>
      </c>
      <c r="AB61" s="23">
        <f>EXP(-LN(2)/2)*AB60+(1-EXP(-LN(2)/2))/(LN(2)/2)*V61*Y61*VLOOKUP('Données projet'!$B$9,Paramètres!$A$1:$I$89,3,0)*0.475*44/12</f>
        <v>3.9052050917600641E-3</v>
      </c>
      <c r="AC61" s="24">
        <f t="shared" si="3"/>
        <v>72.004629559679941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1.1368683772161603E-13</v>
      </c>
      <c r="AJ61" s="14">
        <f>AI61*VLOOKUP('Données projet'!$B$10,Paramètres!$A$1:$I$89,3,0)*VLOOKUP('Données projet'!$B$10,Paramètres!$A$1:$I$89,5,0)</f>
        <v>6.7984728957526396E-14</v>
      </c>
      <c r="AK61" s="14">
        <f t="shared" si="35"/>
        <v>1.0682447123141398E-12</v>
      </c>
      <c r="AL61" s="22">
        <f t="shared" si="4"/>
        <v>1.978932943548152E-12</v>
      </c>
      <c r="AM61" s="62">
        <f t="shared" si="5"/>
        <v>293.3333333333353</v>
      </c>
      <c r="AN61" s="62">
        <f ca="1">AVERAGE(OFFSET($AM$3,0,0,'Données projet'!$E$10+1,1))-AVERAGE(OFFSET($H$3,0,0,'Données projet'!$E$10+1,1))</f>
        <v>187.13674266165236</v>
      </c>
      <c r="AO61" s="62">
        <f t="shared" si="36"/>
        <v>439.28159165815276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50.312357423863055</v>
      </c>
      <c r="AV61" s="23">
        <f>EXP(-LN(2)/25)*AV60+(1-EXP(-LN(2)/25))/(LN(2)/25)*Calculateur!AQ61*Calculateur!AS61*VLOOKUP('Données projet'!$B$10,Paramètres!$A$1:$I$89,3,0)*0.475*44/12</f>
        <v>21.688366930725127</v>
      </c>
      <c r="AW61" s="23">
        <f>EXP(-LN(2)/2)*AW60+(1-EXP(-LN(2)/2))/(LN(2)/2)*AQ61*AT61*VLOOKUP('Données projet'!$B$10,Paramètres!$A$1:$I$89,3,0)*0.475*44/12</f>
        <v>3.9052050917600641E-3</v>
      </c>
      <c r="AX61" s="23">
        <f t="shared" si="6"/>
        <v>72.004629559679941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-5.6843418860808015E-14</v>
      </c>
      <c r="BE61" s="14">
        <f>BD61*VLOOKUP('Données projet'!$B$11,Paramètres!$A$1:$I$89,3,0)*VLOOKUP('Données projet'!$B$11,Paramètres!$A$1:$I$89,5,0)</f>
        <v>-5.1431925385259088E-14</v>
      </c>
      <c r="BF61" s="14" t="e">
        <f t="shared" si="37"/>
        <v>#NUM!</v>
      </c>
      <c r="BG61" s="22" t="e">
        <f t="shared" si="7"/>
        <v>#NUM!</v>
      </c>
      <c r="BH61" s="62" t="e">
        <f t="shared" si="8"/>
        <v>#NUM!</v>
      </c>
      <c r="BI61" s="62">
        <f ca="1">AVERAGE(OFFSET($BH$3,0,0,'Données projet'!$E$11+1,1))-AVERAGE(OFFSET($H$3,0,0,'Données projet'!$E$11+1,1))</f>
        <v>366.86025470473652</v>
      </c>
      <c r="BJ61" s="62">
        <f t="shared" si="38"/>
        <v>513.80016421153414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1.2602901861047844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1.2602901861047844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187.13674266165236</v>
      </c>
      <c r="T62" s="62">
        <f t="shared" si="34"/>
        <v>439.28159165815276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49.32576278228899</v>
      </c>
      <c r="AA62" s="23">
        <f>EXP(-LN(2)/25)*AA61+(1-EXP(-LN(2)/25))/(LN(2)/25)*Calculateur!V62*Calculateur!X62*VLOOKUP('Données projet'!$B$9,Paramètres!$A$1:$I$89,3,0)*0.475*44/12</f>
        <v>21.095297396462801</v>
      </c>
      <c r="AB62" s="23">
        <f>EXP(-LN(2)/2)*AB61+(1-EXP(-LN(2)/2))/(LN(2)/2)*V62*Y62*VLOOKUP('Données projet'!$B$9,Paramètres!$A$1:$I$89,3,0)*0.475*44/12</f>
        <v>2.7613970023077751E-3</v>
      </c>
      <c r="AC62" s="24">
        <f t="shared" si="3"/>
        <v>70.42382157575409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1.1368683772161603E-13</v>
      </c>
      <c r="AJ62" s="14">
        <f>AI62*VLOOKUP('Données projet'!$B$10,Paramètres!$A$1:$I$89,3,0)*VLOOKUP('Données projet'!$B$10,Paramètres!$A$1:$I$89,5,0)</f>
        <v>6.7984728957526396E-14</v>
      </c>
      <c r="AK62" s="14">
        <f t="shared" si="35"/>
        <v>1.0682447123141398E-12</v>
      </c>
      <c r="AL62" s="22">
        <f t="shared" si="4"/>
        <v>1.978932943548152E-12</v>
      </c>
      <c r="AM62" s="62">
        <f t="shared" si="5"/>
        <v>293.3333333333353</v>
      </c>
      <c r="AN62" s="62">
        <f ca="1">AVERAGE(OFFSET($AM$3,0,0,'Données projet'!$E$10+1,1))-AVERAGE(OFFSET($H$3,0,0,'Données projet'!$E$10+1,1))</f>
        <v>187.13674266165236</v>
      </c>
      <c r="AO62" s="62">
        <f t="shared" si="36"/>
        <v>439.28159165815276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49.32576278228899</v>
      </c>
      <c r="AV62" s="23">
        <f>EXP(-LN(2)/25)*AV61+(1-EXP(-LN(2)/25))/(LN(2)/25)*Calculateur!AQ62*Calculateur!AS62*VLOOKUP('Données projet'!$B$10,Paramètres!$A$1:$I$89,3,0)*0.475*44/12</f>
        <v>21.095297396462801</v>
      </c>
      <c r="AW62" s="23">
        <f>EXP(-LN(2)/2)*AW61+(1-EXP(-LN(2)/2))/(LN(2)/2)*AQ62*AT62*VLOOKUP('Données projet'!$B$10,Paramètres!$A$1:$I$89,3,0)*0.475*44/12</f>
        <v>2.7613970023077751E-3</v>
      </c>
      <c r="AX62" s="23">
        <f t="shared" si="6"/>
        <v>70.42382157575409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-5.6843418860808015E-14</v>
      </c>
      <c r="BE62" s="14">
        <f>BD62*VLOOKUP('Données projet'!$B$11,Paramètres!$A$1:$I$89,3,0)*VLOOKUP('Données projet'!$B$11,Paramètres!$A$1:$I$89,5,0)</f>
        <v>-5.1431925385259088E-14</v>
      </c>
      <c r="BF62" s="14" t="e">
        <f t="shared" si="37"/>
        <v>#NUM!</v>
      </c>
      <c r="BG62" s="22" t="e">
        <f t="shared" si="7"/>
        <v>#NUM!</v>
      </c>
      <c r="BH62" s="62" t="e">
        <f t="shared" si="8"/>
        <v>#NUM!</v>
      </c>
      <c r="BI62" s="62">
        <f ca="1">AVERAGE(OFFSET($BH$3,0,0,'Données projet'!$E$11+1,1))-AVERAGE(OFFSET($H$3,0,0,'Données projet'!$E$11+1,1))</f>
        <v>366.86025470473652</v>
      </c>
      <c r="BJ62" s="62">
        <f t="shared" si="38"/>
        <v>513.80016421153414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1.2355766642563801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1.2355766642563801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187.13674266165236</v>
      </c>
      <c r="T63" s="62">
        <f t="shared" si="34"/>
        <v>439.28159165815276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48.358514659872881</v>
      </c>
      <c r="AA63" s="23">
        <f>EXP(-LN(2)/25)*AA62+(1-EXP(-LN(2)/25))/(LN(2)/25)*Calculateur!V63*Calculateur!X63*VLOOKUP('Données projet'!$B$9,Paramètres!$A$1:$I$89,3,0)*0.475*44/12</f>
        <v>20.518445379803051</v>
      </c>
      <c r="AB63" s="23">
        <f>EXP(-LN(2)/2)*AB62+(1-EXP(-LN(2)/2))/(LN(2)/2)*V63*Y63*VLOOKUP('Données projet'!$B$9,Paramètres!$A$1:$I$89,3,0)*0.475*44/12</f>
        <v>1.9526025458800323E-3</v>
      </c>
      <c r="AC63" s="24">
        <f t="shared" si="3"/>
        <v>68.87891264222182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1.1368683772161603E-13</v>
      </c>
      <c r="AJ63" s="14">
        <f>AI63*VLOOKUP('Données projet'!$B$10,Paramètres!$A$1:$I$89,3,0)*VLOOKUP('Données projet'!$B$10,Paramètres!$A$1:$I$89,5,0)</f>
        <v>6.7984728957526396E-14</v>
      </c>
      <c r="AK63" s="14">
        <f t="shared" si="35"/>
        <v>1.0682447123141398E-12</v>
      </c>
      <c r="AL63" s="22">
        <f t="shared" si="4"/>
        <v>1.978932943548152E-12</v>
      </c>
      <c r="AM63" s="62">
        <f t="shared" si="5"/>
        <v>293.3333333333353</v>
      </c>
      <c r="AN63" s="62">
        <f ca="1">AVERAGE(OFFSET($AM$3,0,0,'Données projet'!$E$10+1,1))-AVERAGE(OFFSET($H$3,0,0,'Données projet'!$E$10+1,1))</f>
        <v>187.13674266165236</v>
      </c>
      <c r="AO63" s="62">
        <f t="shared" si="36"/>
        <v>439.28159165815276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48.358514659872881</v>
      </c>
      <c r="AV63" s="23">
        <f>EXP(-LN(2)/25)*AV62+(1-EXP(-LN(2)/25))/(LN(2)/25)*Calculateur!AQ63*Calculateur!AS63*VLOOKUP('Données projet'!$B$10,Paramètres!$A$1:$I$89,3,0)*0.475*44/12</f>
        <v>20.518445379803051</v>
      </c>
      <c r="AW63" s="23">
        <f>EXP(-LN(2)/2)*AW62+(1-EXP(-LN(2)/2))/(LN(2)/2)*AQ63*AT63*VLOOKUP('Données projet'!$B$10,Paramètres!$A$1:$I$89,3,0)*0.475*44/12</f>
        <v>1.9526025458800323E-3</v>
      </c>
      <c r="AX63" s="23">
        <f t="shared" si="6"/>
        <v>68.87891264222182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-5.6843418860808015E-14</v>
      </c>
      <c r="BE63" s="14">
        <f>BD63*VLOOKUP('Données projet'!$B$11,Paramètres!$A$1:$I$89,3,0)*VLOOKUP('Données projet'!$B$11,Paramètres!$A$1:$I$89,5,0)</f>
        <v>-5.1431925385259088E-14</v>
      </c>
      <c r="BF63" s="14" t="e">
        <f t="shared" si="37"/>
        <v>#NUM!</v>
      </c>
      <c r="BG63" s="22" t="e">
        <f t="shared" si="7"/>
        <v>#NUM!</v>
      </c>
      <c r="BH63" s="62" t="e">
        <f t="shared" si="8"/>
        <v>#NUM!</v>
      </c>
      <c r="BI63" s="62">
        <f ca="1">AVERAGE(OFFSET($BH$3,0,0,'Données projet'!$E$11+1,1))-AVERAGE(OFFSET($H$3,0,0,'Données projet'!$E$11+1,1))</f>
        <v>366.86025470473652</v>
      </c>
      <c r="BJ63" s="62">
        <f t="shared" si="38"/>
        <v>513.80016421153414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1.2113477594976632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1.2113477594976632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187.13674266165236</v>
      </c>
      <c r="T64" s="62">
        <f t="shared" si="34"/>
        <v>439.28159165815276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47.410233683174248</v>
      </c>
      <c r="AA64" s="23">
        <f>EXP(-LN(2)/25)*AA63+(1-EXP(-LN(2)/25))/(LN(2)/25)*Calculateur!V64*Calculateur!X64*VLOOKUP('Données projet'!$B$9,Paramètres!$A$1:$I$89,3,0)*0.475*44/12</f>
        <v>19.957367411874191</v>
      </c>
      <c r="AB64" s="23">
        <f>EXP(-LN(2)/2)*AB63+(1-EXP(-LN(2)/2))/(LN(2)/2)*V64*Y64*VLOOKUP('Données projet'!$B$9,Paramètres!$A$1:$I$89,3,0)*0.475*44/12</f>
        <v>1.3806985011538878E-3</v>
      </c>
      <c r="AC64" s="24">
        <f t="shared" si="3"/>
        <v>67.368981793549594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1.1368683772161603E-13</v>
      </c>
      <c r="AJ64" s="14">
        <f>AI64*VLOOKUP('Données projet'!$B$10,Paramètres!$A$1:$I$89,3,0)*VLOOKUP('Données projet'!$B$10,Paramètres!$A$1:$I$89,5,0)</f>
        <v>6.7984728957526396E-14</v>
      </c>
      <c r="AK64" s="14">
        <f t="shared" si="35"/>
        <v>1.0682447123141398E-12</v>
      </c>
      <c r="AL64" s="22">
        <f t="shared" si="4"/>
        <v>1.978932943548152E-12</v>
      </c>
      <c r="AM64" s="62">
        <f t="shared" si="5"/>
        <v>293.3333333333353</v>
      </c>
      <c r="AN64" s="62">
        <f ca="1">AVERAGE(OFFSET($AM$3,0,0,'Données projet'!$E$10+1,1))-AVERAGE(OFFSET($H$3,0,0,'Données projet'!$E$10+1,1))</f>
        <v>187.13674266165236</v>
      </c>
      <c r="AO64" s="62">
        <f t="shared" si="36"/>
        <v>439.28159165815276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47.410233683174248</v>
      </c>
      <c r="AV64" s="23">
        <f>EXP(-LN(2)/25)*AV63+(1-EXP(-LN(2)/25))/(LN(2)/25)*Calculateur!AQ64*Calculateur!AS64*VLOOKUP('Données projet'!$B$10,Paramètres!$A$1:$I$89,3,0)*0.475*44/12</f>
        <v>19.957367411874191</v>
      </c>
      <c r="AW64" s="23">
        <f>EXP(-LN(2)/2)*AW63+(1-EXP(-LN(2)/2))/(LN(2)/2)*AQ64*AT64*VLOOKUP('Données projet'!$B$10,Paramètres!$A$1:$I$89,3,0)*0.475*44/12</f>
        <v>1.3806985011538878E-3</v>
      </c>
      <c r="AX64" s="23">
        <f t="shared" si="6"/>
        <v>67.368981793549594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-5.6843418860808015E-14</v>
      </c>
      <c r="BE64" s="14">
        <f>BD64*VLOOKUP('Données projet'!$B$11,Paramètres!$A$1:$I$89,3,0)*VLOOKUP('Données projet'!$B$11,Paramètres!$A$1:$I$89,5,0)</f>
        <v>-5.1431925385259088E-14</v>
      </c>
      <c r="BF64" s="14" t="e">
        <f t="shared" si="37"/>
        <v>#NUM!</v>
      </c>
      <c r="BG64" s="22" t="e">
        <f t="shared" si="7"/>
        <v>#NUM!</v>
      </c>
      <c r="BH64" s="62" t="e">
        <f t="shared" si="8"/>
        <v>#NUM!</v>
      </c>
      <c r="BI64" s="62">
        <f ca="1">AVERAGE(OFFSET($BH$3,0,0,'Données projet'!$E$11+1,1))-AVERAGE(OFFSET($H$3,0,0,'Données projet'!$E$11+1,1))</f>
        <v>366.86025470473652</v>
      </c>
      <c r="BJ64" s="62">
        <f t="shared" si="38"/>
        <v>513.80016421153414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1.1875939687830919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1.1875939687830919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187.13674266165236</v>
      </c>
      <c r="T65" s="62">
        <f t="shared" si="34"/>
        <v>439.28159165815276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46.480547918034389</v>
      </c>
      <c r="AA65" s="23">
        <f>EXP(-LN(2)/25)*AA64+(1-EXP(-LN(2)/25))/(LN(2)/25)*Calculateur!V65*Calculateur!X65*VLOOKUP('Données projet'!$B$9,Paramètres!$A$1:$I$89,3,0)*0.475*44/12</f>
        <v>19.411632150484152</v>
      </c>
      <c r="AB65" s="23">
        <f>EXP(-LN(2)/2)*AB64+(1-EXP(-LN(2)/2))/(LN(2)/2)*V65*Y65*VLOOKUP('Données projet'!$B$9,Paramètres!$A$1:$I$89,3,0)*0.475*44/12</f>
        <v>9.7630127294001635E-4</v>
      </c>
      <c r="AC65" s="24">
        <f t="shared" si="3"/>
        <v>65.893156369791484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1.1368683772161603E-13</v>
      </c>
      <c r="AJ65" s="14">
        <f>AI65*VLOOKUP('Données projet'!$B$10,Paramètres!$A$1:$I$89,3,0)*VLOOKUP('Données projet'!$B$10,Paramètres!$A$1:$I$89,5,0)</f>
        <v>6.7984728957526396E-14</v>
      </c>
      <c r="AK65" s="14">
        <f t="shared" si="35"/>
        <v>1.0682447123141398E-12</v>
      </c>
      <c r="AL65" s="22">
        <f t="shared" si="4"/>
        <v>1.978932943548152E-12</v>
      </c>
      <c r="AM65" s="62">
        <f t="shared" si="5"/>
        <v>293.3333333333353</v>
      </c>
      <c r="AN65" s="62">
        <f ca="1">AVERAGE(OFFSET($AM$3,0,0,'Données projet'!$E$10+1,1))-AVERAGE(OFFSET($H$3,0,0,'Données projet'!$E$10+1,1))</f>
        <v>187.13674266165236</v>
      </c>
      <c r="AO65" s="62">
        <f t="shared" si="36"/>
        <v>439.28159165815276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46.480547918034389</v>
      </c>
      <c r="AV65" s="23">
        <f>EXP(-LN(2)/25)*AV64+(1-EXP(-LN(2)/25))/(LN(2)/25)*Calculateur!AQ65*Calculateur!AS65*VLOOKUP('Données projet'!$B$10,Paramètres!$A$1:$I$89,3,0)*0.475*44/12</f>
        <v>19.411632150484152</v>
      </c>
      <c r="AW65" s="23">
        <f>EXP(-LN(2)/2)*AW64+(1-EXP(-LN(2)/2))/(LN(2)/2)*AQ65*AT65*VLOOKUP('Données projet'!$B$10,Paramètres!$A$1:$I$89,3,0)*0.475*44/12</f>
        <v>9.7630127294001635E-4</v>
      </c>
      <c r="AX65" s="23">
        <f t="shared" si="6"/>
        <v>65.893156369791484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-5.6843418860808015E-14</v>
      </c>
      <c r="BE65" s="14">
        <f>BD65*VLOOKUP('Données projet'!$B$11,Paramètres!$A$1:$I$89,3,0)*VLOOKUP('Données projet'!$B$11,Paramètres!$A$1:$I$89,5,0)</f>
        <v>-5.1431925385259088E-14</v>
      </c>
      <c r="BF65" s="14" t="e">
        <f t="shared" si="37"/>
        <v>#NUM!</v>
      </c>
      <c r="BG65" s="22" t="e">
        <f t="shared" si="7"/>
        <v>#NUM!</v>
      </c>
      <c r="BH65" s="62" t="e">
        <f t="shared" si="8"/>
        <v>#NUM!</v>
      </c>
      <c r="BI65" s="62">
        <f ca="1">AVERAGE(OFFSET($BH$3,0,0,'Données projet'!$E$11+1,1))-AVERAGE(OFFSET($H$3,0,0,'Données projet'!$E$11+1,1))</f>
        <v>366.86025470473652</v>
      </c>
      <c r="BJ65" s="62">
        <f t="shared" si="38"/>
        <v>513.80016421153414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1.1643059754160516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1.1643059754160516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187.13674266165236</v>
      </c>
      <c r="T66" s="62">
        <f t="shared" si="34"/>
        <v>439.28159165815276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45.569092723696599</v>
      </c>
      <c r="AA66" s="23">
        <f>EXP(-LN(2)/25)*AA65+(1-EXP(-LN(2)/25))/(LN(2)/25)*Calculateur!V66*Calculateur!X66*VLOOKUP('Données projet'!$B$9,Paramètres!$A$1:$I$89,3,0)*0.475*44/12</f>
        <v>18.880820048515794</v>
      </c>
      <c r="AB66" s="23">
        <f>EXP(-LN(2)/2)*AB65+(1-EXP(-LN(2)/2))/(LN(2)/2)*V66*Y66*VLOOKUP('Données projet'!$B$9,Paramètres!$A$1:$I$89,3,0)*0.475*44/12</f>
        <v>6.90349250576944E-4</v>
      </c>
      <c r="AC66" s="24">
        <f t="shared" si="3"/>
        <v>64.450603121462976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1.1368683772161603E-13</v>
      </c>
      <c r="AJ66" s="14">
        <f>AI66*VLOOKUP('Données projet'!$B$10,Paramètres!$A$1:$I$89,3,0)*VLOOKUP('Données projet'!$B$10,Paramètres!$A$1:$I$89,5,0)</f>
        <v>6.7984728957526396E-14</v>
      </c>
      <c r="AK66" s="14">
        <f t="shared" si="35"/>
        <v>1.0682447123141398E-12</v>
      </c>
      <c r="AL66" s="22">
        <f t="shared" si="4"/>
        <v>1.978932943548152E-12</v>
      </c>
      <c r="AM66" s="62">
        <f t="shared" si="5"/>
        <v>293.3333333333353</v>
      </c>
      <c r="AN66" s="62">
        <f ca="1">AVERAGE(OFFSET($AM$3,0,0,'Données projet'!$E$10+1,1))-AVERAGE(OFFSET($H$3,0,0,'Données projet'!$E$10+1,1))</f>
        <v>187.13674266165236</v>
      </c>
      <c r="AO66" s="62">
        <f t="shared" si="36"/>
        <v>439.28159165815276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45.569092723696599</v>
      </c>
      <c r="AV66" s="23">
        <f>EXP(-LN(2)/25)*AV65+(1-EXP(-LN(2)/25))/(LN(2)/25)*Calculateur!AQ66*Calculateur!AS66*VLOOKUP('Données projet'!$B$10,Paramètres!$A$1:$I$89,3,0)*0.475*44/12</f>
        <v>18.880820048515794</v>
      </c>
      <c r="AW66" s="23">
        <f>EXP(-LN(2)/2)*AW65+(1-EXP(-LN(2)/2))/(LN(2)/2)*AQ66*AT66*VLOOKUP('Données projet'!$B$10,Paramètres!$A$1:$I$89,3,0)*0.475*44/12</f>
        <v>6.90349250576944E-4</v>
      </c>
      <c r="AX66" s="23">
        <f t="shared" si="6"/>
        <v>64.450603121462976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-5.6843418860808015E-14</v>
      </c>
      <c r="BE66" s="14">
        <f>BD66*VLOOKUP('Données projet'!$B$11,Paramètres!$A$1:$I$89,3,0)*VLOOKUP('Données projet'!$B$11,Paramètres!$A$1:$I$89,5,0)</f>
        <v>-5.1431925385259088E-14</v>
      </c>
      <c r="BF66" s="14" t="e">
        <f t="shared" si="37"/>
        <v>#NUM!</v>
      </c>
      <c r="BG66" s="22" t="e">
        <f t="shared" si="7"/>
        <v>#NUM!</v>
      </c>
      <c r="BH66" s="62" t="e">
        <f t="shared" si="8"/>
        <v>#NUM!</v>
      </c>
      <c r="BI66" s="62">
        <f ca="1">AVERAGE(OFFSET($BH$3,0,0,'Données projet'!$E$11+1,1))-AVERAGE(OFFSET($H$3,0,0,'Données projet'!$E$11+1,1))</f>
        <v>366.86025470473652</v>
      </c>
      <c r="BJ66" s="62">
        <f t="shared" si="38"/>
        <v>513.80016421153414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1.1414746453946658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1.1414746453946658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187.13674266165236</v>
      </c>
      <c r="T67" s="62">
        <f t="shared" si="34"/>
        <v>439.28159165815276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44.675510609787004</v>
      </c>
      <c r="AA67" s="23">
        <f>EXP(-LN(2)/25)*AA66+(1-EXP(-LN(2)/25))/(LN(2)/25)*Calculateur!V67*Calculateur!X67*VLOOKUP('Données projet'!$B$9,Paramètres!$A$1:$I$89,3,0)*0.475*44/12</f>
        <v>18.364523031389957</v>
      </c>
      <c r="AB67" s="23">
        <f>EXP(-LN(2)/2)*AB66+(1-EXP(-LN(2)/2))/(LN(2)/2)*V67*Y67*VLOOKUP('Données projet'!$B$9,Paramètres!$A$1:$I$89,3,0)*0.475*44/12</f>
        <v>4.8815063647000823E-4</v>
      </c>
      <c r="AC67" s="24">
        <f t="shared" si="3"/>
        <v>63.040521791813433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1.1368683772161603E-13</v>
      </c>
      <c r="AJ67" s="14">
        <f>AI67*VLOOKUP('Données projet'!$B$10,Paramètres!$A$1:$I$89,3,0)*VLOOKUP('Données projet'!$B$10,Paramètres!$A$1:$I$89,5,0)</f>
        <v>6.7984728957526396E-14</v>
      </c>
      <c r="AK67" s="14">
        <f t="shared" si="35"/>
        <v>1.0682447123141398E-12</v>
      </c>
      <c r="AL67" s="22">
        <f t="shared" si="4"/>
        <v>1.978932943548152E-12</v>
      </c>
      <c r="AM67" s="62">
        <f t="shared" si="5"/>
        <v>293.3333333333353</v>
      </c>
      <c r="AN67" s="62">
        <f ca="1">AVERAGE(OFFSET($AM$3,0,0,'Données projet'!$E$10+1,1))-AVERAGE(OFFSET($H$3,0,0,'Données projet'!$E$10+1,1))</f>
        <v>187.13674266165236</v>
      </c>
      <c r="AO67" s="62">
        <f t="shared" si="36"/>
        <v>439.28159165815276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44.675510609787004</v>
      </c>
      <c r="AV67" s="23">
        <f>EXP(-LN(2)/25)*AV66+(1-EXP(-LN(2)/25))/(LN(2)/25)*Calculateur!AQ67*Calculateur!AS67*VLOOKUP('Données projet'!$B$10,Paramètres!$A$1:$I$89,3,0)*0.475*44/12</f>
        <v>18.364523031389957</v>
      </c>
      <c r="AW67" s="23">
        <f>EXP(-LN(2)/2)*AW66+(1-EXP(-LN(2)/2))/(LN(2)/2)*AQ67*AT67*VLOOKUP('Données projet'!$B$10,Paramètres!$A$1:$I$89,3,0)*0.475*44/12</f>
        <v>4.8815063647000823E-4</v>
      </c>
      <c r="AX67" s="23">
        <f t="shared" si="6"/>
        <v>63.040521791813433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-5.6843418860808015E-14</v>
      </c>
      <c r="BE67" s="14">
        <f>BD67*VLOOKUP('Données projet'!$B$11,Paramètres!$A$1:$I$89,3,0)*VLOOKUP('Données projet'!$B$11,Paramètres!$A$1:$I$89,5,0)</f>
        <v>-5.1431925385259088E-14</v>
      </c>
      <c r="BF67" s="14" t="e">
        <f t="shared" si="37"/>
        <v>#NUM!</v>
      </c>
      <c r="BG67" s="22" t="e">
        <f t="shared" si="7"/>
        <v>#NUM!</v>
      </c>
      <c r="BH67" s="62" t="e">
        <f t="shared" si="8"/>
        <v>#NUM!</v>
      </c>
      <c r="BI67" s="62">
        <f ca="1">AVERAGE(OFFSET($BH$3,0,0,'Données projet'!$E$11+1,1))-AVERAGE(OFFSET($H$3,0,0,'Données projet'!$E$11+1,1))</f>
        <v>366.86025470473652</v>
      </c>
      <c r="BJ67" s="62">
        <f t="shared" si="38"/>
        <v>513.80016421153414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1.1190910238292631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1.1190910238292631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187.13674266165236</v>
      </c>
      <c r="T68" s="62">
        <f t="shared" si="34"/>
        <v>439.28159165815276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43.799451096099901</v>
      </c>
      <c r="AA68" s="23">
        <f>EXP(-LN(2)/25)*AA67+(1-EXP(-LN(2)/25))/(LN(2)/25)*Calculateur!V68*Calculateur!X68*VLOOKUP('Données projet'!$B$9,Paramètres!$A$1:$I$89,3,0)*0.475*44/12</f>
        <v>17.862344183348306</v>
      </c>
      <c r="AB68" s="23">
        <f>EXP(-LN(2)/2)*AB67+(1-EXP(-LN(2)/2))/(LN(2)/2)*V68*Y68*VLOOKUP('Données projet'!$B$9,Paramètres!$A$1:$I$89,3,0)*0.475*44/12</f>
        <v>3.4517462528847205E-4</v>
      </c>
      <c r="AC68" s="24">
        <f t="shared" ref="AC68:AC131" si="57">SUM(Z68:AB68)</f>
        <v>61.662140454073494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1.1368683772161603E-13</v>
      </c>
      <c r="AJ68" s="14">
        <f>AI68*VLOOKUP('Données projet'!$B$10,Paramètres!$A$1:$I$89,3,0)*VLOOKUP('Données projet'!$B$10,Paramètres!$A$1:$I$89,5,0)</f>
        <v>6.7984728957526396E-14</v>
      </c>
      <c r="AK68" s="14">
        <f t="shared" si="35"/>
        <v>1.0682447123141398E-12</v>
      </c>
      <c r="AL68" s="22">
        <f t="shared" ref="AL68:AL131" si="58">(AJ68+AK68)*0.475*44/12</f>
        <v>1.978932943548152E-12</v>
      </c>
      <c r="AM68" s="62">
        <f t="shared" ref="AM68:AM131" si="59">AL68+(AD68+AE68)*44/12</f>
        <v>293.3333333333353</v>
      </c>
      <c r="AN68" s="62">
        <f ca="1">AVERAGE(OFFSET($AM$3,0,0,'Données projet'!$E$10+1,1))-AVERAGE(OFFSET($H$3,0,0,'Données projet'!$E$10+1,1))</f>
        <v>187.13674266165236</v>
      </c>
      <c r="AO68" s="62">
        <f t="shared" si="36"/>
        <v>439.28159165815276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43.799451096099901</v>
      </c>
      <c r="AV68" s="23">
        <f>EXP(-LN(2)/25)*AV67+(1-EXP(-LN(2)/25))/(LN(2)/25)*Calculateur!AQ68*Calculateur!AS68*VLOOKUP('Données projet'!$B$10,Paramètres!$A$1:$I$89,3,0)*0.475*44/12</f>
        <v>17.862344183348306</v>
      </c>
      <c r="AW68" s="23">
        <f>EXP(-LN(2)/2)*AW67+(1-EXP(-LN(2)/2))/(LN(2)/2)*AQ68*AT68*VLOOKUP('Données projet'!$B$10,Paramètres!$A$1:$I$89,3,0)*0.475*44/12</f>
        <v>3.4517462528847205E-4</v>
      </c>
      <c r="AX68" s="23">
        <f t="shared" ref="AX68:AX131" si="60">SUM(AU68:AW68)</f>
        <v>61.662140454073494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-5.6843418860808015E-14</v>
      </c>
      <c r="BE68" s="14">
        <f>BD68*VLOOKUP('Données projet'!$B$11,Paramètres!$A$1:$I$89,3,0)*VLOOKUP('Données projet'!$B$11,Paramètres!$A$1:$I$89,5,0)</f>
        <v>-5.1431925385259088E-14</v>
      </c>
      <c r="BF68" s="14" t="e">
        <f t="shared" si="37"/>
        <v>#NUM!</v>
      </c>
      <c r="BG68" s="22" t="e">
        <f t="shared" ref="BG68:BG131" si="61">(BE68+BF68)*0.475*44/12</f>
        <v>#NUM!</v>
      </c>
      <c r="BH68" s="62" t="e">
        <f t="shared" ref="BH68:BH131" si="62">BG68+(AY68+AZ68)*44/12</f>
        <v>#NUM!</v>
      </c>
      <c r="BI68" s="62">
        <f ca="1">AVERAGE(OFFSET($BH$3,0,0,'Données projet'!$E$11+1,1))-AVERAGE(OFFSET($H$3,0,0,'Données projet'!$E$11+1,1))</f>
        <v>366.86025470473652</v>
      </c>
      <c r="BJ68" s="62">
        <f t="shared" si="38"/>
        <v>513.80016421153414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1.0971463314300967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1.0971463314300967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187.13674266165236</v>
      </c>
      <c r="T69" s="62">
        <f t="shared" ref="T69:T132" si="88">$T$3</f>
        <v>439.28159165815276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42.940570575132661</v>
      </c>
      <c r="AA69" s="23">
        <f>EXP(-LN(2)/25)*AA68+(1-EXP(-LN(2)/25))/(LN(2)/25)*Calculateur!V69*Calculateur!X69*VLOOKUP('Données projet'!$B$9,Paramètres!$A$1:$I$89,3,0)*0.475*44/12</f>
        <v>17.373897442314792</v>
      </c>
      <c r="AB69" s="23">
        <f>EXP(-LN(2)/2)*AB68+(1-EXP(-LN(2)/2))/(LN(2)/2)*V69*Y69*VLOOKUP('Données projet'!$B$9,Paramètres!$A$1:$I$89,3,0)*0.475*44/12</f>
        <v>2.4407531823500417E-4</v>
      </c>
      <c r="AC69" s="24">
        <f t="shared" si="57"/>
        <v>60.314712092765689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1.1368683772161603E-13</v>
      </c>
      <c r="AJ69" s="14">
        <f>AI69*VLOOKUP('Données projet'!$B$10,Paramètres!$A$1:$I$89,3,0)*VLOOKUP('Données projet'!$B$10,Paramètres!$A$1:$I$89,5,0)</f>
        <v>6.7984728957526396E-14</v>
      </c>
      <c r="AK69" s="14">
        <f t="shared" ref="AK69:AK132" si="89">EXP(-1.0587+0.8836*LN(AJ69)+0.284)</f>
        <v>1.0682447123141398E-12</v>
      </c>
      <c r="AL69" s="22">
        <f t="shared" si="58"/>
        <v>1.978932943548152E-12</v>
      </c>
      <c r="AM69" s="62">
        <f t="shared" si="59"/>
        <v>293.3333333333353</v>
      </c>
      <c r="AN69" s="62">
        <f ca="1">AVERAGE(OFFSET($AM$3,0,0,'Données projet'!$E$10+1,1))-AVERAGE(OFFSET($H$3,0,0,'Données projet'!$E$10+1,1))</f>
        <v>187.13674266165236</v>
      </c>
      <c r="AO69" s="62">
        <f t="shared" ref="AO69:AO132" si="90">$AO$3</f>
        <v>439.28159165815276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42.940570575132661</v>
      </c>
      <c r="AV69" s="23">
        <f>EXP(-LN(2)/25)*AV68+(1-EXP(-LN(2)/25))/(LN(2)/25)*Calculateur!AQ69*Calculateur!AS69*VLOOKUP('Données projet'!$B$10,Paramètres!$A$1:$I$89,3,0)*0.475*44/12</f>
        <v>17.373897442314792</v>
      </c>
      <c r="AW69" s="23">
        <f>EXP(-LN(2)/2)*AW68+(1-EXP(-LN(2)/2))/(LN(2)/2)*AQ69*AT69*VLOOKUP('Données projet'!$B$10,Paramètres!$A$1:$I$89,3,0)*0.475*44/12</f>
        <v>2.4407531823500417E-4</v>
      </c>
      <c r="AX69" s="23">
        <f t="shared" si="60"/>
        <v>60.314712092765689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-5.6843418860808015E-14</v>
      </c>
      <c r="BE69" s="14">
        <f>BD69*VLOOKUP('Données projet'!$B$11,Paramètres!$A$1:$I$89,3,0)*VLOOKUP('Données projet'!$B$11,Paramètres!$A$1:$I$89,5,0)</f>
        <v>-5.1431925385259088E-14</v>
      </c>
      <c r="BF69" s="14" t="e">
        <f t="shared" ref="BF69:BF132" si="91">EXP(-1.0587+0.8836*LN(BE69)+0.284)</f>
        <v>#NUM!</v>
      </c>
      <c r="BG69" s="22" t="e">
        <f t="shared" si="61"/>
        <v>#NUM!</v>
      </c>
      <c r="BH69" s="62" t="e">
        <f t="shared" si="62"/>
        <v>#NUM!</v>
      </c>
      <c r="BI69" s="62">
        <f ca="1">AVERAGE(OFFSET($BH$3,0,0,'Données projet'!$E$11+1,1))-AVERAGE(OFFSET($H$3,0,0,'Données projet'!$E$11+1,1))</f>
        <v>366.86025470473652</v>
      </c>
      <c r="BJ69" s="62">
        <f t="shared" ref="BJ69:BJ132" si="92">$BJ$3</f>
        <v>513.80016421153414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1.0756319610639373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1.0756319610639373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187.13674266165236</v>
      </c>
      <c r="T70" s="62">
        <f t="shared" si="88"/>
        <v>439.28159165815276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42.098532177316194</v>
      </c>
      <c r="AA70" s="23">
        <f>EXP(-LN(2)/25)*AA69+(1-EXP(-LN(2)/25))/(LN(2)/25)*Calculateur!V70*Calculateur!X70*VLOOKUP('Données projet'!$B$9,Paramètres!$A$1:$I$89,3,0)*0.475*44/12</f>
        <v>16.898807303101137</v>
      </c>
      <c r="AB70" s="23">
        <f>EXP(-LN(2)/2)*AB69+(1-EXP(-LN(2)/2))/(LN(2)/2)*V70*Y70*VLOOKUP('Données projet'!$B$9,Paramètres!$A$1:$I$89,3,0)*0.475*44/12</f>
        <v>1.7258731264423605E-4</v>
      </c>
      <c r="AC70" s="24">
        <f t="shared" si="57"/>
        <v>58.997512067729978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1.1368683772161603E-13</v>
      </c>
      <c r="AJ70" s="14">
        <f>AI70*VLOOKUP('Données projet'!$B$10,Paramètres!$A$1:$I$89,3,0)*VLOOKUP('Données projet'!$B$10,Paramètres!$A$1:$I$89,5,0)</f>
        <v>6.7984728957526396E-14</v>
      </c>
      <c r="AK70" s="14">
        <f t="shared" si="89"/>
        <v>1.0682447123141398E-12</v>
      </c>
      <c r="AL70" s="22">
        <f t="shared" si="58"/>
        <v>1.978932943548152E-12</v>
      </c>
      <c r="AM70" s="62">
        <f t="shared" si="59"/>
        <v>293.3333333333353</v>
      </c>
      <c r="AN70" s="62">
        <f ca="1">AVERAGE(OFFSET($AM$3,0,0,'Données projet'!$E$10+1,1))-AVERAGE(OFFSET($H$3,0,0,'Données projet'!$E$10+1,1))</f>
        <v>187.13674266165236</v>
      </c>
      <c r="AO70" s="62">
        <f t="shared" si="90"/>
        <v>439.28159165815276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42.098532177316194</v>
      </c>
      <c r="AV70" s="23">
        <f>EXP(-LN(2)/25)*AV69+(1-EXP(-LN(2)/25))/(LN(2)/25)*Calculateur!AQ70*Calculateur!AS70*VLOOKUP('Données projet'!$B$10,Paramètres!$A$1:$I$89,3,0)*0.475*44/12</f>
        <v>16.898807303101137</v>
      </c>
      <c r="AW70" s="23">
        <f>EXP(-LN(2)/2)*AW69+(1-EXP(-LN(2)/2))/(LN(2)/2)*AQ70*AT70*VLOOKUP('Données projet'!$B$10,Paramètres!$A$1:$I$89,3,0)*0.475*44/12</f>
        <v>1.7258731264423605E-4</v>
      </c>
      <c r="AX70" s="23">
        <f t="shared" si="60"/>
        <v>58.997512067729978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-5.6843418860808015E-14</v>
      </c>
      <c r="BE70" s="14">
        <f>BD70*VLOOKUP('Données projet'!$B$11,Paramètres!$A$1:$I$89,3,0)*VLOOKUP('Données projet'!$B$11,Paramètres!$A$1:$I$89,5,0)</f>
        <v>-5.1431925385259088E-14</v>
      </c>
      <c r="BF70" s="14" t="e">
        <f t="shared" si="91"/>
        <v>#NUM!</v>
      </c>
      <c r="BG70" s="22" t="e">
        <f t="shared" si="61"/>
        <v>#NUM!</v>
      </c>
      <c r="BH70" s="62" t="e">
        <f t="shared" si="62"/>
        <v>#NUM!</v>
      </c>
      <c r="BI70" s="62">
        <f ca="1">AVERAGE(OFFSET($BH$3,0,0,'Données projet'!$E$11+1,1))-AVERAGE(OFFSET($H$3,0,0,'Données projet'!$E$11+1,1))</f>
        <v>366.86025470473652</v>
      </c>
      <c r="BJ70" s="62">
        <f t="shared" si="92"/>
        <v>513.80016421153414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1.0545394743781882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1.0545394743781882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187.13674266165236</v>
      </c>
      <c r="T71" s="62">
        <f t="shared" si="88"/>
        <v>439.28159165815276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41.273005638888201</v>
      </c>
      <c r="AA71" s="23">
        <f>EXP(-LN(2)/25)*AA70+(1-EXP(-LN(2)/25))/(LN(2)/25)*Calculateur!V71*Calculateur!X71*VLOOKUP('Données projet'!$B$9,Paramètres!$A$1:$I$89,3,0)*0.475*44/12</f>
        <v>16.436708528728182</v>
      </c>
      <c r="AB71" s="23">
        <f>EXP(-LN(2)/2)*AB70+(1-EXP(-LN(2)/2))/(LN(2)/2)*V71*Y71*VLOOKUP('Données projet'!$B$9,Paramètres!$A$1:$I$89,3,0)*0.475*44/12</f>
        <v>1.220376591175021E-4</v>
      </c>
      <c r="AC71" s="24">
        <f t="shared" si="57"/>
        <v>57.709836205275501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1.1368683772161603E-13</v>
      </c>
      <c r="AJ71" s="14">
        <f>AI71*VLOOKUP('Données projet'!$B$10,Paramètres!$A$1:$I$89,3,0)*VLOOKUP('Données projet'!$B$10,Paramètres!$A$1:$I$89,5,0)</f>
        <v>6.7984728957526396E-14</v>
      </c>
      <c r="AK71" s="14">
        <f t="shared" si="89"/>
        <v>1.0682447123141398E-12</v>
      </c>
      <c r="AL71" s="22">
        <f t="shared" si="58"/>
        <v>1.978932943548152E-12</v>
      </c>
      <c r="AM71" s="62">
        <f t="shared" si="59"/>
        <v>293.3333333333353</v>
      </c>
      <c r="AN71" s="62">
        <f ca="1">AVERAGE(OFFSET($AM$3,0,0,'Données projet'!$E$10+1,1))-AVERAGE(OFFSET($H$3,0,0,'Données projet'!$E$10+1,1))</f>
        <v>187.13674266165236</v>
      </c>
      <c r="AO71" s="62">
        <f t="shared" si="90"/>
        <v>439.28159165815276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41.273005638888201</v>
      </c>
      <c r="AV71" s="23">
        <f>EXP(-LN(2)/25)*AV70+(1-EXP(-LN(2)/25))/(LN(2)/25)*Calculateur!AQ71*Calculateur!AS71*VLOOKUP('Données projet'!$B$10,Paramètres!$A$1:$I$89,3,0)*0.475*44/12</f>
        <v>16.436708528728182</v>
      </c>
      <c r="AW71" s="23">
        <f>EXP(-LN(2)/2)*AW70+(1-EXP(-LN(2)/2))/(LN(2)/2)*AQ71*AT71*VLOOKUP('Données projet'!$B$10,Paramètres!$A$1:$I$89,3,0)*0.475*44/12</f>
        <v>1.220376591175021E-4</v>
      </c>
      <c r="AX71" s="23">
        <f t="shared" si="60"/>
        <v>57.709836205275501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-5.6843418860808015E-14</v>
      </c>
      <c r="BE71" s="14">
        <f>BD71*VLOOKUP('Données projet'!$B$11,Paramètres!$A$1:$I$89,3,0)*VLOOKUP('Données projet'!$B$11,Paramètres!$A$1:$I$89,5,0)</f>
        <v>-5.1431925385259088E-14</v>
      </c>
      <c r="BF71" s="14" t="e">
        <f t="shared" si="91"/>
        <v>#NUM!</v>
      </c>
      <c r="BG71" s="22" t="e">
        <f t="shared" si="61"/>
        <v>#NUM!</v>
      </c>
      <c r="BH71" s="62" t="e">
        <f t="shared" si="62"/>
        <v>#NUM!</v>
      </c>
      <c r="BI71" s="62">
        <f ca="1">AVERAGE(OFFSET($BH$3,0,0,'Données projet'!$E$11+1,1))-AVERAGE(OFFSET($H$3,0,0,'Données projet'!$E$11+1,1))</f>
        <v>366.86025470473652</v>
      </c>
      <c r="BJ71" s="62">
        <f t="shared" si="92"/>
        <v>513.80016421153414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1.0338605984911999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1.0338605984911999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187.13674266165236</v>
      </c>
      <c r="T72" s="62">
        <f t="shared" si="88"/>
        <v>439.28159165815276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40.463667172357312</v>
      </c>
      <c r="AA72" s="23">
        <f>EXP(-LN(2)/25)*AA71+(1-EXP(-LN(2)/25))/(LN(2)/25)*Calculateur!V72*Calculateur!X72*VLOOKUP('Données projet'!$B$9,Paramètres!$A$1:$I$89,3,0)*0.475*44/12</f>
        <v>15.987245869641175</v>
      </c>
      <c r="AB72" s="23">
        <f>EXP(-LN(2)/2)*AB71+(1-EXP(-LN(2)/2))/(LN(2)/2)*V72*Y72*VLOOKUP('Données projet'!$B$9,Paramètres!$A$1:$I$89,3,0)*0.475*44/12</f>
        <v>8.6293656322118041E-5</v>
      </c>
      <c r="AC72" s="24">
        <f t="shared" si="57"/>
        <v>56.450999335654814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1.1368683772161603E-13</v>
      </c>
      <c r="AJ72" s="14">
        <f>AI72*VLOOKUP('Données projet'!$B$10,Paramètres!$A$1:$I$89,3,0)*VLOOKUP('Données projet'!$B$10,Paramètres!$A$1:$I$89,5,0)</f>
        <v>6.7984728957526396E-14</v>
      </c>
      <c r="AK72" s="14">
        <f t="shared" si="89"/>
        <v>1.0682447123141398E-12</v>
      </c>
      <c r="AL72" s="22">
        <f t="shared" si="58"/>
        <v>1.978932943548152E-12</v>
      </c>
      <c r="AM72" s="62">
        <f t="shared" si="59"/>
        <v>293.3333333333353</v>
      </c>
      <c r="AN72" s="62">
        <f ca="1">AVERAGE(OFFSET($AM$3,0,0,'Données projet'!$E$10+1,1))-AVERAGE(OFFSET($H$3,0,0,'Données projet'!$E$10+1,1))</f>
        <v>187.13674266165236</v>
      </c>
      <c r="AO72" s="62">
        <f t="shared" si="90"/>
        <v>439.28159165815276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40.463667172357312</v>
      </c>
      <c r="AV72" s="23">
        <f>EXP(-LN(2)/25)*AV71+(1-EXP(-LN(2)/25))/(LN(2)/25)*Calculateur!AQ72*Calculateur!AS72*VLOOKUP('Données projet'!$B$10,Paramètres!$A$1:$I$89,3,0)*0.475*44/12</f>
        <v>15.987245869641175</v>
      </c>
      <c r="AW72" s="23">
        <f>EXP(-LN(2)/2)*AW71+(1-EXP(-LN(2)/2))/(LN(2)/2)*AQ72*AT72*VLOOKUP('Données projet'!$B$10,Paramètres!$A$1:$I$89,3,0)*0.475*44/12</f>
        <v>8.6293656322118041E-5</v>
      </c>
      <c r="AX72" s="23">
        <f t="shared" si="60"/>
        <v>56.450999335654814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-5.6843418860808015E-14</v>
      </c>
      <c r="BE72" s="14">
        <f>BD72*VLOOKUP('Données projet'!$B$11,Paramètres!$A$1:$I$89,3,0)*VLOOKUP('Données projet'!$B$11,Paramètres!$A$1:$I$89,5,0)</f>
        <v>-5.1431925385259088E-14</v>
      </c>
      <c r="BF72" s="14" t="e">
        <f t="shared" si="91"/>
        <v>#NUM!</v>
      </c>
      <c r="BG72" s="22" t="e">
        <f t="shared" si="61"/>
        <v>#NUM!</v>
      </c>
      <c r="BH72" s="62" t="e">
        <f t="shared" si="62"/>
        <v>#NUM!</v>
      </c>
      <c r="BI72" s="62">
        <f ca="1">AVERAGE(OFFSET($BH$3,0,0,'Données projet'!$E$11+1,1))-AVERAGE(OFFSET($H$3,0,0,'Données projet'!$E$11+1,1))</f>
        <v>366.86025470473652</v>
      </c>
      <c r="BJ72" s="62">
        <f t="shared" si="92"/>
        <v>513.80016421153414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1.0135872227474867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1.0135872227474867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187.13674266165236</v>
      </c>
      <c r="T73" s="62">
        <f t="shared" si="88"/>
        <v>439.28159165815276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39.67019933950737</v>
      </c>
      <c r="AA73" s="23">
        <f>EXP(-LN(2)/25)*AA72+(1-EXP(-LN(2)/25))/(LN(2)/25)*Calculateur!V73*Calculateur!X73*VLOOKUP('Données projet'!$B$9,Paramètres!$A$1:$I$89,3,0)*0.475*44/12</f>
        <v>15.550073790603117</v>
      </c>
      <c r="AB73" s="23">
        <f>EXP(-LN(2)/2)*AB72+(1-EXP(-LN(2)/2))/(LN(2)/2)*V73*Y73*VLOOKUP('Données projet'!$B$9,Paramètres!$A$1:$I$89,3,0)*0.475*44/12</f>
        <v>6.1018829558751056E-5</v>
      </c>
      <c r="AC73" s="24">
        <f t="shared" si="57"/>
        <v>55.22033414894004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1.1368683772161603E-13</v>
      </c>
      <c r="AJ73" s="14">
        <f>AI73*VLOOKUP('Données projet'!$B$10,Paramètres!$A$1:$I$89,3,0)*VLOOKUP('Données projet'!$B$10,Paramètres!$A$1:$I$89,5,0)</f>
        <v>6.7984728957526396E-14</v>
      </c>
      <c r="AK73" s="14">
        <f t="shared" si="89"/>
        <v>1.0682447123141398E-12</v>
      </c>
      <c r="AL73" s="22">
        <f t="shared" si="58"/>
        <v>1.978932943548152E-12</v>
      </c>
      <c r="AM73" s="62">
        <f t="shared" si="59"/>
        <v>293.3333333333353</v>
      </c>
      <c r="AN73" s="62">
        <f ca="1">AVERAGE(OFFSET($AM$3,0,0,'Données projet'!$E$10+1,1))-AVERAGE(OFFSET($H$3,0,0,'Données projet'!$E$10+1,1))</f>
        <v>187.13674266165236</v>
      </c>
      <c r="AO73" s="62">
        <f t="shared" si="90"/>
        <v>439.28159165815276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39.67019933950737</v>
      </c>
      <c r="AV73" s="23">
        <f>EXP(-LN(2)/25)*AV72+(1-EXP(-LN(2)/25))/(LN(2)/25)*Calculateur!AQ73*Calculateur!AS73*VLOOKUP('Données projet'!$B$10,Paramètres!$A$1:$I$89,3,0)*0.475*44/12</f>
        <v>15.550073790603117</v>
      </c>
      <c r="AW73" s="23">
        <f>EXP(-LN(2)/2)*AW72+(1-EXP(-LN(2)/2))/(LN(2)/2)*AQ73*AT73*VLOOKUP('Données projet'!$B$10,Paramètres!$A$1:$I$89,3,0)*0.475*44/12</f>
        <v>6.1018829558751056E-5</v>
      </c>
      <c r="AX73" s="23">
        <f t="shared" si="60"/>
        <v>55.22033414894004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-5.6843418860808015E-14</v>
      </c>
      <c r="BE73" s="14">
        <f>BD73*VLOOKUP('Données projet'!$B$11,Paramètres!$A$1:$I$89,3,0)*VLOOKUP('Données projet'!$B$11,Paramètres!$A$1:$I$89,5,0)</f>
        <v>-5.1431925385259088E-14</v>
      </c>
      <c r="BF73" s="14" t="e">
        <f t="shared" si="91"/>
        <v>#NUM!</v>
      </c>
      <c r="BG73" s="22" t="e">
        <f t="shared" si="61"/>
        <v>#NUM!</v>
      </c>
      <c r="BH73" s="62" t="e">
        <f t="shared" si="62"/>
        <v>#NUM!</v>
      </c>
      <c r="BI73" s="62">
        <f ca="1">AVERAGE(OFFSET($BH$3,0,0,'Données projet'!$E$11+1,1))-AVERAGE(OFFSET($H$3,0,0,'Données projet'!$E$11+1,1))</f>
        <v>366.86025470473652</v>
      </c>
      <c r="BJ73" s="62">
        <f t="shared" si="92"/>
        <v>513.80016421153414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0.99371139553656951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0.99371139553656951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187.13674266165236</v>
      </c>
      <c r="T74" s="62">
        <f t="shared" si="88"/>
        <v>439.28159165815276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38.892290926892031</v>
      </c>
      <c r="AA74" s="23">
        <f>EXP(-LN(2)/25)*AA73+(1-EXP(-LN(2)/25))/(LN(2)/25)*Calculateur!V74*Calculateur!X74*VLOOKUP('Données projet'!$B$9,Paramètres!$A$1:$I$89,3,0)*0.475*44/12</f>
        <v>15.124856205056235</v>
      </c>
      <c r="AB74" s="23">
        <f>EXP(-LN(2)/2)*AB73+(1-EXP(-LN(2)/2))/(LN(2)/2)*V74*Y74*VLOOKUP('Données projet'!$B$9,Paramètres!$A$1:$I$89,3,0)*0.475*44/12</f>
        <v>4.3146828161059027E-5</v>
      </c>
      <c r="AC74" s="24">
        <f t="shared" si="57"/>
        <v>54.017190278776425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1.1368683772161603E-13</v>
      </c>
      <c r="AJ74" s="14">
        <f>AI74*VLOOKUP('Données projet'!$B$10,Paramètres!$A$1:$I$89,3,0)*VLOOKUP('Données projet'!$B$10,Paramètres!$A$1:$I$89,5,0)</f>
        <v>6.7984728957526396E-14</v>
      </c>
      <c r="AK74" s="14">
        <f t="shared" si="89"/>
        <v>1.0682447123141398E-12</v>
      </c>
      <c r="AL74" s="22">
        <f t="shared" si="58"/>
        <v>1.978932943548152E-12</v>
      </c>
      <c r="AM74" s="62">
        <f t="shared" si="59"/>
        <v>293.3333333333353</v>
      </c>
      <c r="AN74" s="62">
        <f ca="1">AVERAGE(OFFSET($AM$3,0,0,'Données projet'!$E$10+1,1))-AVERAGE(OFFSET($H$3,0,0,'Données projet'!$E$10+1,1))</f>
        <v>187.13674266165236</v>
      </c>
      <c r="AO74" s="62">
        <f t="shared" si="90"/>
        <v>439.28159165815276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38.892290926892031</v>
      </c>
      <c r="AV74" s="23">
        <f>EXP(-LN(2)/25)*AV73+(1-EXP(-LN(2)/25))/(LN(2)/25)*Calculateur!AQ74*Calculateur!AS74*VLOOKUP('Données projet'!$B$10,Paramètres!$A$1:$I$89,3,0)*0.475*44/12</f>
        <v>15.124856205056235</v>
      </c>
      <c r="AW74" s="23">
        <f>EXP(-LN(2)/2)*AW73+(1-EXP(-LN(2)/2))/(LN(2)/2)*AQ74*AT74*VLOOKUP('Données projet'!$B$10,Paramètres!$A$1:$I$89,3,0)*0.475*44/12</f>
        <v>4.3146828161059027E-5</v>
      </c>
      <c r="AX74" s="23">
        <f t="shared" si="60"/>
        <v>54.017190278776425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-5.6843418860808015E-14</v>
      </c>
      <c r="BE74" s="14">
        <f>BD74*VLOOKUP('Données projet'!$B$11,Paramètres!$A$1:$I$89,3,0)*VLOOKUP('Données projet'!$B$11,Paramètres!$A$1:$I$89,5,0)</f>
        <v>-5.1431925385259088E-14</v>
      </c>
      <c r="BF74" s="14" t="e">
        <f t="shared" si="91"/>
        <v>#NUM!</v>
      </c>
      <c r="BG74" s="22" t="e">
        <f t="shared" si="61"/>
        <v>#NUM!</v>
      </c>
      <c r="BH74" s="62" t="e">
        <f t="shared" si="62"/>
        <v>#NUM!</v>
      </c>
      <c r="BI74" s="62">
        <f ca="1">AVERAGE(OFFSET($BH$3,0,0,'Données projet'!$E$11+1,1))-AVERAGE(OFFSET($H$3,0,0,'Données projet'!$E$11+1,1))</f>
        <v>366.86025470473652</v>
      </c>
      <c r="BJ74" s="62">
        <f t="shared" si="92"/>
        <v>513.80016421153414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0.9742253211742008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0.9742253211742008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187.13674266165236</v>
      </c>
      <c r="T75" s="62">
        <f t="shared" si="88"/>
        <v>439.28159165815276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38.129636823770795</v>
      </c>
      <c r="AA75" s="23">
        <f>EXP(-LN(2)/25)*AA74+(1-EXP(-LN(2)/25))/(LN(2)/25)*Calculateur!V75*Calculateur!X75*VLOOKUP('Données projet'!$B$9,Paramètres!$A$1:$I$89,3,0)*0.475*44/12</f>
        <v>14.711266216747353</v>
      </c>
      <c r="AB75" s="23">
        <f>EXP(-LN(2)/2)*AB74+(1-EXP(-LN(2)/2))/(LN(2)/2)*V75*Y75*VLOOKUP('Données projet'!$B$9,Paramètres!$A$1:$I$89,3,0)*0.475*44/12</f>
        <v>3.0509414779375535E-5</v>
      </c>
      <c r="AC75" s="24">
        <f t="shared" si="57"/>
        <v>52.840933549932927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1.1368683772161603E-13</v>
      </c>
      <c r="AJ75" s="14">
        <f>AI75*VLOOKUP('Données projet'!$B$10,Paramètres!$A$1:$I$89,3,0)*VLOOKUP('Données projet'!$B$10,Paramètres!$A$1:$I$89,5,0)</f>
        <v>6.7984728957526396E-14</v>
      </c>
      <c r="AK75" s="14">
        <f t="shared" si="89"/>
        <v>1.0682447123141398E-12</v>
      </c>
      <c r="AL75" s="22">
        <f t="shared" si="58"/>
        <v>1.978932943548152E-12</v>
      </c>
      <c r="AM75" s="62">
        <f t="shared" si="59"/>
        <v>293.3333333333353</v>
      </c>
      <c r="AN75" s="62">
        <f ca="1">AVERAGE(OFFSET($AM$3,0,0,'Données projet'!$E$10+1,1))-AVERAGE(OFFSET($H$3,0,0,'Données projet'!$E$10+1,1))</f>
        <v>187.13674266165236</v>
      </c>
      <c r="AO75" s="62">
        <f t="shared" si="90"/>
        <v>439.28159165815276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38.129636823770795</v>
      </c>
      <c r="AV75" s="23">
        <f>EXP(-LN(2)/25)*AV74+(1-EXP(-LN(2)/25))/(LN(2)/25)*Calculateur!AQ75*Calculateur!AS75*VLOOKUP('Données projet'!$B$10,Paramètres!$A$1:$I$89,3,0)*0.475*44/12</f>
        <v>14.711266216747353</v>
      </c>
      <c r="AW75" s="23">
        <f>EXP(-LN(2)/2)*AW74+(1-EXP(-LN(2)/2))/(LN(2)/2)*AQ75*AT75*VLOOKUP('Données projet'!$B$10,Paramètres!$A$1:$I$89,3,0)*0.475*44/12</f>
        <v>3.0509414779375535E-5</v>
      </c>
      <c r="AX75" s="23">
        <f t="shared" si="60"/>
        <v>52.840933549932927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-5.6843418860808015E-14</v>
      </c>
      <c r="BE75" s="14">
        <f>BD75*VLOOKUP('Données projet'!$B$11,Paramètres!$A$1:$I$89,3,0)*VLOOKUP('Données projet'!$B$11,Paramètres!$A$1:$I$89,5,0)</f>
        <v>-5.1431925385259088E-14</v>
      </c>
      <c r="BF75" s="14" t="e">
        <f t="shared" si="91"/>
        <v>#NUM!</v>
      </c>
      <c r="BG75" s="22" t="e">
        <f t="shared" si="61"/>
        <v>#NUM!</v>
      </c>
      <c r="BH75" s="62" t="e">
        <f t="shared" si="62"/>
        <v>#NUM!</v>
      </c>
      <c r="BI75" s="62">
        <f ca="1">AVERAGE(OFFSET($BH$3,0,0,'Données projet'!$E$11+1,1))-AVERAGE(OFFSET($H$3,0,0,'Données projet'!$E$11+1,1))</f>
        <v>366.86025470473652</v>
      </c>
      <c r="BJ75" s="62">
        <f t="shared" si="92"/>
        <v>513.80016421153414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0.95512135684474642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0.95512135684474642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187.13674266165236</v>
      </c>
      <c r="T76" s="62">
        <f t="shared" si="88"/>
        <v>439.28159165815276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37.381937902438693</v>
      </c>
      <c r="AA76" s="23">
        <f>EXP(-LN(2)/25)*AA75+(1-EXP(-LN(2)/25))/(LN(2)/25)*Calculateur!V76*Calculateur!X76*VLOOKUP('Données projet'!$B$9,Paramètres!$A$1:$I$89,3,0)*0.475*44/12</f>
        <v>14.30898586841853</v>
      </c>
      <c r="AB76" s="23">
        <f>EXP(-LN(2)/2)*AB75+(1-EXP(-LN(2)/2))/(LN(2)/2)*V76*Y76*VLOOKUP('Données projet'!$B$9,Paramètres!$A$1:$I$89,3,0)*0.475*44/12</f>
        <v>2.1573414080529517E-5</v>
      </c>
      <c r="AC76" s="24">
        <f t="shared" si="57"/>
        <v>51.690945344271306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1.1368683772161603E-13</v>
      </c>
      <c r="AJ76" s="14">
        <f>AI76*VLOOKUP('Données projet'!$B$10,Paramètres!$A$1:$I$89,3,0)*VLOOKUP('Données projet'!$B$10,Paramètres!$A$1:$I$89,5,0)</f>
        <v>6.7984728957526396E-14</v>
      </c>
      <c r="AK76" s="14">
        <f t="shared" si="89"/>
        <v>1.0682447123141398E-12</v>
      </c>
      <c r="AL76" s="22">
        <f t="shared" si="58"/>
        <v>1.978932943548152E-12</v>
      </c>
      <c r="AM76" s="62">
        <f t="shared" si="59"/>
        <v>293.3333333333353</v>
      </c>
      <c r="AN76" s="62">
        <f ca="1">AVERAGE(OFFSET($AM$3,0,0,'Données projet'!$E$10+1,1))-AVERAGE(OFFSET($H$3,0,0,'Données projet'!$E$10+1,1))</f>
        <v>187.13674266165236</v>
      </c>
      <c r="AO76" s="62">
        <f t="shared" si="90"/>
        <v>439.28159165815276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37.381937902438693</v>
      </c>
      <c r="AV76" s="23">
        <f>EXP(-LN(2)/25)*AV75+(1-EXP(-LN(2)/25))/(LN(2)/25)*Calculateur!AQ76*Calculateur!AS76*VLOOKUP('Données projet'!$B$10,Paramètres!$A$1:$I$89,3,0)*0.475*44/12</f>
        <v>14.30898586841853</v>
      </c>
      <c r="AW76" s="23">
        <f>EXP(-LN(2)/2)*AW75+(1-EXP(-LN(2)/2))/(LN(2)/2)*AQ76*AT76*VLOOKUP('Données projet'!$B$10,Paramètres!$A$1:$I$89,3,0)*0.475*44/12</f>
        <v>2.1573414080529517E-5</v>
      </c>
      <c r="AX76" s="23">
        <f t="shared" si="60"/>
        <v>51.690945344271306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-5.6843418860808015E-14</v>
      </c>
      <c r="BE76" s="14">
        <f>BD76*VLOOKUP('Données projet'!$B$11,Paramètres!$A$1:$I$89,3,0)*VLOOKUP('Données projet'!$B$11,Paramètres!$A$1:$I$89,5,0)</f>
        <v>-5.1431925385259088E-14</v>
      </c>
      <c r="BF76" s="14" t="e">
        <f t="shared" si="91"/>
        <v>#NUM!</v>
      </c>
      <c r="BG76" s="22" t="e">
        <f t="shared" si="61"/>
        <v>#NUM!</v>
      </c>
      <c r="BH76" s="62" t="e">
        <f t="shared" si="62"/>
        <v>#NUM!</v>
      </c>
      <c r="BI76" s="62">
        <f ca="1">AVERAGE(OFFSET($BH$3,0,0,'Données projet'!$E$11+1,1))-AVERAGE(OFFSET($H$3,0,0,'Données projet'!$E$11+1,1))</f>
        <v>366.86025470473652</v>
      </c>
      <c r="BJ76" s="62">
        <f t="shared" si="92"/>
        <v>513.80016421153414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0.93639200960352498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0.93639200960352498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187.13674266165236</v>
      </c>
      <c r="T77" s="62">
        <f t="shared" si="88"/>
        <v>439.28159165815276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36.648900900902603</v>
      </c>
      <c r="AA77" s="23">
        <f>EXP(-LN(2)/25)*AA76+(1-EXP(-LN(2)/25))/(LN(2)/25)*Calculateur!V77*Calculateur!X77*VLOOKUP('Données projet'!$B$9,Paramètres!$A$1:$I$89,3,0)*0.475*44/12</f>
        <v>13.917705897369762</v>
      </c>
      <c r="AB77" s="23">
        <f>EXP(-LN(2)/2)*AB76+(1-EXP(-LN(2)/2))/(LN(2)/2)*V77*Y77*VLOOKUP('Données projet'!$B$9,Paramètres!$A$1:$I$89,3,0)*0.475*44/12</f>
        <v>1.5254707389687769E-5</v>
      </c>
      <c r="AC77" s="24">
        <f t="shared" si="57"/>
        <v>50.56662205297976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1.1368683772161603E-13</v>
      </c>
      <c r="AJ77" s="14">
        <f>AI77*VLOOKUP('Données projet'!$B$10,Paramètres!$A$1:$I$89,3,0)*VLOOKUP('Données projet'!$B$10,Paramètres!$A$1:$I$89,5,0)</f>
        <v>6.7984728957526396E-14</v>
      </c>
      <c r="AK77" s="14">
        <f t="shared" si="89"/>
        <v>1.0682447123141398E-12</v>
      </c>
      <c r="AL77" s="22">
        <f t="shared" si="58"/>
        <v>1.978932943548152E-12</v>
      </c>
      <c r="AM77" s="62">
        <f t="shared" si="59"/>
        <v>293.3333333333353</v>
      </c>
      <c r="AN77" s="62">
        <f ca="1">AVERAGE(OFFSET($AM$3,0,0,'Données projet'!$E$10+1,1))-AVERAGE(OFFSET($H$3,0,0,'Données projet'!$E$10+1,1))</f>
        <v>187.13674266165236</v>
      </c>
      <c r="AO77" s="62">
        <f t="shared" si="90"/>
        <v>439.28159165815276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36.648900900902603</v>
      </c>
      <c r="AV77" s="23">
        <f>EXP(-LN(2)/25)*AV76+(1-EXP(-LN(2)/25))/(LN(2)/25)*Calculateur!AQ77*Calculateur!AS77*VLOOKUP('Données projet'!$B$10,Paramètres!$A$1:$I$89,3,0)*0.475*44/12</f>
        <v>13.917705897369762</v>
      </c>
      <c r="AW77" s="23">
        <f>EXP(-LN(2)/2)*AW76+(1-EXP(-LN(2)/2))/(LN(2)/2)*AQ77*AT77*VLOOKUP('Données projet'!$B$10,Paramètres!$A$1:$I$89,3,0)*0.475*44/12</f>
        <v>1.5254707389687769E-5</v>
      </c>
      <c r="AX77" s="23">
        <f t="shared" si="60"/>
        <v>50.56662205297976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-5.6843418860808015E-14</v>
      </c>
      <c r="BE77" s="14">
        <f>BD77*VLOOKUP('Données projet'!$B$11,Paramètres!$A$1:$I$89,3,0)*VLOOKUP('Données projet'!$B$11,Paramètres!$A$1:$I$89,5,0)</f>
        <v>-5.1431925385259088E-14</v>
      </c>
      <c r="BF77" s="14" t="e">
        <f t="shared" si="91"/>
        <v>#NUM!</v>
      </c>
      <c r="BG77" s="22" t="e">
        <f t="shared" si="61"/>
        <v>#NUM!</v>
      </c>
      <c r="BH77" s="62" t="e">
        <f t="shared" si="62"/>
        <v>#NUM!</v>
      </c>
      <c r="BI77" s="62">
        <f ca="1">AVERAGE(OFFSET($BH$3,0,0,'Données projet'!$E$11+1,1))-AVERAGE(OFFSET($H$3,0,0,'Données projet'!$E$11+1,1))</f>
        <v>366.86025470473652</v>
      </c>
      <c r="BJ77" s="62">
        <f t="shared" si="92"/>
        <v>513.80016421153414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0.91802993343793005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0.91802993343793005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187.13674266165236</v>
      </c>
      <c r="T78" s="62">
        <f t="shared" si="88"/>
        <v>439.28159165815276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35.930238307858218</v>
      </c>
      <c r="AA78" s="23">
        <f>EXP(-LN(2)/25)*AA77+(1-EXP(-LN(2)/25))/(LN(2)/25)*Calculateur!V78*Calculateur!X78*VLOOKUP('Données projet'!$B$9,Paramètres!$A$1:$I$89,3,0)*0.475*44/12</f>
        <v>13.537125497705842</v>
      </c>
      <c r="AB78" s="23">
        <f>EXP(-LN(2)/2)*AB77+(1-EXP(-LN(2)/2))/(LN(2)/2)*V78*Y78*VLOOKUP('Données projet'!$B$9,Paramètres!$A$1:$I$89,3,0)*0.475*44/12</f>
        <v>1.078670704026476E-5</v>
      </c>
      <c r="AC78" s="24">
        <f t="shared" si="57"/>
        <v>49.467374592271099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1.1368683772161603E-13</v>
      </c>
      <c r="AJ78" s="14">
        <f>AI78*VLOOKUP('Données projet'!$B$10,Paramètres!$A$1:$I$89,3,0)*VLOOKUP('Données projet'!$B$10,Paramètres!$A$1:$I$89,5,0)</f>
        <v>6.7984728957526396E-14</v>
      </c>
      <c r="AK78" s="14">
        <f t="shared" si="89"/>
        <v>1.0682447123141398E-12</v>
      </c>
      <c r="AL78" s="22">
        <f t="shared" si="58"/>
        <v>1.978932943548152E-12</v>
      </c>
      <c r="AM78" s="62">
        <f t="shared" si="59"/>
        <v>293.3333333333353</v>
      </c>
      <c r="AN78" s="62">
        <f ca="1">AVERAGE(OFFSET($AM$3,0,0,'Données projet'!$E$10+1,1))-AVERAGE(OFFSET($H$3,0,0,'Données projet'!$E$10+1,1))</f>
        <v>187.13674266165236</v>
      </c>
      <c r="AO78" s="62">
        <f t="shared" si="90"/>
        <v>439.28159165815276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35.930238307858218</v>
      </c>
      <c r="AV78" s="23">
        <f>EXP(-LN(2)/25)*AV77+(1-EXP(-LN(2)/25))/(LN(2)/25)*Calculateur!AQ78*Calculateur!AS78*VLOOKUP('Données projet'!$B$10,Paramètres!$A$1:$I$89,3,0)*0.475*44/12</f>
        <v>13.537125497705842</v>
      </c>
      <c r="AW78" s="23">
        <f>EXP(-LN(2)/2)*AW77+(1-EXP(-LN(2)/2))/(LN(2)/2)*AQ78*AT78*VLOOKUP('Données projet'!$B$10,Paramètres!$A$1:$I$89,3,0)*0.475*44/12</f>
        <v>1.078670704026476E-5</v>
      </c>
      <c r="AX78" s="23">
        <f t="shared" si="60"/>
        <v>49.467374592271099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-5.6843418860808015E-14</v>
      </c>
      <c r="BE78" s="14">
        <f>BD78*VLOOKUP('Données projet'!$B$11,Paramètres!$A$1:$I$89,3,0)*VLOOKUP('Données projet'!$B$11,Paramètres!$A$1:$I$89,5,0)</f>
        <v>-5.1431925385259088E-14</v>
      </c>
      <c r="BF78" s="14" t="e">
        <f t="shared" si="91"/>
        <v>#NUM!</v>
      </c>
      <c r="BG78" s="22" t="e">
        <f t="shared" si="61"/>
        <v>#NUM!</v>
      </c>
      <c r="BH78" s="62" t="e">
        <f t="shared" si="62"/>
        <v>#NUM!</v>
      </c>
      <c r="BI78" s="62">
        <f ca="1">AVERAGE(OFFSET($BH$3,0,0,'Données projet'!$E$11+1,1))-AVERAGE(OFFSET($H$3,0,0,'Données projet'!$E$11+1,1))</f>
        <v>366.86025470473652</v>
      </c>
      <c r="BJ78" s="62">
        <f t="shared" si="92"/>
        <v>513.80016421153414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0.9000279263861819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0.9000279263861819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187.13674266165236</v>
      </c>
      <c r="T79" s="62">
        <f t="shared" si="88"/>
        <v>439.28159165815276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35.225668249922535</v>
      </c>
      <c r="AA79" s="23">
        <f>EXP(-LN(2)/25)*AA78+(1-EXP(-LN(2)/25))/(LN(2)/25)*Calculateur!V79*Calculateur!X79*VLOOKUP('Données projet'!$B$9,Paramètres!$A$1:$I$89,3,0)*0.475*44/12</f>
        <v>13.166952089084585</v>
      </c>
      <c r="AB79" s="23">
        <f>EXP(-LN(2)/2)*AB78+(1-EXP(-LN(2)/2))/(LN(2)/2)*V79*Y79*VLOOKUP('Données projet'!$B$9,Paramètres!$A$1:$I$89,3,0)*0.475*44/12</f>
        <v>7.6273536948438862E-6</v>
      </c>
      <c r="AC79" s="24">
        <f t="shared" si="57"/>
        <v>48.39262796636082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1.1368683772161603E-13</v>
      </c>
      <c r="AJ79" s="14">
        <f>AI79*VLOOKUP('Données projet'!$B$10,Paramètres!$A$1:$I$89,3,0)*VLOOKUP('Données projet'!$B$10,Paramètres!$A$1:$I$89,5,0)</f>
        <v>6.7984728957526396E-14</v>
      </c>
      <c r="AK79" s="14">
        <f t="shared" si="89"/>
        <v>1.0682447123141398E-12</v>
      </c>
      <c r="AL79" s="22">
        <f t="shared" si="58"/>
        <v>1.978932943548152E-12</v>
      </c>
      <c r="AM79" s="62">
        <f t="shared" si="59"/>
        <v>293.3333333333353</v>
      </c>
      <c r="AN79" s="62">
        <f ca="1">AVERAGE(OFFSET($AM$3,0,0,'Données projet'!$E$10+1,1))-AVERAGE(OFFSET($H$3,0,0,'Données projet'!$E$10+1,1))</f>
        <v>187.13674266165236</v>
      </c>
      <c r="AO79" s="62">
        <f t="shared" si="90"/>
        <v>439.28159165815276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35.225668249922535</v>
      </c>
      <c r="AV79" s="23">
        <f>EXP(-LN(2)/25)*AV78+(1-EXP(-LN(2)/25))/(LN(2)/25)*Calculateur!AQ79*Calculateur!AS79*VLOOKUP('Données projet'!$B$10,Paramètres!$A$1:$I$89,3,0)*0.475*44/12</f>
        <v>13.166952089084585</v>
      </c>
      <c r="AW79" s="23">
        <f>EXP(-LN(2)/2)*AW78+(1-EXP(-LN(2)/2))/(LN(2)/2)*AQ79*AT79*VLOOKUP('Données projet'!$B$10,Paramètres!$A$1:$I$89,3,0)*0.475*44/12</f>
        <v>7.6273536948438862E-6</v>
      </c>
      <c r="AX79" s="23">
        <f t="shared" si="60"/>
        <v>48.39262796636082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-5.6843418860808015E-14</v>
      </c>
      <c r="BE79" s="14">
        <f>BD79*VLOOKUP('Données projet'!$B$11,Paramètres!$A$1:$I$89,3,0)*VLOOKUP('Données projet'!$B$11,Paramètres!$A$1:$I$89,5,0)</f>
        <v>-5.1431925385259088E-14</v>
      </c>
      <c r="BF79" s="14" t="e">
        <f t="shared" si="91"/>
        <v>#NUM!</v>
      </c>
      <c r="BG79" s="22" t="e">
        <f t="shared" si="61"/>
        <v>#NUM!</v>
      </c>
      <c r="BH79" s="62" t="e">
        <f t="shared" si="62"/>
        <v>#NUM!</v>
      </c>
      <c r="BI79" s="62">
        <f ca="1">AVERAGE(OFFSET($BH$3,0,0,'Données projet'!$E$11+1,1))-AVERAGE(OFFSET($H$3,0,0,'Données projet'!$E$11+1,1))</f>
        <v>366.86025470473652</v>
      </c>
      <c r="BJ79" s="62">
        <f t="shared" si="92"/>
        <v>513.80016421153414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0.88237892771257842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0.88237892771257842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187.13674266165236</v>
      </c>
      <c r="T80" s="62">
        <f t="shared" si="88"/>
        <v>439.28159165815276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34.534914381077662</v>
      </c>
      <c r="AA80" s="23">
        <f>EXP(-LN(2)/25)*AA79+(1-EXP(-LN(2)/25))/(LN(2)/25)*Calculateur!V80*Calculateur!X80*VLOOKUP('Données projet'!$B$9,Paramètres!$A$1:$I$89,3,0)*0.475*44/12</f>
        <v>12.806901091788651</v>
      </c>
      <c r="AB80" s="23">
        <f>EXP(-LN(2)/2)*AB79+(1-EXP(-LN(2)/2))/(LN(2)/2)*V80*Y80*VLOOKUP('Données projet'!$B$9,Paramètres!$A$1:$I$89,3,0)*0.475*44/12</f>
        <v>5.3933535201323809E-6</v>
      </c>
      <c r="AC80" s="24">
        <f t="shared" si="57"/>
        <v>47.341820866219834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1.1368683772161603E-13</v>
      </c>
      <c r="AJ80" s="14">
        <f>AI80*VLOOKUP('Données projet'!$B$10,Paramètres!$A$1:$I$89,3,0)*VLOOKUP('Données projet'!$B$10,Paramètres!$A$1:$I$89,5,0)</f>
        <v>6.7984728957526396E-14</v>
      </c>
      <c r="AK80" s="14">
        <f t="shared" si="89"/>
        <v>1.0682447123141398E-12</v>
      </c>
      <c r="AL80" s="22">
        <f t="shared" si="58"/>
        <v>1.978932943548152E-12</v>
      </c>
      <c r="AM80" s="62">
        <f t="shared" si="59"/>
        <v>293.3333333333353</v>
      </c>
      <c r="AN80" s="62">
        <f ca="1">AVERAGE(OFFSET($AM$3,0,0,'Données projet'!$E$10+1,1))-AVERAGE(OFFSET($H$3,0,0,'Données projet'!$E$10+1,1))</f>
        <v>187.13674266165236</v>
      </c>
      <c r="AO80" s="62">
        <f t="shared" si="90"/>
        <v>439.28159165815276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34.534914381077662</v>
      </c>
      <c r="AV80" s="23">
        <f>EXP(-LN(2)/25)*AV79+(1-EXP(-LN(2)/25))/(LN(2)/25)*Calculateur!AQ80*Calculateur!AS80*VLOOKUP('Données projet'!$B$10,Paramètres!$A$1:$I$89,3,0)*0.475*44/12</f>
        <v>12.806901091788651</v>
      </c>
      <c r="AW80" s="23">
        <f>EXP(-LN(2)/2)*AW79+(1-EXP(-LN(2)/2))/(LN(2)/2)*AQ80*AT80*VLOOKUP('Données projet'!$B$10,Paramètres!$A$1:$I$89,3,0)*0.475*44/12</f>
        <v>5.3933535201323809E-6</v>
      </c>
      <c r="AX80" s="23">
        <f t="shared" si="60"/>
        <v>47.341820866219834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-5.6843418860808015E-14</v>
      </c>
      <c r="BE80" s="14">
        <f>BD80*VLOOKUP('Données projet'!$B$11,Paramètres!$A$1:$I$89,3,0)*VLOOKUP('Données projet'!$B$11,Paramètres!$A$1:$I$89,5,0)</f>
        <v>-5.1431925385259088E-14</v>
      </c>
      <c r="BF80" s="14" t="e">
        <f t="shared" si="91"/>
        <v>#NUM!</v>
      </c>
      <c r="BG80" s="22" t="e">
        <f t="shared" si="61"/>
        <v>#NUM!</v>
      </c>
      <c r="BH80" s="62" t="e">
        <f t="shared" si="62"/>
        <v>#NUM!</v>
      </c>
      <c r="BI80" s="62">
        <f ca="1">AVERAGE(OFFSET($BH$3,0,0,'Données projet'!$E$11+1,1))-AVERAGE(OFFSET($H$3,0,0,'Données projet'!$E$11+1,1))</f>
        <v>366.86025470473652</v>
      </c>
      <c r="BJ80" s="62">
        <f t="shared" si="92"/>
        <v>513.80016421153414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0.86507601513813803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0.86507601513813803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187.13674266165236</v>
      </c>
      <c r="T81" s="62">
        <f t="shared" si="88"/>
        <v>439.28159165815276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33.857705774282586</v>
      </c>
      <c r="AA81" s="23">
        <f>EXP(-LN(2)/25)*AA80+(1-EXP(-LN(2)/25))/(LN(2)/25)*Calculateur!V81*Calculateur!X81*VLOOKUP('Données projet'!$B$9,Paramètres!$A$1:$I$89,3,0)*0.475*44/12</f>
        <v>12.456695707948032</v>
      </c>
      <c r="AB81" s="23">
        <f>EXP(-LN(2)/2)*AB80+(1-EXP(-LN(2)/2))/(LN(2)/2)*V81*Y81*VLOOKUP('Données projet'!$B$9,Paramètres!$A$1:$I$89,3,0)*0.475*44/12</f>
        <v>3.8136768474219435E-6</v>
      </c>
      <c r="AC81" s="24">
        <f t="shared" si="57"/>
        <v>46.31440529590747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1.1368683772161603E-13</v>
      </c>
      <c r="AJ81" s="14">
        <f>AI81*VLOOKUP('Données projet'!$B$10,Paramètres!$A$1:$I$89,3,0)*VLOOKUP('Données projet'!$B$10,Paramètres!$A$1:$I$89,5,0)</f>
        <v>6.7984728957526396E-14</v>
      </c>
      <c r="AK81" s="14">
        <f t="shared" si="89"/>
        <v>1.0682447123141398E-12</v>
      </c>
      <c r="AL81" s="22">
        <f t="shared" si="58"/>
        <v>1.978932943548152E-12</v>
      </c>
      <c r="AM81" s="62">
        <f t="shared" si="59"/>
        <v>293.3333333333353</v>
      </c>
      <c r="AN81" s="62">
        <f ca="1">AVERAGE(OFFSET($AM$3,0,0,'Données projet'!$E$10+1,1))-AVERAGE(OFFSET($H$3,0,0,'Données projet'!$E$10+1,1))</f>
        <v>187.13674266165236</v>
      </c>
      <c r="AO81" s="62">
        <f t="shared" si="90"/>
        <v>439.28159165815276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33.857705774282586</v>
      </c>
      <c r="AV81" s="23">
        <f>EXP(-LN(2)/25)*AV80+(1-EXP(-LN(2)/25))/(LN(2)/25)*Calculateur!AQ81*Calculateur!AS81*VLOOKUP('Données projet'!$B$10,Paramètres!$A$1:$I$89,3,0)*0.475*44/12</f>
        <v>12.456695707948032</v>
      </c>
      <c r="AW81" s="23">
        <f>EXP(-LN(2)/2)*AW80+(1-EXP(-LN(2)/2))/(LN(2)/2)*AQ81*AT81*VLOOKUP('Données projet'!$B$10,Paramètres!$A$1:$I$89,3,0)*0.475*44/12</f>
        <v>3.8136768474219435E-6</v>
      </c>
      <c r="AX81" s="23">
        <f t="shared" si="60"/>
        <v>46.31440529590747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-5.6843418860808015E-14</v>
      </c>
      <c r="BE81" s="14">
        <f>BD81*VLOOKUP('Données projet'!$B$11,Paramètres!$A$1:$I$89,3,0)*VLOOKUP('Données projet'!$B$11,Paramètres!$A$1:$I$89,5,0)</f>
        <v>-5.1431925385259088E-14</v>
      </c>
      <c r="BF81" s="14" t="e">
        <f t="shared" si="91"/>
        <v>#NUM!</v>
      </c>
      <c r="BG81" s="22" t="e">
        <f t="shared" si="61"/>
        <v>#NUM!</v>
      </c>
      <c r="BH81" s="62" t="e">
        <f t="shared" si="62"/>
        <v>#NUM!</v>
      </c>
      <c r="BI81" s="62">
        <f ca="1">AVERAGE(OFFSET($BH$3,0,0,'Données projet'!$E$11+1,1))-AVERAGE(OFFSET($H$3,0,0,'Données projet'!$E$11+1,1))</f>
        <v>366.86025470473652</v>
      </c>
      <c r="BJ81" s="62">
        <f t="shared" si="92"/>
        <v>513.80016421153414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0.84811240212554784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0.84811240212554784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187.13674266165236</v>
      </c>
      <c r="T82" s="62">
        <f t="shared" si="88"/>
        <v>439.28159165815276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33.193776815210292</v>
      </c>
      <c r="AA82" s="23">
        <f>EXP(-LN(2)/25)*AA81+(1-EXP(-LN(2)/25))/(LN(2)/25)*Calculateur!V82*Calculateur!X82*VLOOKUP('Données projet'!$B$9,Paramètres!$A$1:$I$89,3,0)*0.475*44/12</f>
        <v>12.116066708745036</v>
      </c>
      <c r="AB82" s="23">
        <f>EXP(-LN(2)/2)*AB81+(1-EXP(-LN(2)/2))/(LN(2)/2)*V82*Y82*VLOOKUP('Données projet'!$B$9,Paramètres!$A$1:$I$89,3,0)*0.475*44/12</f>
        <v>2.6966767600661909E-6</v>
      </c>
      <c r="AC82" s="24">
        <f t="shared" si="57"/>
        <v>45.309846220632089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1.1368683772161603E-13</v>
      </c>
      <c r="AJ82" s="14">
        <f>AI82*VLOOKUP('Données projet'!$B$10,Paramètres!$A$1:$I$89,3,0)*VLOOKUP('Données projet'!$B$10,Paramètres!$A$1:$I$89,5,0)</f>
        <v>6.7984728957526396E-14</v>
      </c>
      <c r="AK82" s="14">
        <f t="shared" si="89"/>
        <v>1.0682447123141398E-12</v>
      </c>
      <c r="AL82" s="22">
        <f t="shared" si="58"/>
        <v>1.978932943548152E-12</v>
      </c>
      <c r="AM82" s="62">
        <f t="shared" si="59"/>
        <v>293.3333333333353</v>
      </c>
      <c r="AN82" s="62">
        <f ca="1">AVERAGE(OFFSET($AM$3,0,0,'Données projet'!$E$10+1,1))-AVERAGE(OFFSET($H$3,0,0,'Données projet'!$E$10+1,1))</f>
        <v>187.13674266165236</v>
      </c>
      <c r="AO82" s="62">
        <f t="shared" si="90"/>
        <v>439.28159165815276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33.193776815210292</v>
      </c>
      <c r="AV82" s="23">
        <f>EXP(-LN(2)/25)*AV81+(1-EXP(-LN(2)/25))/(LN(2)/25)*Calculateur!AQ82*Calculateur!AS82*VLOOKUP('Données projet'!$B$10,Paramètres!$A$1:$I$89,3,0)*0.475*44/12</f>
        <v>12.116066708745036</v>
      </c>
      <c r="AW82" s="23">
        <f>EXP(-LN(2)/2)*AW81+(1-EXP(-LN(2)/2))/(LN(2)/2)*AQ82*AT82*VLOOKUP('Données projet'!$B$10,Paramètres!$A$1:$I$89,3,0)*0.475*44/12</f>
        <v>2.6966767600661909E-6</v>
      </c>
      <c r="AX82" s="23">
        <f t="shared" si="60"/>
        <v>45.309846220632089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-5.6843418860808015E-14</v>
      </c>
      <c r="BE82" s="14">
        <f>BD82*VLOOKUP('Données projet'!$B$11,Paramètres!$A$1:$I$89,3,0)*VLOOKUP('Données projet'!$B$11,Paramètres!$A$1:$I$89,5,0)</f>
        <v>-5.1431925385259088E-14</v>
      </c>
      <c r="BF82" s="14" t="e">
        <f t="shared" si="91"/>
        <v>#NUM!</v>
      </c>
      <c r="BG82" s="22" t="e">
        <f t="shared" si="61"/>
        <v>#NUM!</v>
      </c>
      <c r="BH82" s="62" t="e">
        <f t="shared" si="62"/>
        <v>#NUM!</v>
      </c>
      <c r="BI82" s="62">
        <f ca="1">AVERAGE(OFFSET($BH$3,0,0,'Données projet'!$E$11+1,1))-AVERAGE(OFFSET($H$3,0,0,'Données projet'!$E$11+1,1))</f>
        <v>366.86025470473652</v>
      </c>
      <c r="BJ82" s="62">
        <f t="shared" si="92"/>
        <v>513.80016421153414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0.83148143521735229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0.83148143521735229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187.13674266165236</v>
      </c>
      <c r="T83" s="62">
        <f t="shared" si="88"/>
        <v>439.28159165815276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32.542867098068726</v>
      </c>
      <c r="AA83" s="23">
        <f>EXP(-LN(2)/25)*AA82+(1-EXP(-LN(2)/25))/(LN(2)/25)*Calculateur!V83*Calculateur!X83*VLOOKUP('Données projet'!$B$9,Paramètres!$A$1:$I$89,3,0)*0.475*44/12</f>
        <v>11.784752227438146</v>
      </c>
      <c r="AB83" s="23">
        <f>EXP(-LN(2)/2)*AB82+(1-EXP(-LN(2)/2))/(LN(2)/2)*V83*Y83*VLOOKUP('Données projet'!$B$9,Paramètres!$A$1:$I$89,3,0)*0.475*44/12</f>
        <v>1.9068384237109722E-6</v>
      </c>
      <c r="AC83" s="24">
        <f t="shared" si="57"/>
        <v>44.327621232345294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1.1368683772161603E-13</v>
      </c>
      <c r="AJ83" s="14">
        <f>AI83*VLOOKUP('Données projet'!$B$10,Paramètres!$A$1:$I$89,3,0)*VLOOKUP('Données projet'!$B$10,Paramètres!$A$1:$I$89,5,0)</f>
        <v>6.7984728957526396E-14</v>
      </c>
      <c r="AK83" s="14">
        <f t="shared" si="89"/>
        <v>1.0682447123141398E-12</v>
      </c>
      <c r="AL83" s="22">
        <f t="shared" si="58"/>
        <v>1.978932943548152E-12</v>
      </c>
      <c r="AM83" s="62">
        <f t="shared" si="59"/>
        <v>293.3333333333353</v>
      </c>
      <c r="AN83" s="62">
        <f ca="1">AVERAGE(OFFSET($AM$3,0,0,'Données projet'!$E$10+1,1))-AVERAGE(OFFSET($H$3,0,0,'Données projet'!$E$10+1,1))</f>
        <v>187.13674266165236</v>
      </c>
      <c r="AO83" s="62">
        <f t="shared" si="90"/>
        <v>439.28159165815276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32.542867098068726</v>
      </c>
      <c r="AV83" s="23">
        <f>EXP(-LN(2)/25)*AV82+(1-EXP(-LN(2)/25))/(LN(2)/25)*Calculateur!AQ83*Calculateur!AS83*VLOOKUP('Données projet'!$B$10,Paramètres!$A$1:$I$89,3,0)*0.475*44/12</f>
        <v>11.784752227438146</v>
      </c>
      <c r="AW83" s="23">
        <f>EXP(-LN(2)/2)*AW82+(1-EXP(-LN(2)/2))/(LN(2)/2)*AQ83*AT83*VLOOKUP('Données projet'!$B$10,Paramètres!$A$1:$I$89,3,0)*0.475*44/12</f>
        <v>1.9068384237109722E-6</v>
      </c>
      <c r="AX83" s="23">
        <f t="shared" si="60"/>
        <v>44.327621232345294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-5.6843418860808015E-14</v>
      </c>
      <c r="BE83" s="14">
        <f>BD83*VLOOKUP('Données projet'!$B$11,Paramètres!$A$1:$I$89,3,0)*VLOOKUP('Données projet'!$B$11,Paramètres!$A$1:$I$89,5,0)</f>
        <v>-5.1431925385259088E-14</v>
      </c>
      <c r="BF83" s="14" t="e">
        <f t="shared" si="91"/>
        <v>#NUM!</v>
      </c>
      <c r="BG83" s="22" t="e">
        <f t="shared" si="61"/>
        <v>#NUM!</v>
      </c>
      <c r="BH83" s="62" t="e">
        <f t="shared" si="62"/>
        <v>#NUM!</v>
      </c>
      <c r="BI83" s="62">
        <f ca="1">AVERAGE(OFFSET($BH$3,0,0,'Données projet'!$E$11+1,1))-AVERAGE(OFFSET($H$3,0,0,'Données projet'!$E$11+1,1))</f>
        <v>366.86025470473652</v>
      </c>
      <c r="BJ83" s="62">
        <f t="shared" si="92"/>
        <v>513.80016421153414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0.81517659142633825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0.81517659142633825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187.13674266165236</v>
      </c>
      <c r="T84" s="62">
        <f t="shared" si="88"/>
        <v>439.28159165815276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31.904721323464582</v>
      </c>
      <c r="AA84" s="23">
        <f>EXP(-LN(2)/25)*AA83+(1-EXP(-LN(2)/25))/(LN(2)/25)*Calculateur!V84*Calculateur!X84*VLOOKUP('Données projet'!$B$9,Paramètres!$A$1:$I$89,3,0)*0.475*44/12</f>
        <v>11.462497558045664</v>
      </c>
      <c r="AB84" s="23">
        <f>EXP(-LN(2)/2)*AB83+(1-EXP(-LN(2)/2))/(LN(2)/2)*V84*Y84*VLOOKUP('Données projet'!$B$9,Paramètres!$A$1:$I$89,3,0)*0.475*44/12</f>
        <v>1.3483383800330957E-6</v>
      </c>
      <c r="AC84" s="24">
        <f t="shared" si="57"/>
        <v>43.367220229848627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1.1368683772161603E-13</v>
      </c>
      <c r="AJ84" s="14">
        <f>AI84*VLOOKUP('Données projet'!$B$10,Paramètres!$A$1:$I$89,3,0)*VLOOKUP('Données projet'!$B$10,Paramètres!$A$1:$I$89,5,0)</f>
        <v>6.7984728957526396E-14</v>
      </c>
      <c r="AK84" s="14">
        <f t="shared" si="89"/>
        <v>1.0682447123141398E-12</v>
      </c>
      <c r="AL84" s="22">
        <f t="shared" si="58"/>
        <v>1.978932943548152E-12</v>
      </c>
      <c r="AM84" s="62">
        <f t="shared" si="59"/>
        <v>293.3333333333353</v>
      </c>
      <c r="AN84" s="62">
        <f ca="1">AVERAGE(OFFSET($AM$3,0,0,'Données projet'!$E$10+1,1))-AVERAGE(OFFSET($H$3,0,0,'Données projet'!$E$10+1,1))</f>
        <v>187.13674266165236</v>
      </c>
      <c r="AO84" s="62">
        <f t="shared" si="90"/>
        <v>439.28159165815276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31.904721323464582</v>
      </c>
      <c r="AV84" s="23">
        <f>EXP(-LN(2)/25)*AV83+(1-EXP(-LN(2)/25))/(LN(2)/25)*Calculateur!AQ84*Calculateur!AS84*VLOOKUP('Données projet'!$B$10,Paramètres!$A$1:$I$89,3,0)*0.475*44/12</f>
        <v>11.462497558045664</v>
      </c>
      <c r="AW84" s="23">
        <f>EXP(-LN(2)/2)*AW83+(1-EXP(-LN(2)/2))/(LN(2)/2)*AQ84*AT84*VLOOKUP('Données projet'!$B$10,Paramètres!$A$1:$I$89,3,0)*0.475*44/12</f>
        <v>1.3483383800330957E-6</v>
      </c>
      <c r="AX84" s="23">
        <f t="shared" si="60"/>
        <v>43.367220229848627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-5.6843418860808015E-14</v>
      </c>
      <c r="BE84" s="14">
        <f>BD84*VLOOKUP('Données projet'!$B$11,Paramètres!$A$1:$I$89,3,0)*VLOOKUP('Données projet'!$B$11,Paramètres!$A$1:$I$89,5,0)</f>
        <v>-5.1431925385259088E-14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366.86025470473652</v>
      </c>
      <c r="BJ84" s="62">
        <f t="shared" si="92"/>
        <v>513.80016421153414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0.79919147567709325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0.79919147567709325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187.13674266165236</v>
      </c>
      <c r="T85" s="62">
        <f t="shared" si="88"/>
        <v>439.28159165815276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31.279089198269936</v>
      </c>
      <c r="AA85" s="23">
        <f>EXP(-LN(2)/25)*AA84+(1-EXP(-LN(2)/25))/(LN(2)/25)*Calculateur!V85*Calculateur!X85*VLOOKUP('Données projet'!$B$9,Paramètres!$A$1:$I$89,3,0)*0.475*44/12</f>
        <v>11.149054959534357</v>
      </c>
      <c r="AB85" s="23">
        <f>EXP(-LN(2)/2)*AB84+(1-EXP(-LN(2)/2))/(LN(2)/2)*V85*Y85*VLOOKUP('Données projet'!$B$9,Paramètres!$A$1:$I$89,3,0)*0.475*44/12</f>
        <v>9.534192118554862E-7</v>
      </c>
      <c r="AC85" s="24">
        <f t="shared" si="57"/>
        <v>42.428145111223508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1.1368683772161603E-13</v>
      </c>
      <c r="AJ85" s="14">
        <f>AI85*VLOOKUP('Données projet'!$B$10,Paramètres!$A$1:$I$89,3,0)*VLOOKUP('Données projet'!$B$10,Paramètres!$A$1:$I$89,5,0)</f>
        <v>6.7984728957526396E-14</v>
      </c>
      <c r="AK85" s="14">
        <f t="shared" si="89"/>
        <v>1.0682447123141398E-12</v>
      </c>
      <c r="AL85" s="22">
        <f t="shared" si="58"/>
        <v>1.978932943548152E-12</v>
      </c>
      <c r="AM85" s="62">
        <f t="shared" si="59"/>
        <v>293.3333333333353</v>
      </c>
      <c r="AN85" s="62">
        <f ca="1">AVERAGE(OFFSET($AM$3,0,0,'Données projet'!$E$10+1,1))-AVERAGE(OFFSET($H$3,0,0,'Données projet'!$E$10+1,1))</f>
        <v>187.13674266165236</v>
      </c>
      <c r="AO85" s="62">
        <f t="shared" si="90"/>
        <v>439.28159165815276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31.279089198269936</v>
      </c>
      <c r="AV85" s="23">
        <f>EXP(-LN(2)/25)*AV84+(1-EXP(-LN(2)/25))/(LN(2)/25)*Calculateur!AQ85*Calculateur!AS85*VLOOKUP('Données projet'!$B$10,Paramètres!$A$1:$I$89,3,0)*0.475*44/12</f>
        <v>11.149054959534357</v>
      </c>
      <c r="AW85" s="23">
        <f>EXP(-LN(2)/2)*AW84+(1-EXP(-LN(2)/2))/(LN(2)/2)*AQ85*AT85*VLOOKUP('Données projet'!$B$10,Paramètres!$A$1:$I$89,3,0)*0.475*44/12</f>
        <v>9.534192118554862E-7</v>
      </c>
      <c r="AX85" s="23">
        <f t="shared" si="60"/>
        <v>42.428145111223508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-5.6843418860808015E-14</v>
      </c>
      <c r="BE85" s="14">
        <f>BD85*VLOOKUP('Données projet'!$B$11,Paramètres!$A$1:$I$89,3,0)*VLOOKUP('Données projet'!$B$11,Paramètres!$A$1:$I$89,5,0)</f>
        <v>-5.1431925385259088E-14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366.86025470473652</v>
      </c>
      <c r="BJ85" s="62">
        <f t="shared" si="92"/>
        <v>513.80016421153414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0.78351981829773309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0.78351981829773309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187.13674266165236</v>
      </c>
      <c r="T86" s="62">
        <f t="shared" si="88"/>
        <v>439.28159165815276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30.665725337452443</v>
      </c>
      <c r="AA86" s="23">
        <f>EXP(-LN(2)/25)*AA85+(1-EXP(-LN(2)/25))/(LN(2)/25)*Calculateur!V86*Calculateur!X86*VLOOKUP('Données projet'!$B$9,Paramètres!$A$1:$I$89,3,0)*0.475*44/12</f>
        <v>10.844183465362571</v>
      </c>
      <c r="AB86" s="23">
        <f>EXP(-LN(2)/2)*AB85+(1-EXP(-LN(2)/2))/(LN(2)/2)*V86*Y86*VLOOKUP('Données projet'!$B$9,Paramètres!$A$1:$I$89,3,0)*0.475*44/12</f>
        <v>6.7416919001654793E-7</v>
      </c>
      <c r="AC86" s="24">
        <f t="shared" si="57"/>
        <v>41.509909476984205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1.1368683772161603E-13</v>
      </c>
      <c r="AJ86" s="14">
        <f>AI86*VLOOKUP('Données projet'!$B$10,Paramètres!$A$1:$I$89,3,0)*VLOOKUP('Données projet'!$B$10,Paramètres!$A$1:$I$89,5,0)</f>
        <v>6.7984728957526396E-14</v>
      </c>
      <c r="AK86" s="14">
        <f t="shared" si="89"/>
        <v>1.0682447123141398E-12</v>
      </c>
      <c r="AL86" s="22">
        <f t="shared" si="58"/>
        <v>1.978932943548152E-12</v>
      </c>
      <c r="AM86" s="62">
        <f t="shared" si="59"/>
        <v>293.3333333333353</v>
      </c>
      <c r="AN86" s="62">
        <f ca="1">AVERAGE(OFFSET($AM$3,0,0,'Données projet'!$E$10+1,1))-AVERAGE(OFFSET($H$3,0,0,'Données projet'!$E$10+1,1))</f>
        <v>187.13674266165236</v>
      </c>
      <c r="AO86" s="62">
        <f t="shared" si="90"/>
        <v>439.28159165815276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30.665725337452443</v>
      </c>
      <c r="AV86" s="23">
        <f>EXP(-LN(2)/25)*AV85+(1-EXP(-LN(2)/25))/(LN(2)/25)*Calculateur!AQ86*Calculateur!AS86*VLOOKUP('Données projet'!$B$10,Paramètres!$A$1:$I$89,3,0)*0.475*44/12</f>
        <v>10.844183465362571</v>
      </c>
      <c r="AW86" s="23">
        <f>EXP(-LN(2)/2)*AW85+(1-EXP(-LN(2)/2))/(LN(2)/2)*AQ86*AT86*VLOOKUP('Données projet'!$B$10,Paramètres!$A$1:$I$89,3,0)*0.475*44/12</f>
        <v>6.7416919001654793E-7</v>
      </c>
      <c r="AX86" s="23">
        <f t="shared" si="60"/>
        <v>41.509909476984205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-5.6843418860808015E-14</v>
      </c>
      <c r="BE86" s="14">
        <f>BD86*VLOOKUP('Données projet'!$B$11,Paramètres!$A$1:$I$89,3,0)*VLOOKUP('Données projet'!$B$11,Paramètres!$A$1:$I$89,5,0)</f>
        <v>-5.1431925385259088E-14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366.86025470473652</v>
      </c>
      <c r="BJ86" s="62">
        <f t="shared" si="92"/>
        <v>513.80016421153414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0.76815547256081507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0.76815547256081507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187.13674266165236</v>
      </c>
      <c r="T87" s="62">
        <f t="shared" si="88"/>
        <v>439.28159165815276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30.064389167830566</v>
      </c>
      <c r="AA87" s="23">
        <f>EXP(-LN(2)/25)*AA86+(1-EXP(-LN(2)/25))/(LN(2)/25)*Calculateur!V87*Calculateur!X87*VLOOKUP('Données projet'!$B$9,Paramètres!$A$1:$I$89,3,0)*0.475*44/12</f>
        <v>10.547648698231407</v>
      </c>
      <c r="AB87" s="23">
        <f>EXP(-LN(2)/2)*AB86+(1-EXP(-LN(2)/2))/(LN(2)/2)*V87*Y87*VLOOKUP('Données projet'!$B$9,Paramètres!$A$1:$I$89,3,0)*0.475*44/12</f>
        <v>4.7670960592774315E-7</v>
      </c>
      <c r="AC87" s="24">
        <f t="shared" si="57"/>
        <v>40.612038342771584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1.1368683772161603E-13</v>
      </c>
      <c r="AJ87" s="14">
        <f>AI87*VLOOKUP('Données projet'!$B$10,Paramètres!$A$1:$I$89,3,0)*VLOOKUP('Données projet'!$B$10,Paramètres!$A$1:$I$89,5,0)</f>
        <v>6.7984728957526396E-14</v>
      </c>
      <c r="AK87" s="14">
        <f t="shared" si="89"/>
        <v>1.0682447123141398E-12</v>
      </c>
      <c r="AL87" s="22">
        <f t="shared" si="58"/>
        <v>1.978932943548152E-12</v>
      </c>
      <c r="AM87" s="62">
        <f t="shared" si="59"/>
        <v>293.3333333333353</v>
      </c>
      <c r="AN87" s="62">
        <f ca="1">AVERAGE(OFFSET($AM$3,0,0,'Données projet'!$E$10+1,1))-AVERAGE(OFFSET($H$3,0,0,'Données projet'!$E$10+1,1))</f>
        <v>187.13674266165236</v>
      </c>
      <c r="AO87" s="62">
        <f t="shared" si="90"/>
        <v>439.28159165815276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30.064389167830566</v>
      </c>
      <c r="AV87" s="23">
        <f>EXP(-LN(2)/25)*AV86+(1-EXP(-LN(2)/25))/(LN(2)/25)*Calculateur!AQ87*Calculateur!AS87*VLOOKUP('Données projet'!$B$10,Paramètres!$A$1:$I$89,3,0)*0.475*44/12</f>
        <v>10.547648698231407</v>
      </c>
      <c r="AW87" s="23">
        <f>EXP(-LN(2)/2)*AW86+(1-EXP(-LN(2)/2))/(LN(2)/2)*AQ87*AT87*VLOOKUP('Données projet'!$B$10,Paramètres!$A$1:$I$89,3,0)*0.475*44/12</f>
        <v>4.7670960592774315E-7</v>
      </c>
      <c r="AX87" s="23">
        <f t="shared" si="60"/>
        <v>40.612038342771584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-5.6843418860808015E-14</v>
      </c>
      <c r="BE87" s="14">
        <f>BD87*VLOOKUP('Données projet'!$B$11,Paramètres!$A$1:$I$89,3,0)*VLOOKUP('Données projet'!$B$11,Paramètres!$A$1:$I$89,5,0)</f>
        <v>-5.1431925385259088E-14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366.86025470473652</v>
      </c>
      <c r="BJ87" s="62">
        <f t="shared" si="92"/>
        <v>513.80016421153414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0.75309241227247237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0.75309241227247237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187.13674266165236</v>
      </c>
      <c r="T88" s="62">
        <f t="shared" si="88"/>
        <v>439.28159165815276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29.474844833716126</v>
      </c>
      <c r="AA88" s="23">
        <f>EXP(-LN(2)/25)*AA87+(1-EXP(-LN(2)/25))/(LN(2)/25)*Calculateur!V88*Calculateur!X88*VLOOKUP('Données projet'!$B$9,Paramètres!$A$1:$I$89,3,0)*0.475*44/12</f>
        <v>10.259222689901531</v>
      </c>
      <c r="AB88" s="23">
        <f>EXP(-LN(2)/2)*AB87+(1-EXP(-LN(2)/2))/(LN(2)/2)*V88*Y88*VLOOKUP('Données projet'!$B$9,Paramètres!$A$1:$I$89,3,0)*0.475*44/12</f>
        <v>3.3708459500827402E-7</v>
      </c>
      <c r="AC88" s="24">
        <f t="shared" si="57"/>
        <v>39.734067860702247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1.1368683772161603E-13</v>
      </c>
      <c r="AJ88" s="14">
        <f>AI88*VLOOKUP('Données projet'!$B$10,Paramètres!$A$1:$I$89,3,0)*VLOOKUP('Données projet'!$B$10,Paramètres!$A$1:$I$89,5,0)</f>
        <v>6.7984728957526396E-14</v>
      </c>
      <c r="AK88" s="14">
        <f t="shared" si="89"/>
        <v>1.0682447123141398E-12</v>
      </c>
      <c r="AL88" s="22">
        <f t="shared" si="58"/>
        <v>1.978932943548152E-12</v>
      </c>
      <c r="AM88" s="62">
        <f t="shared" si="59"/>
        <v>293.3333333333353</v>
      </c>
      <c r="AN88" s="62">
        <f ca="1">AVERAGE(OFFSET($AM$3,0,0,'Données projet'!$E$10+1,1))-AVERAGE(OFFSET($H$3,0,0,'Données projet'!$E$10+1,1))</f>
        <v>187.13674266165236</v>
      </c>
      <c r="AO88" s="62">
        <f t="shared" si="90"/>
        <v>439.28159165815276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29.474844833716126</v>
      </c>
      <c r="AV88" s="23">
        <f>EXP(-LN(2)/25)*AV87+(1-EXP(-LN(2)/25))/(LN(2)/25)*Calculateur!AQ88*Calculateur!AS88*VLOOKUP('Données projet'!$B$10,Paramètres!$A$1:$I$89,3,0)*0.475*44/12</f>
        <v>10.259222689901531</v>
      </c>
      <c r="AW88" s="23">
        <f>EXP(-LN(2)/2)*AW87+(1-EXP(-LN(2)/2))/(LN(2)/2)*AQ88*AT88*VLOOKUP('Données projet'!$B$10,Paramètres!$A$1:$I$89,3,0)*0.475*44/12</f>
        <v>3.3708459500827402E-7</v>
      </c>
      <c r="AX88" s="23">
        <f t="shared" si="60"/>
        <v>39.734067860702247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-5.6843418860808015E-14</v>
      </c>
      <c r="BE88" s="14">
        <f>BD88*VLOOKUP('Données projet'!$B$11,Paramètres!$A$1:$I$89,3,0)*VLOOKUP('Données projet'!$B$11,Paramètres!$A$1:$I$89,5,0)</f>
        <v>-5.1431925385259088E-14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366.86025470473652</v>
      </c>
      <c r="BJ88" s="62">
        <f t="shared" si="92"/>
        <v>513.80016421153414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0.73832472940882454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0.73832472940882454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187.13674266165236</v>
      </c>
      <c r="T89" s="62">
        <f t="shared" si="88"/>
        <v>439.28159165815276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28.896861104407133</v>
      </c>
      <c r="AA89" s="23">
        <f>EXP(-LN(2)/25)*AA88+(1-EXP(-LN(2)/25))/(LN(2)/25)*Calculateur!V89*Calculateur!X89*VLOOKUP('Données projet'!$B$9,Paramètres!$A$1:$I$89,3,0)*0.475*44/12</f>
        <v>9.9786837059370992</v>
      </c>
      <c r="AB89" s="23">
        <f>EXP(-LN(2)/2)*AB88+(1-EXP(-LN(2)/2))/(LN(2)/2)*V89*Y89*VLOOKUP('Données projet'!$B$9,Paramètres!$A$1:$I$89,3,0)*0.475*44/12</f>
        <v>2.3835480296387163E-7</v>
      </c>
      <c r="AC89" s="24">
        <f t="shared" si="57"/>
        <v>38.875545048699031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1.1368683772161603E-13</v>
      </c>
      <c r="AJ89" s="14">
        <f>AI89*VLOOKUP('Données projet'!$B$10,Paramètres!$A$1:$I$89,3,0)*VLOOKUP('Données projet'!$B$10,Paramètres!$A$1:$I$89,5,0)</f>
        <v>6.7984728957526396E-14</v>
      </c>
      <c r="AK89" s="14">
        <f t="shared" si="89"/>
        <v>1.0682447123141398E-12</v>
      </c>
      <c r="AL89" s="22">
        <f t="shared" si="58"/>
        <v>1.978932943548152E-12</v>
      </c>
      <c r="AM89" s="62">
        <f t="shared" si="59"/>
        <v>293.3333333333353</v>
      </c>
      <c r="AN89" s="62">
        <f ca="1">AVERAGE(OFFSET($AM$3,0,0,'Données projet'!$E$10+1,1))-AVERAGE(OFFSET($H$3,0,0,'Données projet'!$E$10+1,1))</f>
        <v>187.13674266165236</v>
      </c>
      <c r="AO89" s="62">
        <f t="shared" si="90"/>
        <v>439.28159165815276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28.896861104407133</v>
      </c>
      <c r="AV89" s="23">
        <f>EXP(-LN(2)/25)*AV88+(1-EXP(-LN(2)/25))/(LN(2)/25)*Calculateur!AQ89*Calculateur!AS89*VLOOKUP('Données projet'!$B$10,Paramètres!$A$1:$I$89,3,0)*0.475*44/12</f>
        <v>9.9786837059370992</v>
      </c>
      <c r="AW89" s="23">
        <f>EXP(-LN(2)/2)*AW88+(1-EXP(-LN(2)/2))/(LN(2)/2)*AQ89*AT89*VLOOKUP('Données projet'!$B$10,Paramètres!$A$1:$I$89,3,0)*0.475*44/12</f>
        <v>2.3835480296387163E-7</v>
      </c>
      <c r="AX89" s="23">
        <f t="shared" si="60"/>
        <v>38.875545048699031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-5.6843418860808015E-14</v>
      </c>
      <c r="BE89" s="14">
        <f>BD89*VLOOKUP('Données projet'!$B$11,Paramètres!$A$1:$I$89,3,0)*VLOOKUP('Données projet'!$B$11,Paramètres!$A$1:$I$89,5,0)</f>
        <v>-5.1431925385259088E-14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366.86025470473652</v>
      </c>
      <c r="BJ89" s="62">
        <f t="shared" si="92"/>
        <v>513.80016421153414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0.72384663179873565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0.72384663179873565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187.13674266165236</v>
      </c>
      <c r="T90" s="62">
        <f t="shared" si="88"/>
        <v>439.28159165815276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28.330211283494624</v>
      </c>
      <c r="AA90" s="23">
        <f>EXP(-LN(2)/25)*AA89+(1-EXP(-LN(2)/25))/(LN(2)/25)*Calculateur!V90*Calculateur!X90*VLOOKUP('Données projet'!$B$9,Paramètres!$A$1:$I$89,3,0)*0.475*44/12</f>
        <v>9.7058160752420797</v>
      </c>
      <c r="AB90" s="23">
        <f>EXP(-LN(2)/2)*AB89+(1-EXP(-LN(2)/2))/(LN(2)/2)*V90*Y90*VLOOKUP('Données projet'!$B$9,Paramètres!$A$1:$I$89,3,0)*0.475*44/12</f>
        <v>1.6854229750413704E-7</v>
      </c>
      <c r="AC90" s="24">
        <f t="shared" si="57"/>
        <v>38.036027527279003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1.1368683772161603E-13</v>
      </c>
      <c r="AJ90" s="14">
        <f>AI90*VLOOKUP('Données projet'!$B$10,Paramètres!$A$1:$I$89,3,0)*VLOOKUP('Données projet'!$B$10,Paramètres!$A$1:$I$89,5,0)</f>
        <v>6.7984728957526396E-14</v>
      </c>
      <c r="AK90" s="14">
        <f t="shared" si="89"/>
        <v>1.0682447123141398E-12</v>
      </c>
      <c r="AL90" s="22">
        <f t="shared" si="58"/>
        <v>1.978932943548152E-12</v>
      </c>
      <c r="AM90" s="62">
        <f t="shared" si="59"/>
        <v>293.3333333333353</v>
      </c>
      <c r="AN90" s="62">
        <f ca="1">AVERAGE(OFFSET($AM$3,0,0,'Données projet'!$E$10+1,1))-AVERAGE(OFFSET($H$3,0,0,'Données projet'!$E$10+1,1))</f>
        <v>187.13674266165236</v>
      </c>
      <c r="AO90" s="62">
        <f t="shared" si="90"/>
        <v>439.28159165815276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28.330211283494624</v>
      </c>
      <c r="AV90" s="23">
        <f>EXP(-LN(2)/25)*AV89+(1-EXP(-LN(2)/25))/(LN(2)/25)*Calculateur!AQ90*Calculateur!AS90*VLOOKUP('Données projet'!$B$10,Paramètres!$A$1:$I$89,3,0)*0.475*44/12</f>
        <v>9.7058160752420797</v>
      </c>
      <c r="AW90" s="23">
        <f>EXP(-LN(2)/2)*AW89+(1-EXP(-LN(2)/2))/(LN(2)/2)*AQ90*AT90*VLOOKUP('Données projet'!$B$10,Paramètres!$A$1:$I$89,3,0)*0.475*44/12</f>
        <v>1.6854229750413704E-7</v>
      </c>
      <c r="AX90" s="23">
        <f t="shared" si="60"/>
        <v>38.036027527279003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-5.6843418860808015E-14</v>
      </c>
      <c r="BE90" s="14">
        <f>BD90*VLOOKUP('Données projet'!$B$11,Paramètres!$A$1:$I$89,3,0)*VLOOKUP('Données projet'!$B$11,Paramètres!$A$1:$I$89,5,0)</f>
        <v>-5.1431925385259088E-14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366.86025470473652</v>
      </c>
      <c r="BJ90" s="62">
        <f t="shared" si="92"/>
        <v>513.80016421153414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0.70965244085201307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0.70965244085201307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187.13674266165236</v>
      </c>
      <c r="T91" s="62">
        <f t="shared" si="88"/>
        <v>439.28159165815276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27.774673119947945</v>
      </c>
      <c r="AA91" s="23">
        <f>EXP(-LN(2)/25)*AA90+(1-EXP(-LN(2)/25))/(LN(2)/25)*Calculateur!V91*Calculateur!X91*VLOOKUP('Données projet'!$B$9,Paramètres!$A$1:$I$89,3,0)*0.475*44/12</f>
        <v>9.4404100242579005</v>
      </c>
      <c r="AB91" s="23">
        <f>EXP(-LN(2)/2)*AB90+(1-EXP(-LN(2)/2))/(LN(2)/2)*V91*Y91*VLOOKUP('Données projet'!$B$9,Paramètres!$A$1:$I$89,3,0)*0.475*44/12</f>
        <v>1.1917740148193583E-7</v>
      </c>
      <c r="AC91" s="24">
        <f t="shared" si="57"/>
        <v>37.215083263383249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1.1368683772161603E-13</v>
      </c>
      <c r="AJ91" s="14">
        <f>AI91*VLOOKUP('Données projet'!$B$10,Paramètres!$A$1:$I$89,3,0)*VLOOKUP('Données projet'!$B$10,Paramètres!$A$1:$I$89,5,0)</f>
        <v>6.7984728957526396E-14</v>
      </c>
      <c r="AK91" s="14">
        <f t="shared" si="89"/>
        <v>1.0682447123141398E-12</v>
      </c>
      <c r="AL91" s="22">
        <f t="shared" si="58"/>
        <v>1.978932943548152E-12</v>
      </c>
      <c r="AM91" s="62">
        <f t="shared" si="59"/>
        <v>293.3333333333353</v>
      </c>
      <c r="AN91" s="62">
        <f ca="1">AVERAGE(OFFSET($AM$3,0,0,'Données projet'!$E$10+1,1))-AVERAGE(OFFSET($H$3,0,0,'Données projet'!$E$10+1,1))</f>
        <v>187.13674266165236</v>
      </c>
      <c r="AO91" s="62">
        <f t="shared" si="90"/>
        <v>439.28159165815276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27.774673119947945</v>
      </c>
      <c r="AV91" s="23">
        <f>EXP(-LN(2)/25)*AV90+(1-EXP(-LN(2)/25))/(LN(2)/25)*Calculateur!AQ91*Calculateur!AS91*VLOOKUP('Données projet'!$B$10,Paramètres!$A$1:$I$89,3,0)*0.475*44/12</f>
        <v>9.4404100242579005</v>
      </c>
      <c r="AW91" s="23">
        <f>EXP(-LN(2)/2)*AW90+(1-EXP(-LN(2)/2))/(LN(2)/2)*AQ91*AT91*VLOOKUP('Données projet'!$B$10,Paramètres!$A$1:$I$89,3,0)*0.475*44/12</f>
        <v>1.1917740148193583E-7</v>
      </c>
      <c r="AX91" s="23">
        <f t="shared" si="60"/>
        <v>37.215083263383249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-5.6843418860808015E-14</v>
      </c>
      <c r="BE91" s="14">
        <f>BD91*VLOOKUP('Données projet'!$B$11,Paramètres!$A$1:$I$89,3,0)*VLOOKUP('Données projet'!$B$11,Paramètres!$A$1:$I$89,5,0)</f>
        <v>-5.1431925385259088E-14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366.86025470473652</v>
      </c>
      <c r="BJ91" s="62">
        <f t="shared" si="92"/>
        <v>513.80016421153414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0.6957365893321541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0.6957365893321541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187.13674266165236</v>
      </c>
      <c r="T92" s="62">
        <f t="shared" si="88"/>
        <v>439.28159165815276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27.230028720943597</v>
      </c>
      <c r="AA92" s="23">
        <f>EXP(-LN(2)/25)*AA91+(1-EXP(-LN(2)/25))/(LN(2)/25)*Calculateur!V92*Calculateur!X92*VLOOKUP('Données projet'!$B$9,Paramètres!$A$1:$I$89,3,0)*0.475*44/12</f>
        <v>9.1822615156949823</v>
      </c>
      <c r="AB92" s="23">
        <f>EXP(-LN(2)/2)*AB91+(1-EXP(-LN(2)/2))/(LN(2)/2)*V92*Y92*VLOOKUP('Données projet'!$B$9,Paramètres!$A$1:$I$89,3,0)*0.475*44/12</f>
        <v>8.4271148752068532E-8</v>
      </c>
      <c r="AC92" s="24">
        <f t="shared" si="57"/>
        <v>36.412290320909733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1.1368683772161603E-13</v>
      </c>
      <c r="AJ92" s="14">
        <f>AI92*VLOOKUP('Données projet'!$B$10,Paramètres!$A$1:$I$89,3,0)*VLOOKUP('Données projet'!$B$10,Paramètres!$A$1:$I$89,5,0)</f>
        <v>6.7984728957526396E-14</v>
      </c>
      <c r="AK92" s="14">
        <f t="shared" si="89"/>
        <v>1.0682447123141398E-12</v>
      </c>
      <c r="AL92" s="22">
        <f t="shared" si="58"/>
        <v>1.978932943548152E-12</v>
      </c>
      <c r="AM92" s="62">
        <f t="shared" si="59"/>
        <v>293.3333333333353</v>
      </c>
      <c r="AN92" s="62">
        <f ca="1">AVERAGE(OFFSET($AM$3,0,0,'Données projet'!$E$10+1,1))-AVERAGE(OFFSET($H$3,0,0,'Données projet'!$E$10+1,1))</f>
        <v>187.13674266165236</v>
      </c>
      <c r="AO92" s="62">
        <f t="shared" si="90"/>
        <v>439.28159165815276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27.230028720943597</v>
      </c>
      <c r="AV92" s="23">
        <f>EXP(-LN(2)/25)*AV91+(1-EXP(-LN(2)/25))/(LN(2)/25)*Calculateur!AQ92*Calculateur!AS92*VLOOKUP('Données projet'!$B$10,Paramètres!$A$1:$I$89,3,0)*0.475*44/12</f>
        <v>9.1822615156949823</v>
      </c>
      <c r="AW92" s="23">
        <f>EXP(-LN(2)/2)*AW91+(1-EXP(-LN(2)/2))/(LN(2)/2)*AQ92*AT92*VLOOKUP('Données projet'!$B$10,Paramètres!$A$1:$I$89,3,0)*0.475*44/12</f>
        <v>8.4271148752068532E-8</v>
      </c>
      <c r="AX92" s="23">
        <f t="shared" si="60"/>
        <v>36.412290320909733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-5.6843418860808015E-14</v>
      </c>
      <c r="BE92" s="14">
        <f>BD92*VLOOKUP('Données projet'!$B$11,Paramètres!$A$1:$I$89,3,0)*VLOOKUP('Données projet'!$B$11,Paramètres!$A$1:$I$89,5,0)</f>
        <v>-5.1431925385259088E-14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366.86025470473652</v>
      </c>
      <c r="BJ92" s="62">
        <f t="shared" si="92"/>
        <v>513.80016421153414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0.68209361917276823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0.68209361917276823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187.13674266165236</v>
      </c>
      <c r="T93" s="62">
        <f t="shared" si="88"/>
        <v>439.28159165815276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26.696064466403442</v>
      </c>
      <c r="AA93" s="23">
        <f>EXP(-LN(2)/25)*AA92+(1-EXP(-LN(2)/25))/(LN(2)/25)*Calculateur!V93*Calculateur!X93*VLOOKUP('Données projet'!$B$9,Paramètres!$A$1:$I$89,3,0)*0.475*44/12</f>
        <v>8.9311720916741564</v>
      </c>
      <c r="AB93" s="23">
        <f>EXP(-LN(2)/2)*AB92+(1-EXP(-LN(2)/2))/(LN(2)/2)*V93*Y93*VLOOKUP('Données projet'!$B$9,Paramètres!$A$1:$I$89,3,0)*0.475*44/12</f>
        <v>5.9588700740967927E-8</v>
      </c>
      <c r="AC93" s="24">
        <f t="shared" si="57"/>
        <v>35.627236617666298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1.1368683772161603E-13</v>
      </c>
      <c r="AJ93" s="14">
        <f>AI93*VLOOKUP('Données projet'!$B$10,Paramètres!$A$1:$I$89,3,0)*VLOOKUP('Données projet'!$B$10,Paramètres!$A$1:$I$89,5,0)</f>
        <v>6.7984728957526396E-14</v>
      </c>
      <c r="AK93" s="14">
        <f t="shared" si="89"/>
        <v>1.0682447123141398E-12</v>
      </c>
      <c r="AL93" s="22">
        <f t="shared" si="58"/>
        <v>1.978932943548152E-12</v>
      </c>
      <c r="AM93" s="62">
        <f t="shared" si="59"/>
        <v>293.3333333333353</v>
      </c>
      <c r="AN93" s="62">
        <f ca="1">AVERAGE(OFFSET($AM$3,0,0,'Données projet'!$E$10+1,1))-AVERAGE(OFFSET($H$3,0,0,'Données projet'!$E$10+1,1))</f>
        <v>187.13674266165236</v>
      </c>
      <c r="AO93" s="62">
        <f t="shared" si="90"/>
        <v>439.28159165815276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26.696064466403442</v>
      </c>
      <c r="AV93" s="23">
        <f>EXP(-LN(2)/25)*AV92+(1-EXP(-LN(2)/25))/(LN(2)/25)*Calculateur!AQ93*Calculateur!AS93*VLOOKUP('Données projet'!$B$10,Paramètres!$A$1:$I$89,3,0)*0.475*44/12</f>
        <v>8.9311720916741564</v>
      </c>
      <c r="AW93" s="23">
        <f>EXP(-LN(2)/2)*AW92+(1-EXP(-LN(2)/2))/(LN(2)/2)*AQ93*AT93*VLOOKUP('Données projet'!$B$10,Paramètres!$A$1:$I$89,3,0)*0.475*44/12</f>
        <v>5.9588700740967927E-8</v>
      </c>
      <c r="AX93" s="23">
        <f t="shared" si="60"/>
        <v>35.627236617666298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-5.6843418860808015E-14</v>
      </c>
      <c r="BE93" s="14">
        <f>BD93*VLOOKUP('Données projet'!$B$11,Paramètres!$A$1:$I$89,3,0)*VLOOKUP('Données projet'!$B$11,Paramètres!$A$1:$I$89,5,0)</f>
        <v>-5.1431925385259088E-14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366.86025470473652</v>
      </c>
      <c r="BJ93" s="62">
        <f t="shared" si="92"/>
        <v>513.80016421153414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0.66871817933681776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0.66871817933681776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187.13674266165236</v>
      </c>
      <c r="T94" s="62">
        <f t="shared" si="88"/>
        <v>439.28159165815276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26.172570925208785</v>
      </c>
      <c r="AA94" s="23">
        <f>EXP(-LN(2)/25)*AA93+(1-EXP(-LN(2)/25))/(LN(2)/25)*Calculateur!V94*Calculateur!X94*VLOOKUP('Données projet'!$B$9,Paramètres!$A$1:$I$89,3,0)*0.475*44/12</f>
        <v>8.6869487211573979</v>
      </c>
      <c r="AB94" s="23">
        <f>EXP(-LN(2)/2)*AB93+(1-EXP(-LN(2)/2))/(LN(2)/2)*V94*Y94*VLOOKUP('Données projet'!$B$9,Paramètres!$A$1:$I$89,3,0)*0.475*44/12</f>
        <v>4.2135574376034272E-8</v>
      </c>
      <c r="AC94" s="24">
        <f t="shared" si="57"/>
        <v>34.859519688501756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1.1368683772161603E-13</v>
      </c>
      <c r="AJ94" s="14">
        <f>AI94*VLOOKUP('Données projet'!$B$10,Paramètres!$A$1:$I$89,3,0)*VLOOKUP('Données projet'!$B$10,Paramètres!$A$1:$I$89,5,0)</f>
        <v>6.7984728957526396E-14</v>
      </c>
      <c r="AK94" s="14">
        <f t="shared" si="89"/>
        <v>1.0682447123141398E-12</v>
      </c>
      <c r="AL94" s="22">
        <f t="shared" si="58"/>
        <v>1.978932943548152E-12</v>
      </c>
      <c r="AM94" s="62">
        <f t="shared" si="59"/>
        <v>293.3333333333353</v>
      </c>
      <c r="AN94" s="62">
        <f ca="1">AVERAGE(OFFSET($AM$3,0,0,'Données projet'!$E$10+1,1))-AVERAGE(OFFSET($H$3,0,0,'Données projet'!$E$10+1,1))</f>
        <v>187.13674266165236</v>
      </c>
      <c r="AO94" s="62">
        <f t="shared" si="90"/>
        <v>439.28159165815276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26.172570925208785</v>
      </c>
      <c r="AV94" s="23">
        <f>EXP(-LN(2)/25)*AV93+(1-EXP(-LN(2)/25))/(LN(2)/25)*Calculateur!AQ94*Calculateur!AS94*VLOOKUP('Données projet'!$B$10,Paramètres!$A$1:$I$89,3,0)*0.475*44/12</f>
        <v>8.6869487211573979</v>
      </c>
      <c r="AW94" s="23">
        <f>EXP(-LN(2)/2)*AW93+(1-EXP(-LN(2)/2))/(LN(2)/2)*AQ94*AT94*VLOOKUP('Données projet'!$B$10,Paramètres!$A$1:$I$89,3,0)*0.475*44/12</f>
        <v>4.2135574376034272E-8</v>
      </c>
      <c r="AX94" s="23">
        <f t="shared" si="60"/>
        <v>34.859519688501756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-5.6843418860808015E-14</v>
      </c>
      <c r="BE94" s="14">
        <f>BD94*VLOOKUP('Données projet'!$B$11,Paramètres!$A$1:$I$89,3,0)*VLOOKUP('Données projet'!$B$11,Paramètres!$A$1:$I$89,5,0)</f>
        <v>-5.1431925385259088E-14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366.86025470473652</v>
      </c>
      <c r="BJ94" s="62">
        <f t="shared" si="92"/>
        <v>513.80016421153414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0.65560502371783758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0.65560502371783758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187.13674266165236</v>
      </c>
      <c r="T95" s="62">
        <f t="shared" si="88"/>
        <v>439.28159165815276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25.659342773057421</v>
      </c>
      <c r="AA95" s="23">
        <f>EXP(-LN(2)/25)*AA94+(1-EXP(-LN(2)/25))/(LN(2)/25)*Calculateur!V95*Calculateur!X95*VLOOKUP('Données projet'!$B$9,Paramètres!$A$1:$I$89,3,0)*0.475*44/12</f>
        <v>8.4494036515505702</v>
      </c>
      <c r="AB95" s="23">
        <f>EXP(-LN(2)/2)*AB94+(1-EXP(-LN(2)/2))/(LN(2)/2)*V95*Y95*VLOOKUP('Données projet'!$B$9,Paramètres!$A$1:$I$89,3,0)*0.475*44/12</f>
        <v>2.9794350370483967E-8</v>
      </c>
      <c r="AC95" s="24">
        <f t="shared" si="57"/>
        <v>34.108746454402343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1.1368683772161603E-13</v>
      </c>
      <c r="AJ95" s="14">
        <f>AI95*VLOOKUP('Données projet'!$B$10,Paramètres!$A$1:$I$89,3,0)*VLOOKUP('Données projet'!$B$10,Paramètres!$A$1:$I$89,5,0)</f>
        <v>6.7984728957526396E-14</v>
      </c>
      <c r="AK95" s="14">
        <f t="shared" si="89"/>
        <v>1.0682447123141398E-12</v>
      </c>
      <c r="AL95" s="22">
        <f t="shared" si="58"/>
        <v>1.978932943548152E-12</v>
      </c>
      <c r="AM95" s="62">
        <f t="shared" si="59"/>
        <v>293.3333333333353</v>
      </c>
      <c r="AN95" s="62">
        <f ca="1">AVERAGE(OFFSET($AM$3,0,0,'Données projet'!$E$10+1,1))-AVERAGE(OFFSET($H$3,0,0,'Données projet'!$E$10+1,1))</f>
        <v>187.13674266165236</v>
      </c>
      <c r="AO95" s="62">
        <f t="shared" si="90"/>
        <v>439.28159165815276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25.659342773057421</v>
      </c>
      <c r="AV95" s="23">
        <f>EXP(-LN(2)/25)*AV94+(1-EXP(-LN(2)/25))/(LN(2)/25)*Calculateur!AQ95*Calculateur!AS95*VLOOKUP('Données projet'!$B$10,Paramètres!$A$1:$I$89,3,0)*0.475*44/12</f>
        <v>8.4494036515505702</v>
      </c>
      <c r="AW95" s="23">
        <f>EXP(-LN(2)/2)*AW94+(1-EXP(-LN(2)/2))/(LN(2)/2)*AQ95*AT95*VLOOKUP('Données projet'!$B$10,Paramètres!$A$1:$I$89,3,0)*0.475*44/12</f>
        <v>2.9794350370483967E-8</v>
      </c>
      <c r="AX95" s="23">
        <f t="shared" si="60"/>
        <v>34.108746454402343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-5.6843418860808015E-14</v>
      </c>
      <c r="BE95" s="14">
        <f>BD95*VLOOKUP('Données projet'!$B$11,Paramètres!$A$1:$I$89,3,0)*VLOOKUP('Données projet'!$B$11,Paramètres!$A$1:$I$89,5,0)</f>
        <v>-5.1431925385259088E-14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366.86025470473652</v>
      </c>
      <c r="BJ95" s="62">
        <f t="shared" si="92"/>
        <v>513.80016421153414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0.64274900908231047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0.64274900908231047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187.13674266165236</v>
      </c>
      <c r="T96" s="62">
        <f t="shared" si="88"/>
        <v>439.28159165815276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25.156178711931481</v>
      </c>
      <c r="AA96" s="23">
        <f>EXP(-LN(2)/25)*AA95+(1-EXP(-LN(2)/25))/(LN(2)/25)*Calculateur!V96*Calculateur!X96*VLOOKUP('Données projet'!$B$9,Paramètres!$A$1:$I$89,3,0)*0.475*44/12</f>
        <v>8.218354264364093</v>
      </c>
      <c r="AB96" s="23">
        <f>EXP(-LN(2)/2)*AB95+(1-EXP(-LN(2)/2))/(LN(2)/2)*V96*Y96*VLOOKUP('Données projet'!$B$9,Paramètres!$A$1:$I$89,3,0)*0.475*44/12</f>
        <v>2.1067787188017139E-8</v>
      </c>
      <c r="AC96" s="24">
        <f t="shared" si="57"/>
        <v>33.37453299736336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1.1368683772161603E-13</v>
      </c>
      <c r="AJ96" s="14">
        <f>AI96*VLOOKUP('Données projet'!$B$10,Paramètres!$A$1:$I$89,3,0)*VLOOKUP('Données projet'!$B$10,Paramètres!$A$1:$I$89,5,0)</f>
        <v>6.7984728957526396E-14</v>
      </c>
      <c r="AK96" s="14">
        <f t="shared" si="89"/>
        <v>1.0682447123141398E-12</v>
      </c>
      <c r="AL96" s="22">
        <f t="shared" si="58"/>
        <v>1.978932943548152E-12</v>
      </c>
      <c r="AM96" s="62">
        <f t="shared" si="59"/>
        <v>293.3333333333353</v>
      </c>
      <c r="AN96" s="62">
        <f ca="1">AVERAGE(OFFSET($AM$3,0,0,'Données projet'!$E$10+1,1))-AVERAGE(OFFSET($H$3,0,0,'Données projet'!$E$10+1,1))</f>
        <v>187.13674266165236</v>
      </c>
      <c r="AO96" s="62">
        <f t="shared" si="90"/>
        <v>439.28159165815276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25.156178711931481</v>
      </c>
      <c r="AV96" s="23">
        <f>EXP(-LN(2)/25)*AV95+(1-EXP(-LN(2)/25))/(LN(2)/25)*Calculateur!AQ96*Calculateur!AS96*VLOOKUP('Données projet'!$B$10,Paramètres!$A$1:$I$89,3,0)*0.475*44/12</f>
        <v>8.218354264364093</v>
      </c>
      <c r="AW96" s="23">
        <f>EXP(-LN(2)/2)*AW95+(1-EXP(-LN(2)/2))/(LN(2)/2)*AQ96*AT96*VLOOKUP('Données projet'!$B$10,Paramètres!$A$1:$I$89,3,0)*0.475*44/12</f>
        <v>2.1067787188017139E-8</v>
      </c>
      <c r="AX96" s="23">
        <f t="shared" si="60"/>
        <v>33.37453299736336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-5.6843418860808015E-14</v>
      </c>
      <c r="BE96" s="14">
        <f>BD96*VLOOKUP('Données projet'!$B$11,Paramètres!$A$1:$I$89,3,0)*VLOOKUP('Données projet'!$B$11,Paramètres!$A$1:$I$89,5,0)</f>
        <v>-5.1431925385259088E-14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366.86025470473652</v>
      </c>
      <c r="BJ96" s="62">
        <f t="shared" si="92"/>
        <v>513.80016421153414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0.6301450930523913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0.6301450930523913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187.13674266165236</v>
      </c>
      <c r="T97" s="62">
        <f t="shared" si="88"/>
        <v>439.28159165815276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24.662881391144449</v>
      </c>
      <c r="AA97" s="23">
        <f>EXP(-LN(2)/25)*AA96+(1-EXP(-LN(2)/25))/(LN(2)/25)*Calculateur!V97*Calculateur!X97*VLOOKUP('Données projet'!$B$9,Paramètres!$A$1:$I$89,3,0)*0.475*44/12</f>
        <v>7.9936229348205892</v>
      </c>
      <c r="AB97" s="23">
        <f>EXP(-LN(2)/2)*AB96+(1-EXP(-LN(2)/2))/(LN(2)/2)*V97*Y97*VLOOKUP('Données projet'!$B$9,Paramètres!$A$1:$I$89,3,0)*0.475*44/12</f>
        <v>1.4897175185241985E-8</v>
      </c>
      <c r="AC97" s="24">
        <f t="shared" si="57"/>
        <v>32.656504340862213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1.1368683772161603E-13</v>
      </c>
      <c r="AJ97" s="14">
        <f>AI97*VLOOKUP('Données projet'!$B$10,Paramètres!$A$1:$I$89,3,0)*VLOOKUP('Données projet'!$B$10,Paramètres!$A$1:$I$89,5,0)</f>
        <v>6.7984728957526396E-14</v>
      </c>
      <c r="AK97" s="14">
        <f t="shared" si="89"/>
        <v>1.0682447123141398E-12</v>
      </c>
      <c r="AL97" s="22">
        <f t="shared" si="58"/>
        <v>1.978932943548152E-12</v>
      </c>
      <c r="AM97" s="62">
        <f t="shared" si="59"/>
        <v>293.3333333333353</v>
      </c>
      <c r="AN97" s="62">
        <f ca="1">AVERAGE(OFFSET($AM$3,0,0,'Données projet'!$E$10+1,1))-AVERAGE(OFFSET($H$3,0,0,'Données projet'!$E$10+1,1))</f>
        <v>187.13674266165236</v>
      </c>
      <c r="AO97" s="62">
        <f t="shared" si="90"/>
        <v>439.28159165815276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24.662881391144449</v>
      </c>
      <c r="AV97" s="23">
        <f>EXP(-LN(2)/25)*AV96+(1-EXP(-LN(2)/25))/(LN(2)/25)*Calculateur!AQ97*Calculateur!AS97*VLOOKUP('Données projet'!$B$10,Paramètres!$A$1:$I$89,3,0)*0.475*44/12</f>
        <v>7.9936229348205892</v>
      </c>
      <c r="AW97" s="23">
        <f>EXP(-LN(2)/2)*AW96+(1-EXP(-LN(2)/2))/(LN(2)/2)*AQ97*AT97*VLOOKUP('Données projet'!$B$10,Paramètres!$A$1:$I$89,3,0)*0.475*44/12</f>
        <v>1.4897175185241985E-8</v>
      </c>
      <c r="AX97" s="23">
        <f t="shared" si="60"/>
        <v>32.656504340862213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-5.6843418860808015E-14</v>
      </c>
      <c r="BE97" s="14">
        <f>BD97*VLOOKUP('Données projet'!$B$11,Paramètres!$A$1:$I$89,3,0)*VLOOKUP('Données projet'!$B$11,Paramètres!$A$1:$I$89,5,0)</f>
        <v>-5.1431925385259088E-14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366.86025470473652</v>
      </c>
      <c r="BJ97" s="62">
        <f t="shared" si="92"/>
        <v>513.80016421153414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0.61778833212818918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0.61778833212818918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187.13674266165236</v>
      </c>
      <c r="T98" s="62">
        <f t="shared" si="88"/>
        <v>439.28159165815276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24.179257329936394</v>
      </c>
      <c r="AA98" s="23">
        <f>EXP(-LN(2)/25)*AA97+(1-EXP(-LN(2)/25))/(LN(2)/25)*Calculateur!V98*Calculateur!X98*VLOOKUP('Données projet'!$B$9,Paramètres!$A$1:$I$89,3,0)*0.475*44/12</f>
        <v>7.7750368953015601</v>
      </c>
      <c r="AB98" s="23">
        <f>EXP(-LN(2)/2)*AB97+(1-EXP(-LN(2)/2))/(LN(2)/2)*V98*Y98*VLOOKUP('Données projet'!$B$9,Paramètres!$A$1:$I$89,3,0)*0.475*44/12</f>
        <v>1.0533893594008571E-8</v>
      </c>
      <c r="AC98" s="24">
        <f t="shared" si="57"/>
        <v>31.954294235771847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1.1368683772161603E-13</v>
      </c>
      <c r="AJ98" s="14">
        <f>AI98*VLOOKUP('Données projet'!$B$10,Paramètres!$A$1:$I$89,3,0)*VLOOKUP('Données projet'!$B$10,Paramètres!$A$1:$I$89,5,0)</f>
        <v>6.7984728957526396E-14</v>
      </c>
      <c r="AK98" s="14">
        <f t="shared" si="89"/>
        <v>1.0682447123141398E-12</v>
      </c>
      <c r="AL98" s="22">
        <f t="shared" si="58"/>
        <v>1.978932943548152E-12</v>
      </c>
      <c r="AM98" s="62">
        <f t="shared" si="59"/>
        <v>293.3333333333353</v>
      </c>
      <c r="AN98" s="62">
        <f ca="1">AVERAGE(OFFSET($AM$3,0,0,'Données projet'!$E$10+1,1))-AVERAGE(OFFSET($H$3,0,0,'Données projet'!$E$10+1,1))</f>
        <v>187.13674266165236</v>
      </c>
      <c r="AO98" s="62">
        <f t="shared" si="90"/>
        <v>439.28159165815276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24.179257329936394</v>
      </c>
      <c r="AV98" s="23">
        <f>EXP(-LN(2)/25)*AV97+(1-EXP(-LN(2)/25))/(LN(2)/25)*Calculateur!AQ98*Calculateur!AS98*VLOOKUP('Données projet'!$B$10,Paramètres!$A$1:$I$89,3,0)*0.475*44/12</f>
        <v>7.7750368953015601</v>
      </c>
      <c r="AW98" s="23">
        <f>EXP(-LN(2)/2)*AW97+(1-EXP(-LN(2)/2))/(LN(2)/2)*AQ98*AT98*VLOOKUP('Données projet'!$B$10,Paramètres!$A$1:$I$89,3,0)*0.475*44/12</f>
        <v>1.0533893594008571E-8</v>
      </c>
      <c r="AX98" s="23">
        <f t="shared" si="60"/>
        <v>31.954294235771847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-5.6843418860808015E-14</v>
      </c>
      <c r="BE98" s="14">
        <f>BD98*VLOOKUP('Données projet'!$B$11,Paramètres!$A$1:$I$89,3,0)*VLOOKUP('Données projet'!$B$11,Paramètres!$A$1:$I$89,5,0)</f>
        <v>-5.1431925385259088E-14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366.86025470473652</v>
      </c>
      <c r="BJ98" s="62">
        <f t="shared" si="92"/>
        <v>513.80016421153414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0.60567387974883069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0.60567387974883069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187.13674266165236</v>
      </c>
      <c r="T99" s="62">
        <f t="shared" si="88"/>
        <v>439.28159165815276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23.705116841587081</v>
      </c>
      <c r="AA99" s="23">
        <f>EXP(-LN(2)/25)*AA98+(1-EXP(-LN(2)/25))/(LN(2)/25)*Calculateur!V99*Calculateur!X99*VLOOKUP('Données projet'!$B$9,Paramètres!$A$1:$I$89,3,0)*0.475*44/12</f>
        <v>7.562428102528119</v>
      </c>
      <c r="AB99" s="23">
        <f>EXP(-LN(2)/2)*AB98+(1-EXP(-LN(2)/2))/(LN(2)/2)*V99*Y99*VLOOKUP('Données projet'!$B$9,Paramètres!$A$1:$I$89,3,0)*0.475*44/12</f>
        <v>7.4485875926209942E-9</v>
      </c>
      <c r="AC99" s="24">
        <f t="shared" si="57"/>
        <v>31.267544951563789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1.1368683772161603E-13</v>
      </c>
      <c r="AJ99" s="14">
        <f>AI99*VLOOKUP('Données projet'!$B$10,Paramètres!$A$1:$I$89,3,0)*VLOOKUP('Données projet'!$B$10,Paramètres!$A$1:$I$89,5,0)</f>
        <v>6.7984728957526396E-14</v>
      </c>
      <c r="AK99" s="14">
        <f t="shared" si="89"/>
        <v>1.0682447123141398E-12</v>
      </c>
      <c r="AL99" s="22">
        <f t="shared" si="58"/>
        <v>1.978932943548152E-12</v>
      </c>
      <c r="AM99" s="62">
        <f t="shared" si="59"/>
        <v>293.3333333333353</v>
      </c>
      <c r="AN99" s="62">
        <f ca="1">AVERAGE(OFFSET($AM$3,0,0,'Données projet'!$E$10+1,1))-AVERAGE(OFFSET($H$3,0,0,'Données projet'!$E$10+1,1))</f>
        <v>187.13674266165236</v>
      </c>
      <c r="AO99" s="62">
        <f t="shared" si="90"/>
        <v>439.28159165815276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23.705116841587081</v>
      </c>
      <c r="AV99" s="23">
        <f>EXP(-LN(2)/25)*AV98+(1-EXP(-LN(2)/25))/(LN(2)/25)*Calculateur!AQ99*Calculateur!AS99*VLOOKUP('Données projet'!$B$10,Paramètres!$A$1:$I$89,3,0)*0.475*44/12</f>
        <v>7.562428102528119</v>
      </c>
      <c r="AW99" s="23">
        <f>EXP(-LN(2)/2)*AW98+(1-EXP(-LN(2)/2))/(LN(2)/2)*AQ99*AT99*VLOOKUP('Données projet'!$B$10,Paramètres!$A$1:$I$89,3,0)*0.475*44/12</f>
        <v>7.4485875926209942E-9</v>
      </c>
      <c r="AX99" s="23">
        <f t="shared" si="60"/>
        <v>31.267544951563789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-5.6843418860808015E-14</v>
      </c>
      <c r="BE99" s="14">
        <f>BD99*VLOOKUP('Données projet'!$B$11,Paramètres!$A$1:$I$89,3,0)*VLOOKUP('Données projet'!$B$11,Paramètres!$A$1:$I$89,5,0)</f>
        <v>-5.1431925385259088E-14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366.86025470473652</v>
      </c>
      <c r="BJ99" s="62">
        <f t="shared" si="92"/>
        <v>513.80016421153414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0.59379698439154516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0.59379698439154516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187.13674266165236</v>
      </c>
      <c r="T100" s="62">
        <f t="shared" si="88"/>
        <v>439.28159165815276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23.240273959017156</v>
      </c>
      <c r="AA100" s="23">
        <f>EXP(-LN(2)/25)*AA99+(1-EXP(-LN(2)/25))/(LN(2)/25)*Calculateur!V100*Calculateur!X100*VLOOKUP('Données projet'!$B$9,Paramètres!$A$1:$I$89,3,0)*0.475*44/12</f>
        <v>7.3556331083736781</v>
      </c>
      <c r="AB100" s="23">
        <f>EXP(-LN(2)/2)*AB99+(1-EXP(-LN(2)/2))/(LN(2)/2)*V100*Y100*VLOOKUP('Données projet'!$B$9,Paramètres!$A$1:$I$89,3,0)*0.475*44/12</f>
        <v>5.2669467970042865E-9</v>
      </c>
      <c r="AC100" s="24">
        <f t="shared" si="57"/>
        <v>30.595907072657781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1.1368683772161603E-13</v>
      </c>
      <c r="AJ100" s="14">
        <f>AI100*VLOOKUP('Données projet'!$B$10,Paramètres!$A$1:$I$89,3,0)*VLOOKUP('Données projet'!$B$10,Paramètres!$A$1:$I$89,5,0)</f>
        <v>6.7984728957526396E-14</v>
      </c>
      <c r="AK100" s="14">
        <f t="shared" si="89"/>
        <v>1.0682447123141398E-12</v>
      </c>
      <c r="AL100" s="22">
        <f t="shared" si="58"/>
        <v>1.978932943548152E-12</v>
      </c>
      <c r="AM100" s="62">
        <f t="shared" si="59"/>
        <v>293.3333333333353</v>
      </c>
      <c r="AN100" s="62">
        <f ca="1">AVERAGE(OFFSET($AM$3,0,0,'Données projet'!$E$10+1,1))-AVERAGE(OFFSET($H$3,0,0,'Données projet'!$E$10+1,1))</f>
        <v>187.13674266165236</v>
      </c>
      <c r="AO100" s="62">
        <f t="shared" si="90"/>
        <v>439.28159165815276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23.240273959017156</v>
      </c>
      <c r="AV100" s="23">
        <f>EXP(-LN(2)/25)*AV99+(1-EXP(-LN(2)/25))/(LN(2)/25)*Calculateur!AQ100*Calculateur!AS100*VLOOKUP('Données projet'!$B$10,Paramètres!$A$1:$I$89,3,0)*0.475*44/12</f>
        <v>7.3556331083736781</v>
      </c>
      <c r="AW100" s="23">
        <f>EXP(-LN(2)/2)*AW99+(1-EXP(-LN(2)/2))/(LN(2)/2)*AQ100*AT100*VLOOKUP('Données projet'!$B$10,Paramètres!$A$1:$I$89,3,0)*0.475*44/12</f>
        <v>5.2669467970042865E-9</v>
      </c>
      <c r="AX100" s="23">
        <f t="shared" si="60"/>
        <v>30.595907072657781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-5.6843418860808015E-14</v>
      </c>
      <c r="BE100" s="14">
        <f>BD100*VLOOKUP('Données projet'!$B$11,Paramètres!$A$1:$I$89,3,0)*VLOOKUP('Données projet'!$B$11,Paramètres!$A$1:$I$89,5,0)</f>
        <v>-5.1431925385259088E-14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366.86025470473652</v>
      </c>
      <c r="BJ100" s="62">
        <f t="shared" si="92"/>
        <v>513.80016421153414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0.58215298770802504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0.58215298770802504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187.13674266165236</v>
      </c>
      <c r="T101" s="62">
        <f t="shared" si="88"/>
        <v>439.28159165815276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22.784546361848264</v>
      </c>
      <c r="AA101" s="23">
        <f>EXP(-LN(2)/25)*AA100+(1-EXP(-LN(2)/25))/(LN(2)/25)*Calculateur!V101*Calculateur!X101*VLOOKUP('Données projet'!$B$9,Paramètres!$A$1:$I$89,3,0)*0.475*44/12</f>
        <v>7.1544929342092667</v>
      </c>
      <c r="AB101" s="23">
        <f>EXP(-LN(2)/2)*AB100+(1-EXP(-LN(2)/2))/(LN(2)/2)*V101*Y101*VLOOKUP('Données projet'!$B$9,Paramètres!$A$1:$I$89,3,0)*0.475*44/12</f>
        <v>3.7242937963104975E-9</v>
      </c>
      <c r="AC101" s="24">
        <f t="shared" si="57"/>
        <v>29.939039299781825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1.1368683772161603E-13</v>
      </c>
      <c r="AJ101" s="14">
        <f>AI101*VLOOKUP('Données projet'!$B$10,Paramètres!$A$1:$I$89,3,0)*VLOOKUP('Données projet'!$B$10,Paramètres!$A$1:$I$89,5,0)</f>
        <v>6.7984728957526396E-14</v>
      </c>
      <c r="AK101" s="14">
        <f t="shared" si="89"/>
        <v>1.0682447123141398E-12</v>
      </c>
      <c r="AL101" s="22">
        <f t="shared" si="58"/>
        <v>1.978932943548152E-12</v>
      </c>
      <c r="AM101" s="62">
        <f t="shared" si="59"/>
        <v>293.3333333333353</v>
      </c>
      <c r="AN101" s="62">
        <f ca="1">AVERAGE(OFFSET($AM$3,0,0,'Données projet'!$E$10+1,1))-AVERAGE(OFFSET($H$3,0,0,'Données projet'!$E$10+1,1))</f>
        <v>187.13674266165236</v>
      </c>
      <c r="AO101" s="62">
        <f t="shared" si="90"/>
        <v>439.28159165815276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22.784546361848264</v>
      </c>
      <c r="AV101" s="23">
        <f>EXP(-LN(2)/25)*AV100+(1-EXP(-LN(2)/25))/(LN(2)/25)*Calculateur!AQ101*Calculateur!AS101*VLOOKUP('Données projet'!$B$10,Paramètres!$A$1:$I$89,3,0)*0.475*44/12</f>
        <v>7.1544929342092667</v>
      </c>
      <c r="AW101" s="23">
        <f>EXP(-LN(2)/2)*AW100+(1-EXP(-LN(2)/2))/(LN(2)/2)*AQ101*AT101*VLOOKUP('Données projet'!$B$10,Paramètres!$A$1:$I$89,3,0)*0.475*44/12</f>
        <v>3.7242937963104975E-9</v>
      </c>
      <c r="AX101" s="23">
        <f t="shared" si="60"/>
        <v>29.939039299781825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-5.6843418860808015E-14</v>
      </c>
      <c r="BE101" s="14">
        <f>BD101*VLOOKUP('Données projet'!$B$11,Paramètres!$A$1:$I$89,3,0)*VLOOKUP('Données projet'!$B$11,Paramètres!$A$1:$I$89,5,0)</f>
        <v>-5.1431925385259088E-14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366.86025470473652</v>
      </c>
      <c r="BJ101" s="62">
        <f t="shared" si="92"/>
        <v>513.80016421153414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0.57073732269733213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0.57073732269733213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187.13674266165236</v>
      </c>
      <c r="T102" s="62">
        <f t="shared" si="88"/>
        <v>439.28159165815276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22.337755304893467</v>
      </c>
      <c r="AA102" s="23">
        <f>EXP(-LN(2)/25)*AA101+(1-EXP(-LN(2)/25))/(LN(2)/25)*Calculateur!V102*Calculateur!X102*VLOOKUP('Données projet'!$B$9,Paramètres!$A$1:$I$89,3,0)*0.475*44/12</f>
        <v>6.9588529486848829</v>
      </c>
      <c r="AB102" s="23">
        <f>EXP(-LN(2)/2)*AB101+(1-EXP(-LN(2)/2))/(LN(2)/2)*V102*Y102*VLOOKUP('Données projet'!$B$9,Paramètres!$A$1:$I$89,3,0)*0.475*44/12</f>
        <v>2.6334733985021437E-9</v>
      </c>
      <c r="AC102" s="24">
        <f t="shared" si="57"/>
        <v>29.296608256211822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1.1368683772161603E-13</v>
      </c>
      <c r="AJ102" s="14">
        <f>AI102*VLOOKUP('Données projet'!$B$10,Paramètres!$A$1:$I$89,3,0)*VLOOKUP('Données projet'!$B$10,Paramètres!$A$1:$I$89,5,0)</f>
        <v>6.7984728957526396E-14</v>
      </c>
      <c r="AK102" s="14">
        <f t="shared" si="89"/>
        <v>1.0682447123141398E-12</v>
      </c>
      <c r="AL102" s="22">
        <f t="shared" si="58"/>
        <v>1.978932943548152E-12</v>
      </c>
      <c r="AM102" s="62">
        <f t="shared" si="59"/>
        <v>293.3333333333353</v>
      </c>
      <c r="AN102" s="62">
        <f ca="1">AVERAGE(OFFSET($AM$3,0,0,'Données projet'!$E$10+1,1))-AVERAGE(OFFSET($H$3,0,0,'Données projet'!$E$10+1,1))</f>
        <v>187.13674266165236</v>
      </c>
      <c r="AO102" s="62">
        <f t="shared" si="90"/>
        <v>439.28159165815276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22.337755304893467</v>
      </c>
      <c r="AV102" s="23">
        <f>EXP(-LN(2)/25)*AV101+(1-EXP(-LN(2)/25))/(LN(2)/25)*Calculateur!AQ102*Calculateur!AS102*VLOOKUP('Données projet'!$B$10,Paramètres!$A$1:$I$89,3,0)*0.475*44/12</f>
        <v>6.9588529486848829</v>
      </c>
      <c r="AW102" s="23">
        <f>EXP(-LN(2)/2)*AW101+(1-EXP(-LN(2)/2))/(LN(2)/2)*AQ102*AT102*VLOOKUP('Données projet'!$B$10,Paramètres!$A$1:$I$89,3,0)*0.475*44/12</f>
        <v>2.6334733985021437E-9</v>
      </c>
      <c r="AX102" s="23">
        <f t="shared" si="60"/>
        <v>29.296608256211822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-5.6843418860808015E-14</v>
      </c>
      <c r="BE102" s="14">
        <f>BD102*VLOOKUP('Données projet'!$B$11,Paramètres!$A$1:$I$89,3,0)*VLOOKUP('Données projet'!$B$11,Paramètres!$A$1:$I$89,5,0)</f>
        <v>-5.1431925385259088E-14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366.86025470473652</v>
      </c>
      <c r="BJ102" s="62">
        <f t="shared" si="92"/>
        <v>513.80016421153414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0.55954551191463076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0.55954551191463076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187.13674266165236</v>
      </c>
      <c r="T103" s="62">
        <f t="shared" si="88"/>
        <v>439.28159165815276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21.899725548049915</v>
      </c>
      <c r="AA103" s="23">
        <f>EXP(-LN(2)/25)*AA102+(1-EXP(-LN(2)/25))/(LN(2)/25)*Calculateur!V103*Calculateur!X103*VLOOKUP('Données projet'!$B$9,Paramètres!$A$1:$I$89,3,0)*0.475*44/12</f>
        <v>6.768562748852923</v>
      </c>
      <c r="AB103" s="23">
        <f>EXP(-LN(2)/2)*AB102+(1-EXP(-LN(2)/2))/(LN(2)/2)*V103*Y103*VLOOKUP('Données projet'!$B$9,Paramètres!$A$1:$I$89,3,0)*0.475*44/12</f>
        <v>1.8621468981552492E-9</v>
      </c>
      <c r="AC103" s="24">
        <f t="shared" si="57"/>
        <v>28.668288298764985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1.1368683772161603E-13</v>
      </c>
      <c r="AJ103" s="14">
        <f>AI103*VLOOKUP('Données projet'!$B$10,Paramètres!$A$1:$I$89,3,0)*VLOOKUP('Données projet'!$B$10,Paramètres!$A$1:$I$89,5,0)</f>
        <v>6.7984728957526396E-14</v>
      </c>
      <c r="AK103" s="14">
        <f t="shared" si="89"/>
        <v>1.0682447123141398E-12</v>
      </c>
      <c r="AL103" s="22">
        <f t="shared" si="58"/>
        <v>1.978932943548152E-12</v>
      </c>
      <c r="AM103" s="62">
        <f t="shared" si="59"/>
        <v>293.3333333333353</v>
      </c>
      <c r="AN103" s="62">
        <f ca="1">AVERAGE(OFFSET($AM$3,0,0,'Données projet'!$E$10+1,1))-AVERAGE(OFFSET($H$3,0,0,'Données projet'!$E$10+1,1))</f>
        <v>187.13674266165236</v>
      </c>
      <c r="AO103" s="62">
        <f t="shared" si="90"/>
        <v>439.28159165815276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21.899725548049915</v>
      </c>
      <c r="AV103" s="23">
        <f>EXP(-LN(2)/25)*AV102+(1-EXP(-LN(2)/25))/(LN(2)/25)*Calculateur!AQ103*Calculateur!AS103*VLOOKUP('Données projet'!$B$10,Paramètres!$A$1:$I$89,3,0)*0.475*44/12</f>
        <v>6.768562748852923</v>
      </c>
      <c r="AW103" s="23">
        <f>EXP(-LN(2)/2)*AW102+(1-EXP(-LN(2)/2))/(LN(2)/2)*AQ103*AT103*VLOOKUP('Données projet'!$B$10,Paramètres!$A$1:$I$89,3,0)*0.475*44/12</f>
        <v>1.8621468981552492E-9</v>
      </c>
      <c r="AX103" s="23">
        <f t="shared" si="60"/>
        <v>28.668288298764985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-5.6843418860808015E-14</v>
      </c>
      <c r="BE103" s="14">
        <f>BD103*VLOOKUP('Données projet'!$B$11,Paramètres!$A$1:$I$89,3,0)*VLOOKUP('Données projet'!$B$11,Paramètres!$A$1:$I$89,5,0)</f>
        <v>-5.1431925385259088E-14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366.86025470473652</v>
      </c>
      <c r="BJ103" s="62">
        <f t="shared" si="92"/>
        <v>513.80016421153414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0.54857316571504766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0.54857316571504766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187.13674266165236</v>
      </c>
      <c r="T104" s="62">
        <f t="shared" si="88"/>
        <v>439.28159165815276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21.470285287566295</v>
      </c>
      <c r="AA104" s="23">
        <f>EXP(-LN(2)/25)*AA103+(1-EXP(-LN(2)/25))/(LN(2)/25)*Calculateur!V104*Calculateur!X104*VLOOKUP('Données projet'!$B$9,Paramètres!$A$1:$I$89,3,0)*0.475*44/12</f>
        <v>6.5834760445422944</v>
      </c>
      <c r="AB104" s="23">
        <f>EXP(-LN(2)/2)*AB103+(1-EXP(-LN(2)/2))/(LN(2)/2)*V104*Y104*VLOOKUP('Données projet'!$B$9,Paramètres!$A$1:$I$89,3,0)*0.475*44/12</f>
        <v>1.316736699251072E-9</v>
      </c>
      <c r="AC104" s="24">
        <f t="shared" si="57"/>
        <v>28.053761333425324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1.1368683772161603E-13</v>
      </c>
      <c r="AJ104" s="14">
        <f>AI104*VLOOKUP('Données projet'!$B$10,Paramètres!$A$1:$I$89,3,0)*VLOOKUP('Données projet'!$B$10,Paramètres!$A$1:$I$89,5,0)</f>
        <v>6.7984728957526396E-14</v>
      </c>
      <c r="AK104" s="14">
        <f t="shared" si="89"/>
        <v>1.0682447123141398E-12</v>
      </c>
      <c r="AL104" s="22">
        <f t="shared" si="58"/>
        <v>1.978932943548152E-12</v>
      </c>
      <c r="AM104" s="62">
        <f t="shared" si="59"/>
        <v>293.3333333333353</v>
      </c>
      <c r="AN104" s="62">
        <f ca="1">AVERAGE(OFFSET($AM$3,0,0,'Données projet'!$E$10+1,1))-AVERAGE(OFFSET($H$3,0,0,'Données projet'!$E$10+1,1))</f>
        <v>187.13674266165236</v>
      </c>
      <c r="AO104" s="62">
        <f t="shared" si="90"/>
        <v>439.28159165815276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21.470285287566295</v>
      </c>
      <c r="AV104" s="23">
        <f>EXP(-LN(2)/25)*AV103+(1-EXP(-LN(2)/25))/(LN(2)/25)*Calculateur!AQ104*Calculateur!AS104*VLOOKUP('Données projet'!$B$10,Paramètres!$A$1:$I$89,3,0)*0.475*44/12</f>
        <v>6.5834760445422944</v>
      </c>
      <c r="AW104" s="23">
        <f>EXP(-LN(2)/2)*AW103+(1-EXP(-LN(2)/2))/(LN(2)/2)*AQ104*AT104*VLOOKUP('Données projet'!$B$10,Paramètres!$A$1:$I$89,3,0)*0.475*44/12</f>
        <v>1.316736699251072E-9</v>
      </c>
      <c r="AX104" s="23">
        <f t="shared" si="60"/>
        <v>28.053761333425324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-5.6843418860808015E-14</v>
      </c>
      <c r="BE104" s="14">
        <f>BD104*VLOOKUP('Données projet'!$B$11,Paramètres!$A$1:$I$89,3,0)*VLOOKUP('Données projet'!$B$11,Paramètres!$A$1:$I$89,5,0)</f>
        <v>-5.1431925385259088E-14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366.86025470473652</v>
      </c>
      <c r="BJ104" s="62">
        <f t="shared" si="92"/>
        <v>513.80016421153414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0.537815980531968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0.537815980531968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187.13674266165236</v>
      </c>
      <c r="T105" s="62">
        <f t="shared" si="88"/>
        <v>439.28159165815276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21.049266088658065</v>
      </c>
      <c r="AA105" s="23">
        <f>EXP(-LN(2)/25)*AA104+(1-EXP(-LN(2)/25))/(LN(2)/25)*Calculateur!V105*Calculateur!X105*VLOOKUP('Données projet'!$B$9,Paramètres!$A$1:$I$89,3,0)*0.475*44/12</f>
        <v>6.4034505458943265</v>
      </c>
      <c r="AB105" s="23">
        <f>EXP(-LN(2)/2)*AB104+(1-EXP(-LN(2)/2))/(LN(2)/2)*V105*Y105*VLOOKUP('Données projet'!$B$9,Paramètres!$A$1:$I$89,3,0)*0.475*44/12</f>
        <v>9.3107344907762469E-10</v>
      </c>
      <c r="AC105" s="24">
        <f t="shared" si="57"/>
        <v>27.452716635483466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1.1368683772161603E-13</v>
      </c>
      <c r="AJ105" s="14">
        <f>AI105*VLOOKUP('Données projet'!$B$10,Paramètres!$A$1:$I$89,3,0)*VLOOKUP('Données projet'!$B$10,Paramètres!$A$1:$I$89,5,0)</f>
        <v>6.7984728957526396E-14</v>
      </c>
      <c r="AK105" s="14">
        <f t="shared" si="89"/>
        <v>1.0682447123141398E-12</v>
      </c>
      <c r="AL105" s="22">
        <f t="shared" si="58"/>
        <v>1.978932943548152E-12</v>
      </c>
      <c r="AM105" s="62">
        <f t="shared" si="59"/>
        <v>293.3333333333353</v>
      </c>
      <c r="AN105" s="62">
        <f ca="1">AVERAGE(OFFSET($AM$3,0,0,'Données projet'!$E$10+1,1))-AVERAGE(OFFSET($H$3,0,0,'Données projet'!$E$10+1,1))</f>
        <v>187.13674266165236</v>
      </c>
      <c r="AO105" s="62">
        <f t="shared" si="90"/>
        <v>439.28159165815276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21.049266088658065</v>
      </c>
      <c r="AV105" s="23">
        <f>EXP(-LN(2)/25)*AV104+(1-EXP(-LN(2)/25))/(LN(2)/25)*Calculateur!AQ105*Calculateur!AS105*VLOOKUP('Données projet'!$B$10,Paramètres!$A$1:$I$89,3,0)*0.475*44/12</f>
        <v>6.4034505458943265</v>
      </c>
      <c r="AW105" s="23">
        <f>EXP(-LN(2)/2)*AW104+(1-EXP(-LN(2)/2))/(LN(2)/2)*AQ105*AT105*VLOOKUP('Données projet'!$B$10,Paramètres!$A$1:$I$89,3,0)*0.475*44/12</f>
        <v>9.3107344907762469E-10</v>
      </c>
      <c r="AX105" s="23">
        <f t="shared" si="60"/>
        <v>27.452716635483466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-5.6843418860808015E-14</v>
      </c>
      <c r="BE105" s="14">
        <f>BD105*VLOOKUP('Données projet'!$B$11,Paramètres!$A$1:$I$89,3,0)*VLOOKUP('Données projet'!$B$11,Paramètres!$A$1:$I$89,5,0)</f>
        <v>-5.1431925385259088E-14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366.86025470473652</v>
      </c>
      <c r="BJ105" s="62">
        <f t="shared" si="92"/>
        <v>513.80016421153414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0.52726973718909342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0.52726973718909342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187.13674266165236</v>
      </c>
      <c r="T106" s="62">
        <f t="shared" si="88"/>
        <v>439.28159165815276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20.636502819444068</v>
      </c>
      <c r="AA106" s="23">
        <f>EXP(-LN(2)/25)*AA105+(1-EXP(-LN(2)/25))/(LN(2)/25)*Calculateur!V106*Calculateur!X106*VLOOKUP('Données projet'!$B$9,Paramètres!$A$1:$I$89,3,0)*0.475*44/12</f>
        <v>6.2283478539740171</v>
      </c>
      <c r="AB106" s="23">
        <f>EXP(-LN(2)/2)*AB105+(1-EXP(-LN(2)/2))/(LN(2)/2)*V106*Y106*VLOOKUP('Données projet'!$B$9,Paramètres!$A$1:$I$89,3,0)*0.475*44/12</f>
        <v>6.5836834962553613E-10</v>
      </c>
      <c r="AC106" s="24">
        <f t="shared" si="57"/>
        <v>26.864850674076454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1.1368683772161603E-13</v>
      </c>
      <c r="AJ106" s="14">
        <f>AI106*VLOOKUP('Données projet'!$B$10,Paramètres!$A$1:$I$89,3,0)*VLOOKUP('Données projet'!$B$10,Paramètres!$A$1:$I$89,5,0)</f>
        <v>6.7984728957526396E-14</v>
      </c>
      <c r="AK106" s="14">
        <f t="shared" si="89"/>
        <v>1.0682447123141398E-12</v>
      </c>
      <c r="AL106" s="22">
        <f t="shared" si="58"/>
        <v>1.978932943548152E-12</v>
      </c>
      <c r="AM106" s="62">
        <f t="shared" si="59"/>
        <v>293.3333333333353</v>
      </c>
      <c r="AN106" s="62">
        <f ca="1">AVERAGE(OFFSET($AM$3,0,0,'Données projet'!$E$10+1,1))-AVERAGE(OFFSET($H$3,0,0,'Données projet'!$E$10+1,1))</f>
        <v>187.13674266165236</v>
      </c>
      <c r="AO106" s="62">
        <f t="shared" si="90"/>
        <v>439.28159165815276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20.636502819444068</v>
      </c>
      <c r="AV106" s="23">
        <f>EXP(-LN(2)/25)*AV105+(1-EXP(-LN(2)/25))/(LN(2)/25)*Calculateur!AQ106*Calculateur!AS106*VLOOKUP('Données projet'!$B$10,Paramètres!$A$1:$I$89,3,0)*0.475*44/12</f>
        <v>6.2283478539740171</v>
      </c>
      <c r="AW106" s="23">
        <f>EXP(-LN(2)/2)*AW105+(1-EXP(-LN(2)/2))/(LN(2)/2)*AQ106*AT106*VLOOKUP('Données projet'!$B$10,Paramètres!$A$1:$I$89,3,0)*0.475*44/12</f>
        <v>6.5836834962553613E-10</v>
      </c>
      <c r="AX106" s="23">
        <f t="shared" si="60"/>
        <v>26.864850674076454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-5.6843418860808015E-14</v>
      </c>
      <c r="BE106" s="14">
        <f>BD106*VLOOKUP('Données projet'!$B$11,Paramètres!$A$1:$I$89,3,0)*VLOOKUP('Données projet'!$B$11,Paramètres!$A$1:$I$89,5,0)</f>
        <v>-5.1431925385259088E-14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366.86025470473652</v>
      </c>
      <c r="BJ106" s="62">
        <f t="shared" si="92"/>
        <v>513.80016421153414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0.5169302992455993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0.5169302992455993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187.13674266165236</v>
      </c>
      <c r="T107" s="62">
        <f t="shared" si="88"/>
        <v>439.28159165815276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20.231833586178624</v>
      </c>
      <c r="AA107" s="23">
        <f>EXP(-LN(2)/25)*AA106+(1-EXP(-LN(2)/25))/(LN(2)/25)*Calculateur!V107*Calculateur!X107*VLOOKUP('Données projet'!$B$9,Paramètres!$A$1:$I$89,3,0)*0.475*44/12</f>
        <v>6.0580333543725189</v>
      </c>
      <c r="AB107" s="23">
        <f>EXP(-LN(2)/2)*AB106+(1-EXP(-LN(2)/2))/(LN(2)/2)*V107*Y107*VLOOKUP('Données projet'!$B$9,Paramètres!$A$1:$I$89,3,0)*0.475*44/12</f>
        <v>4.6553672453881245E-10</v>
      </c>
      <c r="AC107" s="24">
        <f t="shared" si="57"/>
        <v>26.28986694101668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1.1368683772161603E-13</v>
      </c>
      <c r="AJ107" s="14">
        <f>AI107*VLOOKUP('Données projet'!$B$10,Paramètres!$A$1:$I$89,3,0)*VLOOKUP('Données projet'!$B$10,Paramètres!$A$1:$I$89,5,0)</f>
        <v>6.7984728957526396E-14</v>
      </c>
      <c r="AK107" s="14">
        <f t="shared" si="89"/>
        <v>1.0682447123141398E-12</v>
      </c>
      <c r="AL107" s="22">
        <f t="shared" si="58"/>
        <v>1.978932943548152E-12</v>
      </c>
      <c r="AM107" s="62">
        <f t="shared" si="59"/>
        <v>293.3333333333353</v>
      </c>
      <c r="AN107" s="62">
        <f ca="1">AVERAGE(OFFSET($AM$3,0,0,'Données projet'!$E$10+1,1))-AVERAGE(OFFSET($H$3,0,0,'Données projet'!$E$10+1,1))</f>
        <v>187.13674266165236</v>
      </c>
      <c r="AO107" s="62">
        <f t="shared" si="90"/>
        <v>439.28159165815276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20.231833586178624</v>
      </c>
      <c r="AV107" s="23">
        <f>EXP(-LN(2)/25)*AV106+(1-EXP(-LN(2)/25))/(LN(2)/25)*Calculateur!AQ107*Calculateur!AS107*VLOOKUP('Données projet'!$B$10,Paramètres!$A$1:$I$89,3,0)*0.475*44/12</f>
        <v>6.0580333543725189</v>
      </c>
      <c r="AW107" s="23">
        <f>EXP(-LN(2)/2)*AW106+(1-EXP(-LN(2)/2))/(LN(2)/2)*AQ107*AT107*VLOOKUP('Données projet'!$B$10,Paramètres!$A$1:$I$89,3,0)*0.475*44/12</f>
        <v>4.6553672453881245E-10</v>
      </c>
      <c r="AX107" s="23">
        <f t="shared" si="60"/>
        <v>26.28986694101668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-5.6843418860808015E-14</v>
      </c>
      <c r="BE107" s="14">
        <f>BD107*VLOOKUP('Données projet'!$B$11,Paramètres!$A$1:$I$89,3,0)*VLOOKUP('Données projet'!$B$11,Paramètres!$A$1:$I$89,5,0)</f>
        <v>-5.1431925385259088E-14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366.86025470473652</v>
      </c>
      <c r="BJ107" s="62">
        <f t="shared" si="92"/>
        <v>513.80016421153414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0.50679361137374268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0.50679361137374268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187.13674266165236</v>
      </c>
      <c r="T108" s="62">
        <f t="shared" si="88"/>
        <v>439.28159165815276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19.835099669753657</v>
      </c>
      <c r="AA108" s="23">
        <f>EXP(-LN(2)/25)*AA107+(1-EXP(-LN(2)/25))/(LN(2)/25)*Calculateur!V108*Calculateur!X108*VLOOKUP('Données projet'!$B$9,Paramètres!$A$1:$I$89,3,0)*0.475*44/12</f>
        <v>5.8923761137190738</v>
      </c>
      <c r="AB108" s="23">
        <f>EXP(-LN(2)/2)*AB107+(1-EXP(-LN(2)/2))/(LN(2)/2)*V108*Y108*VLOOKUP('Données projet'!$B$9,Paramètres!$A$1:$I$89,3,0)*0.475*44/12</f>
        <v>3.2918417481276811E-10</v>
      </c>
      <c r="AC108" s="24">
        <f t="shared" si="57"/>
        <v>25.727475783801914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1.1368683772161603E-13</v>
      </c>
      <c r="AJ108" s="14">
        <f>AI108*VLOOKUP('Données projet'!$B$10,Paramètres!$A$1:$I$89,3,0)*VLOOKUP('Données projet'!$B$10,Paramètres!$A$1:$I$89,5,0)</f>
        <v>6.7984728957526396E-14</v>
      </c>
      <c r="AK108" s="14">
        <f t="shared" si="89"/>
        <v>1.0682447123141398E-12</v>
      </c>
      <c r="AL108" s="22">
        <f t="shared" si="58"/>
        <v>1.978932943548152E-12</v>
      </c>
      <c r="AM108" s="62">
        <f t="shared" si="59"/>
        <v>293.3333333333353</v>
      </c>
      <c r="AN108" s="62">
        <f ca="1">AVERAGE(OFFSET($AM$3,0,0,'Données projet'!$E$10+1,1))-AVERAGE(OFFSET($H$3,0,0,'Données projet'!$E$10+1,1))</f>
        <v>187.13674266165236</v>
      </c>
      <c r="AO108" s="62">
        <f t="shared" si="90"/>
        <v>439.28159165815276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19.835099669753657</v>
      </c>
      <c r="AV108" s="23">
        <f>EXP(-LN(2)/25)*AV107+(1-EXP(-LN(2)/25))/(LN(2)/25)*Calculateur!AQ108*Calculateur!AS108*VLOOKUP('Données projet'!$B$10,Paramètres!$A$1:$I$89,3,0)*0.475*44/12</f>
        <v>5.8923761137190738</v>
      </c>
      <c r="AW108" s="23">
        <f>EXP(-LN(2)/2)*AW107+(1-EXP(-LN(2)/2))/(LN(2)/2)*AQ108*AT108*VLOOKUP('Données projet'!$B$10,Paramètres!$A$1:$I$89,3,0)*0.475*44/12</f>
        <v>3.2918417481276811E-10</v>
      </c>
      <c r="AX108" s="23">
        <f t="shared" si="60"/>
        <v>25.727475783801914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-5.6843418860808015E-14</v>
      </c>
      <c r="BE108" s="14">
        <f>BD108*VLOOKUP('Données projet'!$B$11,Paramètres!$A$1:$I$89,3,0)*VLOOKUP('Données projet'!$B$11,Paramètres!$A$1:$I$89,5,0)</f>
        <v>-5.1431925385259088E-14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366.86025470473652</v>
      </c>
      <c r="BJ108" s="62">
        <f t="shared" si="92"/>
        <v>513.80016421153414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0.49685569776828409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0.49685569776828409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187.13674266165236</v>
      </c>
      <c r="T109" s="62">
        <f t="shared" si="88"/>
        <v>439.28159165815276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19.446145463445987</v>
      </c>
      <c r="AA109" s="23">
        <f>EXP(-LN(2)/25)*AA108+(1-EXP(-LN(2)/25))/(LN(2)/25)*Calculateur!V109*Calculateur!X109*VLOOKUP('Données projet'!$B$9,Paramètres!$A$1:$I$89,3,0)*0.475*44/12</f>
        <v>5.7312487790228328</v>
      </c>
      <c r="AB109" s="23">
        <f>EXP(-LN(2)/2)*AB108+(1-EXP(-LN(2)/2))/(LN(2)/2)*V109*Y109*VLOOKUP('Données projet'!$B$9,Paramètres!$A$1:$I$89,3,0)*0.475*44/12</f>
        <v>2.3276836226940625E-10</v>
      </c>
      <c r="AC109" s="24">
        <f t="shared" si="57"/>
        <v>25.177394242701588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1.1368683772161603E-13</v>
      </c>
      <c r="AJ109" s="14">
        <f>AI109*VLOOKUP('Données projet'!$B$10,Paramètres!$A$1:$I$89,3,0)*VLOOKUP('Données projet'!$B$10,Paramètres!$A$1:$I$89,5,0)</f>
        <v>6.7984728957526396E-14</v>
      </c>
      <c r="AK109" s="14">
        <f t="shared" si="89"/>
        <v>1.0682447123141398E-12</v>
      </c>
      <c r="AL109" s="22">
        <f t="shared" si="58"/>
        <v>1.978932943548152E-12</v>
      </c>
      <c r="AM109" s="62">
        <f t="shared" si="59"/>
        <v>293.3333333333353</v>
      </c>
      <c r="AN109" s="62">
        <f ca="1">AVERAGE(OFFSET($AM$3,0,0,'Données projet'!$E$10+1,1))-AVERAGE(OFFSET($H$3,0,0,'Données projet'!$E$10+1,1))</f>
        <v>187.13674266165236</v>
      </c>
      <c r="AO109" s="62">
        <f t="shared" si="90"/>
        <v>439.28159165815276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19.446145463445987</v>
      </c>
      <c r="AV109" s="23">
        <f>EXP(-LN(2)/25)*AV108+(1-EXP(-LN(2)/25))/(LN(2)/25)*Calculateur!AQ109*Calculateur!AS109*VLOOKUP('Données projet'!$B$10,Paramètres!$A$1:$I$89,3,0)*0.475*44/12</f>
        <v>5.7312487790228328</v>
      </c>
      <c r="AW109" s="23">
        <f>EXP(-LN(2)/2)*AW108+(1-EXP(-LN(2)/2))/(LN(2)/2)*AQ109*AT109*VLOOKUP('Données projet'!$B$10,Paramètres!$A$1:$I$89,3,0)*0.475*44/12</f>
        <v>2.3276836226940625E-10</v>
      </c>
      <c r="AX109" s="23">
        <f t="shared" si="60"/>
        <v>25.177394242701588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-5.6843418860808015E-14</v>
      </c>
      <c r="BE109" s="14">
        <f>BD109*VLOOKUP('Données projet'!$B$11,Paramètres!$A$1:$I$89,3,0)*VLOOKUP('Données projet'!$B$11,Paramètres!$A$1:$I$89,5,0)</f>
        <v>-5.1431925385259088E-14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366.86025470473652</v>
      </c>
      <c r="BJ109" s="62">
        <f t="shared" si="92"/>
        <v>513.80016421153414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0.48711266058709979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0.48711266058709979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187.13674266165236</v>
      </c>
      <c r="T110" s="62">
        <f t="shared" si="88"/>
        <v>439.28159165815276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19.064818411885369</v>
      </c>
      <c r="AA110" s="23">
        <f>EXP(-LN(2)/25)*AA109+(1-EXP(-LN(2)/25))/(LN(2)/25)*Calculateur!V110*Calculateur!X110*VLOOKUP('Données projet'!$B$9,Paramètres!$A$1:$I$89,3,0)*0.475*44/12</f>
        <v>5.5745274797671787</v>
      </c>
      <c r="AB110" s="23">
        <f>EXP(-LN(2)/2)*AB109+(1-EXP(-LN(2)/2))/(LN(2)/2)*V110*Y110*VLOOKUP('Données projet'!$B$9,Paramètres!$A$1:$I$89,3,0)*0.475*44/12</f>
        <v>1.6459208740638408E-10</v>
      </c>
      <c r="AC110" s="24">
        <f t="shared" si="57"/>
        <v>24.63934589181714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1.1368683772161603E-13</v>
      </c>
      <c r="AJ110" s="14">
        <f>AI110*VLOOKUP('Données projet'!$B$10,Paramètres!$A$1:$I$89,3,0)*VLOOKUP('Données projet'!$B$10,Paramètres!$A$1:$I$89,5,0)</f>
        <v>6.7984728957526396E-14</v>
      </c>
      <c r="AK110" s="14">
        <f t="shared" si="89"/>
        <v>1.0682447123141398E-12</v>
      </c>
      <c r="AL110" s="22">
        <f t="shared" si="58"/>
        <v>1.978932943548152E-12</v>
      </c>
      <c r="AM110" s="62">
        <f t="shared" si="59"/>
        <v>293.3333333333353</v>
      </c>
      <c r="AN110" s="62">
        <f ca="1">AVERAGE(OFFSET($AM$3,0,0,'Données projet'!$E$10+1,1))-AVERAGE(OFFSET($H$3,0,0,'Données projet'!$E$10+1,1))</f>
        <v>187.13674266165236</v>
      </c>
      <c r="AO110" s="62">
        <f t="shared" si="90"/>
        <v>439.28159165815276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19.064818411885369</v>
      </c>
      <c r="AV110" s="23">
        <f>EXP(-LN(2)/25)*AV109+(1-EXP(-LN(2)/25))/(LN(2)/25)*Calculateur!AQ110*Calculateur!AS110*VLOOKUP('Données projet'!$B$10,Paramètres!$A$1:$I$89,3,0)*0.475*44/12</f>
        <v>5.5745274797671787</v>
      </c>
      <c r="AW110" s="23">
        <f>EXP(-LN(2)/2)*AW109+(1-EXP(-LN(2)/2))/(LN(2)/2)*AQ110*AT110*VLOOKUP('Données projet'!$B$10,Paramètres!$A$1:$I$89,3,0)*0.475*44/12</f>
        <v>1.6459208740638408E-10</v>
      </c>
      <c r="AX110" s="23">
        <f t="shared" si="60"/>
        <v>24.63934589181714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-5.6843418860808015E-14</v>
      </c>
      <c r="BE110" s="14">
        <f>BD110*VLOOKUP('Données projet'!$B$11,Paramètres!$A$1:$I$89,3,0)*VLOOKUP('Données projet'!$B$11,Paramètres!$A$1:$I$89,5,0)</f>
        <v>-5.1431925385259088E-14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366.86025470473652</v>
      </c>
      <c r="BJ110" s="62">
        <f t="shared" si="92"/>
        <v>513.80016421153414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0.4775606784223726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0.4775606784223726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187.13674266165236</v>
      </c>
      <c r="T111" s="62">
        <f t="shared" si="88"/>
        <v>439.28159165815276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18.690968951219322</v>
      </c>
      <c r="AA111" s="23">
        <f>EXP(-LN(2)/25)*AA110+(1-EXP(-LN(2)/25))/(LN(2)/25)*Calculateur!V111*Calculateur!X111*VLOOKUP('Données projet'!$B$9,Paramètres!$A$1:$I$89,3,0)*0.475*44/12</f>
        <v>5.4220917326812854</v>
      </c>
      <c r="AB111" s="23">
        <f>EXP(-LN(2)/2)*AB110+(1-EXP(-LN(2)/2))/(LN(2)/2)*V111*Y111*VLOOKUP('Données projet'!$B$9,Paramètres!$A$1:$I$89,3,0)*0.475*44/12</f>
        <v>1.1638418113470314E-10</v>
      </c>
      <c r="AC111" s="24">
        <f t="shared" si="57"/>
        <v>24.11306068401699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1.1368683772161603E-13</v>
      </c>
      <c r="AJ111" s="14">
        <f>AI111*VLOOKUP('Données projet'!$B$10,Paramètres!$A$1:$I$89,3,0)*VLOOKUP('Données projet'!$B$10,Paramètres!$A$1:$I$89,5,0)</f>
        <v>6.7984728957526396E-14</v>
      </c>
      <c r="AK111" s="14">
        <f t="shared" si="89"/>
        <v>1.0682447123141398E-12</v>
      </c>
      <c r="AL111" s="22">
        <f t="shared" si="58"/>
        <v>1.978932943548152E-12</v>
      </c>
      <c r="AM111" s="62">
        <f t="shared" si="59"/>
        <v>293.3333333333353</v>
      </c>
      <c r="AN111" s="62">
        <f ca="1">AVERAGE(OFFSET($AM$3,0,0,'Données projet'!$E$10+1,1))-AVERAGE(OFFSET($H$3,0,0,'Données projet'!$E$10+1,1))</f>
        <v>187.13674266165236</v>
      </c>
      <c r="AO111" s="62">
        <f t="shared" si="90"/>
        <v>439.28159165815276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18.690968951219322</v>
      </c>
      <c r="AV111" s="23">
        <f>EXP(-LN(2)/25)*AV110+(1-EXP(-LN(2)/25))/(LN(2)/25)*Calculateur!AQ111*Calculateur!AS111*VLOOKUP('Données projet'!$B$10,Paramètres!$A$1:$I$89,3,0)*0.475*44/12</f>
        <v>5.4220917326812854</v>
      </c>
      <c r="AW111" s="23">
        <f>EXP(-LN(2)/2)*AW110+(1-EXP(-LN(2)/2))/(LN(2)/2)*AQ111*AT111*VLOOKUP('Données projet'!$B$10,Paramètres!$A$1:$I$89,3,0)*0.475*44/12</f>
        <v>1.1638418113470314E-10</v>
      </c>
      <c r="AX111" s="23">
        <f t="shared" si="60"/>
        <v>24.11306068401699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-5.6843418860808015E-14</v>
      </c>
      <c r="BE111" s="14">
        <f>BD111*VLOOKUP('Données projet'!$B$11,Paramètres!$A$1:$I$89,3,0)*VLOOKUP('Données projet'!$B$11,Paramètres!$A$1:$I$89,5,0)</f>
        <v>-5.1431925385259088E-14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366.86025470473652</v>
      </c>
      <c r="BJ111" s="62">
        <f t="shared" si="92"/>
        <v>513.80016421153414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0.46819600480176188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0.46819600480176188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187.13674266165236</v>
      </c>
      <c r="T112" s="62">
        <f t="shared" si="88"/>
        <v>439.28159165815276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18.324450450451277</v>
      </c>
      <c r="AA112" s="23">
        <f>EXP(-LN(2)/25)*AA111+(1-EXP(-LN(2)/25))/(LN(2)/25)*Calculateur!V112*Calculateur!X112*VLOOKUP('Données projet'!$B$9,Paramètres!$A$1:$I$89,3,0)*0.475*44/12</f>
        <v>5.2738243491157037</v>
      </c>
      <c r="AB112" s="23">
        <f>EXP(-LN(2)/2)*AB111+(1-EXP(-LN(2)/2))/(LN(2)/2)*V112*Y112*VLOOKUP('Données projet'!$B$9,Paramètres!$A$1:$I$89,3,0)*0.475*44/12</f>
        <v>8.2296043703192055E-11</v>
      </c>
      <c r="AC112" s="24">
        <f t="shared" si="57"/>
        <v>23.598274799649275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1.1368683772161603E-13</v>
      </c>
      <c r="AJ112" s="14">
        <f>AI112*VLOOKUP('Données projet'!$B$10,Paramètres!$A$1:$I$89,3,0)*VLOOKUP('Données projet'!$B$10,Paramètres!$A$1:$I$89,5,0)</f>
        <v>6.7984728957526396E-14</v>
      </c>
      <c r="AK112" s="14">
        <f t="shared" si="89"/>
        <v>1.0682447123141398E-12</v>
      </c>
      <c r="AL112" s="22">
        <f t="shared" si="58"/>
        <v>1.978932943548152E-12</v>
      </c>
      <c r="AM112" s="62">
        <f t="shared" si="59"/>
        <v>293.3333333333353</v>
      </c>
      <c r="AN112" s="62">
        <f ca="1">AVERAGE(OFFSET($AM$3,0,0,'Données projet'!$E$10+1,1))-AVERAGE(OFFSET($H$3,0,0,'Données projet'!$E$10+1,1))</f>
        <v>187.13674266165236</v>
      </c>
      <c r="AO112" s="62">
        <f t="shared" si="90"/>
        <v>439.28159165815276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18.324450450451277</v>
      </c>
      <c r="AV112" s="23">
        <f>EXP(-LN(2)/25)*AV111+(1-EXP(-LN(2)/25))/(LN(2)/25)*Calculateur!AQ112*Calculateur!AS112*VLOOKUP('Données projet'!$B$10,Paramètres!$A$1:$I$89,3,0)*0.475*44/12</f>
        <v>5.2738243491157037</v>
      </c>
      <c r="AW112" s="23">
        <f>EXP(-LN(2)/2)*AW111+(1-EXP(-LN(2)/2))/(LN(2)/2)*AQ112*AT112*VLOOKUP('Données projet'!$B$10,Paramètres!$A$1:$I$89,3,0)*0.475*44/12</f>
        <v>8.2296043703192055E-11</v>
      </c>
      <c r="AX112" s="23">
        <f t="shared" si="60"/>
        <v>23.598274799649275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-5.6843418860808015E-14</v>
      </c>
      <c r="BE112" s="14">
        <f>BD112*VLOOKUP('Données projet'!$B$11,Paramètres!$A$1:$I$89,3,0)*VLOOKUP('Données projet'!$B$11,Paramètres!$A$1:$I$89,5,0)</f>
        <v>-5.1431925385259088E-14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366.86025470473652</v>
      </c>
      <c r="BJ112" s="62">
        <f t="shared" si="92"/>
        <v>513.80016421153414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0.45901496671896441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0.45901496671896441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187.13674266165236</v>
      </c>
      <c r="T113" s="62">
        <f t="shared" si="88"/>
        <v>439.28159165815276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17.965119153929084</v>
      </c>
      <c r="AA113" s="23">
        <f>EXP(-LN(2)/25)*AA112+(1-EXP(-LN(2)/25))/(LN(2)/25)*Calculateur!V113*Calculateur!X113*VLOOKUP('Données projet'!$B$9,Paramètres!$A$1:$I$89,3,0)*0.475*44/12</f>
        <v>5.1296113449507654</v>
      </c>
      <c r="AB113" s="23">
        <f>EXP(-LN(2)/2)*AB112+(1-EXP(-LN(2)/2))/(LN(2)/2)*V113*Y113*VLOOKUP('Données projet'!$B$9,Paramètres!$A$1:$I$89,3,0)*0.475*44/12</f>
        <v>5.8192090567351582E-11</v>
      </c>
      <c r="AC113" s="24">
        <f t="shared" si="57"/>
        <v>23.094730498938041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1.1368683772161603E-13</v>
      </c>
      <c r="AJ113" s="14">
        <f>AI113*VLOOKUP('Données projet'!$B$10,Paramètres!$A$1:$I$89,3,0)*VLOOKUP('Données projet'!$B$10,Paramètres!$A$1:$I$89,5,0)</f>
        <v>6.7984728957526396E-14</v>
      </c>
      <c r="AK113" s="14">
        <f t="shared" si="89"/>
        <v>1.0682447123141398E-12</v>
      </c>
      <c r="AL113" s="22">
        <f t="shared" si="58"/>
        <v>1.978932943548152E-12</v>
      </c>
      <c r="AM113" s="62">
        <f t="shared" si="59"/>
        <v>293.3333333333353</v>
      </c>
      <c r="AN113" s="62">
        <f ca="1">AVERAGE(OFFSET($AM$3,0,0,'Données projet'!$E$10+1,1))-AVERAGE(OFFSET($H$3,0,0,'Données projet'!$E$10+1,1))</f>
        <v>187.13674266165236</v>
      </c>
      <c r="AO113" s="62">
        <f t="shared" si="90"/>
        <v>439.28159165815276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17.965119153929084</v>
      </c>
      <c r="AV113" s="23">
        <f>EXP(-LN(2)/25)*AV112+(1-EXP(-LN(2)/25))/(LN(2)/25)*Calculateur!AQ113*Calculateur!AS113*VLOOKUP('Données projet'!$B$10,Paramètres!$A$1:$I$89,3,0)*0.475*44/12</f>
        <v>5.1296113449507654</v>
      </c>
      <c r="AW113" s="23">
        <f>EXP(-LN(2)/2)*AW112+(1-EXP(-LN(2)/2))/(LN(2)/2)*AQ113*AT113*VLOOKUP('Données projet'!$B$10,Paramètres!$A$1:$I$89,3,0)*0.475*44/12</f>
        <v>5.8192090567351582E-11</v>
      </c>
      <c r="AX113" s="23">
        <f t="shared" si="60"/>
        <v>23.094730498938041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-5.6843418860808015E-14</v>
      </c>
      <c r="BE113" s="14">
        <f>BD113*VLOOKUP('Données projet'!$B$11,Paramètres!$A$1:$I$89,3,0)*VLOOKUP('Données projet'!$B$11,Paramètres!$A$1:$I$89,5,0)</f>
        <v>-5.1431925385259088E-14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366.86025470473652</v>
      </c>
      <c r="BJ113" s="62">
        <f t="shared" si="92"/>
        <v>513.80016421153414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0.45001396319309034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0.45001396319309034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187.13674266165236</v>
      </c>
      <c r="T114" s="62">
        <f t="shared" si="88"/>
        <v>439.28159165815276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17.612834124961243</v>
      </c>
      <c r="AA114" s="23">
        <f>EXP(-LN(2)/25)*AA113+(1-EXP(-LN(2)/25))/(LN(2)/25)*Calculateur!V114*Calculateur!X114*VLOOKUP('Données projet'!$B$9,Paramètres!$A$1:$I$89,3,0)*0.475*44/12</f>
        <v>4.9893418529685496</v>
      </c>
      <c r="AB114" s="23">
        <f>EXP(-LN(2)/2)*AB113+(1-EXP(-LN(2)/2))/(LN(2)/2)*V114*Y114*VLOOKUP('Données projet'!$B$9,Paramètres!$A$1:$I$89,3,0)*0.475*44/12</f>
        <v>4.1148021851596034E-11</v>
      </c>
      <c r="AC114" s="24">
        <f t="shared" si="57"/>
        <v>22.602175977970941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1.1368683772161603E-13</v>
      </c>
      <c r="AJ114" s="14">
        <f>AI114*VLOOKUP('Données projet'!$B$10,Paramètres!$A$1:$I$89,3,0)*VLOOKUP('Données projet'!$B$10,Paramètres!$A$1:$I$89,5,0)</f>
        <v>6.7984728957526396E-14</v>
      </c>
      <c r="AK114" s="14">
        <f t="shared" si="89"/>
        <v>1.0682447123141398E-12</v>
      </c>
      <c r="AL114" s="22">
        <f t="shared" si="58"/>
        <v>1.978932943548152E-12</v>
      </c>
      <c r="AM114" s="62">
        <f t="shared" si="59"/>
        <v>293.3333333333353</v>
      </c>
      <c r="AN114" s="62">
        <f ca="1">AVERAGE(OFFSET($AM$3,0,0,'Données projet'!$E$10+1,1))-AVERAGE(OFFSET($H$3,0,0,'Données projet'!$E$10+1,1))</f>
        <v>187.13674266165236</v>
      </c>
      <c r="AO114" s="62">
        <f t="shared" si="90"/>
        <v>439.28159165815276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17.612834124961243</v>
      </c>
      <c r="AV114" s="23">
        <f>EXP(-LN(2)/25)*AV113+(1-EXP(-LN(2)/25))/(LN(2)/25)*Calculateur!AQ114*Calculateur!AS114*VLOOKUP('Données projet'!$B$10,Paramètres!$A$1:$I$89,3,0)*0.475*44/12</f>
        <v>4.9893418529685496</v>
      </c>
      <c r="AW114" s="23">
        <f>EXP(-LN(2)/2)*AW113+(1-EXP(-LN(2)/2))/(LN(2)/2)*AQ114*AT114*VLOOKUP('Données projet'!$B$10,Paramètres!$A$1:$I$89,3,0)*0.475*44/12</f>
        <v>4.1148021851596034E-11</v>
      </c>
      <c r="AX114" s="23">
        <f t="shared" si="60"/>
        <v>22.602175977970941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-5.6843418860808015E-14</v>
      </c>
      <c r="BE114" s="14">
        <f>BD114*VLOOKUP('Données projet'!$B$11,Paramètres!$A$1:$I$89,3,0)*VLOOKUP('Données projet'!$B$11,Paramètres!$A$1:$I$89,5,0)</f>
        <v>-5.1431925385259088E-14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366.86025470473652</v>
      </c>
      <c r="BJ114" s="62">
        <f t="shared" si="92"/>
        <v>513.80016421153414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0.4411894638562886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0.4411894638562886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187.13674266165236</v>
      </c>
      <c r="T115" s="62">
        <f t="shared" si="88"/>
        <v>439.28159165815276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17.26745719053881</v>
      </c>
      <c r="AA115" s="23">
        <f>EXP(-LN(2)/25)*AA114+(1-EXP(-LN(2)/25))/(LN(2)/25)*Calculateur!V115*Calculateur!X115*VLOOKUP('Données projet'!$B$9,Paramètres!$A$1:$I$89,3,0)*0.475*44/12</f>
        <v>4.8529080376210398</v>
      </c>
      <c r="AB115" s="23">
        <f>EXP(-LN(2)/2)*AB114+(1-EXP(-LN(2)/2))/(LN(2)/2)*V115*Y115*VLOOKUP('Données projet'!$B$9,Paramètres!$A$1:$I$89,3,0)*0.475*44/12</f>
        <v>2.9096045283675794E-11</v>
      </c>
      <c r="AC115" s="24">
        <f t="shared" si="57"/>
        <v>22.120365228188945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1.1368683772161603E-13</v>
      </c>
      <c r="AJ115" s="14">
        <f>AI115*VLOOKUP('Données projet'!$B$10,Paramètres!$A$1:$I$89,3,0)*VLOOKUP('Données projet'!$B$10,Paramètres!$A$1:$I$89,5,0)</f>
        <v>6.7984728957526396E-14</v>
      </c>
      <c r="AK115" s="14">
        <f t="shared" si="89"/>
        <v>1.0682447123141398E-12</v>
      </c>
      <c r="AL115" s="22">
        <f t="shared" si="58"/>
        <v>1.978932943548152E-12</v>
      </c>
      <c r="AM115" s="62">
        <f t="shared" si="59"/>
        <v>293.3333333333353</v>
      </c>
      <c r="AN115" s="62">
        <f ca="1">AVERAGE(OFFSET($AM$3,0,0,'Données projet'!$E$10+1,1))-AVERAGE(OFFSET($H$3,0,0,'Données projet'!$E$10+1,1))</f>
        <v>187.13674266165236</v>
      </c>
      <c r="AO115" s="62">
        <f t="shared" si="90"/>
        <v>439.28159165815276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17.26745719053881</v>
      </c>
      <c r="AV115" s="23">
        <f>EXP(-LN(2)/25)*AV114+(1-EXP(-LN(2)/25))/(LN(2)/25)*Calculateur!AQ115*Calculateur!AS115*VLOOKUP('Données projet'!$B$10,Paramètres!$A$1:$I$89,3,0)*0.475*44/12</f>
        <v>4.8529080376210398</v>
      </c>
      <c r="AW115" s="23">
        <f>EXP(-LN(2)/2)*AW114+(1-EXP(-LN(2)/2))/(LN(2)/2)*AQ115*AT115*VLOOKUP('Données projet'!$B$10,Paramètres!$A$1:$I$89,3,0)*0.475*44/12</f>
        <v>2.9096045283675794E-11</v>
      </c>
      <c r="AX115" s="23">
        <f t="shared" si="60"/>
        <v>22.120365228188945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-5.6843418860808015E-14</v>
      </c>
      <c r="BE115" s="14">
        <f>BD115*VLOOKUP('Données projet'!$B$11,Paramètres!$A$1:$I$89,3,0)*VLOOKUP('Données projet'!$B$11,Paramètres!$A$1:$I$89,5,0)</f>
        <v>-5.1431925385259088E-14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366.86025470473652</v>
      </c>
      <c r="BJ115" s="62">
        <f t="shared" si="92"/>
        <v>513.80016421153414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0.43253800756906841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0.43253800756906841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187.13674266165236</v>
      </c>
      <c r="T116" s="62">
        <f t="shared" si="88"/>
        <v>439.28159165815276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16.928852887141272</v>
      </c>
      <c r="AA116" s="23">
        <f>EXP(-LN(2)/25)*AA115+(1-EXP(-LN(2)/25))/(LN(2)/25)*Calculateur!V116*Calculateur!X116*VLOOKUP('Données projet'!$B$9,Paramètres!$A$1:$I$89,3,0)*0.475*44/12</f>
        <v>4.7202050121289503</v>
      </c>
      <c r="AB116" s="23">
        <f>EXP(-LN(2)/2)*AB115+(1-EXP(-LN(2)/2))/(LN(2)/2)*V116*Y116*VLOOKUP('Données projet'!$B$9,Paramètres!$A$1:$I$89,3,0)*0.475*44/12</f>
        <v>2.057401092579802E-11</v>
      </c>
      <c r="AC116" s="24">
        <f t="shared" si="57"/>
        <v>21.649057899290796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1.1368683772161603E-13</v>
      </c>
      <c r="AJ116" s="14">
        <f>AI116*VLOOKUP('Données projet'!$B$10,Paramètres!$A$1:$I$89,3,0)*VLOOKUP('Données projet'!$B$10,Paramètres!$A$1:$I$89,5,0)</f>
        <v>6.7984728957526396E-14</v>
      </c>
      <c r="AK116" s="14">
        <f t="shared" si="89"/>
        <v>1.0682447123141398E-12</v>
      </c>
      <c r="AL116" s="22">
        <f t="shared" si="58"/>
        <v>1.978932943548152E-12</v>
      </c>
      <c r="AM116" s="62">
        <f t="shared" si="59"/>
        <v>293.3333333333353</v>
      </c>
      <c r="AN116" s="62">
        <f ca="1">AVERAGE(OFFSET($AM$3,0,0,'Données projet'!$E$10+1,1))-AVERAGE(OFFSET($H$3,0,0,'Données projet'!$E$10+1,1))</f>
        <v>187.13674266165236</v>
      </c>
      <c r="AO116" s="62">
        <f t="shared" si="90"/>
        <v>439.28159165815276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16.928852887141272</v>
      </c>
      <c r="AV116" s="23">
        <f>EXP(-LN(2)/25)*AV115+(1-EXP(-LN(2)/25))/(LN(2)/25)*Calculateur!AQ116*Calculateur!AS116*VLOOKUP('Données projet'!$B$10,Paramètres!$A$1:$I$89,3,0)*0.475*44/12</f>
        <v>4.7202050121289503</v>
      </c>
      <c r="AW116" s="23">
        <f>EXP(-LN(2)/2)*AW115+(1-EXP(-LN(2)/2))/(LN(2)/2)*AQ116*AT116*VLOOKUP('Données projet'!$B$10,Paramètres!$A$1:$I$89,3,0)*0.475*44/12</f>
        <v>2.057401092579802E-11</v>
      </c>
      <c r="AX116" s="23">
        <f t="shared" si="60"/>
        <v>21.649057899290796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-5.6843418860808015E-14</v>
      </c>
      <c r="BE116" s="14">
        <f>BD116*VLOOKUP('Données projet'!$B$11,Paramètres!$A$1:$I$89,3,0)*VLOOKUP('Données projet'!$B$11,Paramètres!$A$1:$I$89,5,0)</f>
        <v>-5.1431925385259088E-14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366.86025470473652</v>
      </c>
      <c r="BJ116" s="62">
        <f t="shared" si="92"/>
        <v>513.80016421153414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0.42405620106277331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0.42405620106277331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187.13674266165236</v>
      </c>
      <c r="T117" s="62">
        <f t="shared" si="88"/>
        <v>439.28159165815276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16.596888407605125</v>
      </c>
      <c r="AA117" s="23">
        <f>EXP(-LN(2)/25)*AA116+(1-EXP(-LN(2)/25))/(LN(2)/25)*Calculateur!V117*Calculateur!X117*VLOOKUP('Données projet'!$B$9,Paramètres!$A$1:$I$89,3,0)*0.475*44/12</f>
        <v>4.5911307578474911</v>
      </c>
      <c r="AB117" s="23">
        <f>EXP(-LN(2)/2)*AB116+(1-EXP(-LN(2)/2))/(LN(2)/2)*V117*Y117*VLOOKUP('Données projet'!$B$9,Paramètres!$A$1:$I$89,3,0)*0.475*44/12</f>
        <v>1.45480226418379E-11</v>
      </c>
      <c r="AC117" s="24">
        <f t="shared" si="57"/>
        <v>21.188019165467164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1.1368683772161603E-13</v>
      </c>
      <c r="AJ117" s="14">
        <f>AI117*VLOOKUP('Données projet'!$B$10,Paramètres!$A$1:$I$89,3,0)*VLOOKUP('Données projet'!$B$10,Paramètres!$A$1:$I$89,5,0)</f>
        <v>6.7984728957526396E-14</v>
      </c>
      <c r="AK117" s="14">
        <f t="shared" si="89"/>
        <v>1.0682447123141398E-12</v>
      </c>
      <c r="AL117" s="22">
        <f t="shared" si="58"/>
        <v>1.978932943548152E-12</v>
      </c>
      <c r="AM117" s="62">
        <f t="shared" si="59"/>
        <v>293.3333333333353</v>
      </c>
      <c r="AN117" s="62">
        <f ca="1">AVERAGE(OFFSET($AM$3,0,0,'Données projet'!$E$10+1,1))-AVERAGE(OFFSET($H$3,0,0,'Données projet'!$E$10+1,1))</f>
        <v>187.13674266165236</v>
      </c>
      <c r="AO117" s="62">
        <f t="shared" si="90"/>
        <v>439.28159165815276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16.596888407605125</v>
      </c>
      <c r="AV117" s="23">
        <f>EXP(-LN(2)/25)*AV116+(1-EXP(-LN(2)/25))/(LN(2)/25)*Calculateur!AQ117*Calculateur!AS117*VLOOKUP('Données projet'!$B$10,Paramètres!$A$1:$I$89,3,0)*0.475*44/12</f>
        <v>4.5911307578474911</v>
      </c>
      <c r="AW117" s="23">
        <f>EXP(-LN(2)/2)*AW116+(1-EXP(-LN(2)/2))/(LN(2)/2)*AQ117*AT117*VLOOKUP('Données projet'!$B$10,Paramètres!$A$1:$I$89,3,0)*0.475*44/12</f>
        <v>1.45480226418379E-11</v>
      </c>
      <c r="AX117" s="23">
        <f t="shared" si="60"/>
        <v>21.188019165467164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-5.6843418860808015E-14</v>
      </c>
      <c r="BE117" s="14">
        <f>BD117*VLOOKUP('Données projet'!$B$11,Paramètres!$A$1:$I$89,3,0)*VLOOKUP('Données projet'!$B$11,Paramètres!$A$1:$I$89,5,0)</f>
        <v>-5.1431925385259088E-14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366.86025470473652</v>
      </c>
      <c r="BJ117" s="62">
        <f t="shared" si="92"/>
        <v>513.80016421153414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0.41574071760867554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0.41574071760867554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187.13674266165236</v>
      </c>
      <c r="T118" s="62">
        <f t="shared" si="88"/>
        <v>439.28159165815276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16.271433549034345</v>
      </c>
      <c r="AA118" s="23">
        <f>EXP(-LN(2)/25)*AA117+(1-EXP(-LN(2)/25))/(LN(2)/25)*Calculateur!V118*Calculateur!X118*VLOOKUP('Données projet'!$B$9,Paramètres!$A$1:$I$89,3,0)*0.475*44/12</f>
        <v>4.4655860458370782</v>
      </c>
      <c r="AB118" s="23">
        <f>EXP(-LN(2)/2)*AB117+(1-EXP(-LN(2)/2))/(LN(2)/2)*V118*Y118*VLOOKUP('Données projet'!$B$9,Paramètres!$A$1:$I$89,3,0)*0.475*44/12</f>
        <v>1.0287005462899012E-11</v>
      </c>
      <c r="AC118" s="24">
        <f t="shared" si="57"/>
        <v>20.737019594881712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1.1368683772161603E-13</v>
      </c>
      <c r="AJ118" s="14">
        <f>AI118*VLOOKUP('Données projet'!$B$10,Paramètres!$A$1:$I$89,3,0)*VLOOKUP('Données projet'!$B$10,Paramètres!$A$1:$I$89,5,0)</f>
        <v>6.7984728957526396E-14</v>
      </c>
      <c r="AK118" s="14">
        <f t="shared" si="89"/>
        <v>1.0682447123141398E-12</v>
      </c>
      <c r="AL118" s="22">
        <f t="shared" si="58"/>
        <v>1.978932943548152E-12</v>
      </c>
      <c r="AM118" s="62">
        <f t="shared" si="59"/>
        <v>293.3333333333353</v>
      </c>
      <c r="AN118" s="62">
        <f ca="1">AVERAGE(OFFSET($AM$3,0,0,'Données projet'!$E$10+1,1))-AVERAGE(OFFSET($H$3,0,0,'Données projet'!$E$10+1,1))</f>
        <v>187.13674266165236</v>
      </c>
      <c r="AO118" s="62">
        <f t="shared" si="90"/>
        <v>439.28159165815276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16.271433549034345</v>
      </c>
      <c r="AV118" s="23">
        <f>EXP(-LN(2)/25)*AV117+(1-EXP(-LN(2)/25))/(LN(2)/25)*Calculateur!AQ118*Calculateur!AS118*VLOOKUP('Données projet'!$B$10,Paramètres!$A$1:$I$89,3,0)*0.475*44/12</f>
        <v>4.4655860458370782</v>
      </c>
      <c r="AW118" s="23">
        <f>EXP(-LN(2)/2)*AW117+(1-EXP(-LN(2)/2))/(LN(2)/2)*AQ118*AT118*VLOOKUP('Données projet'!$B$10,Paramètres!$A$1:$I$89,3,0)*0.475*44/12</f>
        <v>1.0287005462899012E-11</v>
      </c>
      <c r="AX118" s="23">
        <f t="shared" si="60"/>
        <v>20.737019594881712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-5.6843418860808015E-14</v>
      </c>
      <c r="BE118" s="14">
        <f>BD118*VLOOKUP('Données projet'!$B$11,Paramètres!$A$1:$I$89,3,0)*VLOOKUP('Données projet'!$B$11,Paramètres!$A$1:$I$89,5,0)</f>
        <v>-5.1431925385259088E-14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366.86025470473652</v>
      </c>
      <c r="BJ118" s="62">
        <f t="shared" si="92"/>
        <v>513.80016421153414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0.40758829571316851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0.40758829571316851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187.13674266165236</v>
      </c>
      <c r="T119" s="62">
        <f t="shared" si="88"/>
        <v>439.28159165815276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15.952360661732275</v>
      </c>
      <c r="AA119" s="23">
        <f>EXP(-LN(2)/25)*AA118+(1-EXP(-LN(2)/25))/(LN(2)/25)*Calculateur!V119*Calculateur!X119*VLOOKUP('Données projet'!$B$9,Paramètres!$A$1:$I$89,3,0)*0.475*44/12</f>
        <v>4.343474360578699</v>
      </c>
      <c r="AB119" s="23">
        <f>EXP(-LN(2)/2)*AB118+(1-EXP(-LN(2)/2))/(LN(2)/2)*V119*Y119*VLOOKUP('Données projet'!$B$9,Paramètres!$A$1:$I$89,3,0)*0.475*44/12</f>
        <v>7.2740113209189509E-12</v>
      </c>
      <c r="AC119" s="24">
        <f t="shared" si="57"/>
        <v>20.295835022318247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1.1368683772161603E-13</v>
      </c>
      <c r="AJ119" s="14">
        <f>AI119*VLOOKUP('Données projet'!$B$10,Paramètres!$A$1:$I$89,3,0)*VLOOKUP('Données projet'!$B$10,Paramètres!$A$1:$I$89,5,0)</f>
        <v>6.7984728957526396E-14</v>
      </c>
      <c r="AK119" s="14">
        <f t="shared" si="89"/>
        <v>1.0682447123141398E-12</v>
      </c>
      <c r="AL119" s="22">
        <f t="shared" si="58"/>
        <v>1.978932943548152E-12</v>
      </c>
      <c r="AM119" s="62">
        <f t="shared" si="59"/>
        <v>293.3333333333353</v>
      </c>
      <c r="AN119" s="62">
        <f ca="1">AVERAGE(OFFSET($AM$3,0,0,'Données projet'!$E$10+1,1))-AVERAGE(OFFSET($H$3,0,0,'Données projet'!$E$10+1,1))</f>
        <v>187.13674266165236</v>
      </c>
      <c r="AO119" s="62">
        <f t="shared" si="90"/>
        <v>439.28159165815276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15.952360661732275</v>
      </c>
      <c r="AV119" s="23">
        <f>EXP(-LN(2)/25)*AV118+(1-EXP(-LN(2)/25))/(LN(2)/25)*Calculateur!AQ119*Calculateur!AS119*VLOOKUP('Données projet'!$B$10,Paramètres!$A$1:$I$89,3,0)*0.475*44/12</f>
        <v>4.343474360578699</v>
      </c>
      <c r="AW119" s="23">
        <f>EXP(-LN(2)/2)*AW118+(1-EXP(-LN(2)/2))/(LN(2)/2)*AQ119*AT119*VLOOKUP('Données projet'!$B$10,Paramètres!$A$1:$I$89,3,0)*0.475*44/12</f>
        <v>7.2740113209189509E-12</v>
      </c>
      <c r="AX119" s="23">
        <f t="shared" si="60"/>
        <v>20.295835022318247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-5.6843418860808015E-14</v>
      </c>
      <c r="BE119" s="14">
        <f>BD119*VLOOKUP('Données projet'!$B$11,Paramètres!$A$1:$I$89,3,0)*VLOOKUP('Données projet'!$B$11,Paramètres!$A$1:$I$89,5,0)</f>
        <v>-5.1431925385259088E-14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366.86025470473652</v>
      </c>
      <c r="BJ119" s="62">
        <f t="shared" si="92"/>
        <v>513.80016421153414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0.39959573783854602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0.39959573783854602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187.13674266165236</v>
      </c>
      <c r="T120" s="62">
        <f t="shared" si="88"/>
        <v>439.28159165815276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15.639544599134952</v>
      </c>
      <c r="AA120" s="23">
        <f>EXP(-LN(2)/25)*AA119+(1-EXP(-LN(2)/25))/(LN(2)/25)*Calculateur!V120*Calculateur!X120*VLOOKUP('Données projet'!$B$9,Paramètres!$A$1:$I$89,3,0)*0.475*44/12</f>
        <v>4.2247018257752851</v>
      </c>
      <c r="AB120" s="23">
        <f>EXP(-LN(2)/2)*AB119+(1-EXP(-LN(2)/2))/(LN(2)/2)*V120*Y120*VLOOKUP('Données projet'!$B$9,Paramètres!$A$1:$I$89,3,0)*0.475*44/12</f>
        <v>5.1435027314495066E-12</v>
      </c>
      <c r="AC120" s="24">
        <f t="shared" si="57"/>
        <v>19.864246424915383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1.1368683772161603E-13</v>
      </c>
      <c r="AJ120" s="14">
        <f>AI120*VLOOKUP('Données projet'!$B$10,Paramètres!$A$1:$I$89,3,0)*VLOOKUP('Données projet'!$B$10,Paramètres!$A$1:$I$89,5,0)</f>
        <v>6.7984728957526396E-14</v>
      </c>
      <c r="AK120" s="14">
        <f t="shared" si="89"/>
        <v>1.0682447123141398E-12</v>
      </c>
      <c r="AL120" s="22">
        <f t="shared" si="58"/>
        <v>1.978932943548152E-12</v>
      </c>
      <c r="AM120" s="62">
        <f t="shared" si="59"/>
        <v>293.3333333333353</v>
      </c>
      <c r="AN120" s="62">
        <f ca="1">AVERAGE(OFFSET($AM$3,0,0,'Données projet'!$E$10+1,1))-AVERAGE(OFFSET($H$3,0,0,'Données projet'!$E$10+1,1))</f>
        <v>187.13674266165236</v>
      </c>
      <c r="AO120" s="62">
        <f t="shared" si="90"/>
        <v>439.28159165815276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15.639544599134952</v>
      </c>
      <c r="AV120" s="23">
        <f>EXP(-LN(2)/25)*AV119+(1-EXP(-LN(2)/25))/(LN(2)/25)*Calculateur!AQ120*Calculateur!AS120*VLOOKUP('Données projet'!$B$10,Paramètres!$A$1:$I$89,3,0)*0.475*44/12</f>
        <v>4.2247018257752851</v>
      </c>
      <c r="AW120" s="23">
        <f>EXP(-LN(2)/2)*AW119+(1-EXP(-LN(2)/2))/(LN(2)/2)*AQ120*AT120*VLOOKUP('Données projet'!$B$10,Paramètres!$A$1:$I$89,3,0)*0.475*44/12</f>
        <v>5.1435027314495066E-12</v>
      </c>
      <c r="AX120" s="23">
        <f t="shared" si="60"/>
        <v>19.864246424915383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-5.6843418860808015E-14</v>
      </c>
      <c r="BE120" s="14">
        <f>BD120*VLOOKUP('Données projet'!$B$11,Paramètres!$A$1:$I$89,3,0)*VLOOKUP('Données projet'!$B$11,Paramètres!$A$1:$I$89,5,0)</f>
        <v>-5.1431925385259088E-14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366.86025470473652</v>
      </c>
      <c r="BJ120" s="62">
        <f t="shared" si="92"/>
        <v>513.80016421153414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0.39175990914886594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0.39175990914886594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187.13674266165236</v>
      </c>
      <c r="T121" s="62">
        <f t="shared" si="88"/>
        <v>439.28159165815276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15.332862668726206</v>
      </c>
      <c r="AA121" s="23">
        <f>EXP(-LN(2)/25)*AA120+(1-EXP(-LN(2)/25))/(LN(2)/25)*Calculateur!V121*Calculateur!X121*VLOOKUP('Données projet'!$B$9,Paramètres!$A$1:$I$89,3,0)*0.475*44/12</f>
        <v>4.1091771321820465</v>
      </c>
      <c r="AB121" s="23">
        <f>EXP(-LN(2)/2)*AB120+(1-EXP(-LN(2)/2))/(LN(2)/2)*V121*Y121*VLOOKUP('Données projet'!$B$9,Paramètres!$A$1:$I$89,3,0)*0.475*44/12</f>
        <v>3.6370056604594759E-12</v>
      </c>
      <c r="AC121" s="24">
        <f t="shared" si="57"/>
        <v>19.442039800911889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1.1368683772161603E-13</v>
      </c>
      <c r="AJ121" s="14">
        <f>AI121*VLOOKUP('Données projet'!$B$10,Paramètres!$A$1:$I$89,3,0)*VLOOKUP('Données projet'!$B$10,Paramètres!$A$1:$I$89,5,0)</f>
        <v>6.7984728957526396E-14</v>
      </c>
      <c r="AK121" s="14">
        <f t="shared" si="89"/>
        <v>1.0682447123141398E-12</v>
      </c>
      <c r="AL121" s="22">
        <f t="shared" si="58"/>
        <v>1.978932943548152E-12</v>
      </c>
      <c r="AM121" s="62">
        <f t="shared" si="59"/>
        <v>293.3333333333353</v>
      </c>
      <c r="AN121" s="62">
        <f ca="1">AVERAGE(OFFSET($AM$3,0,0,'Données projet'!$E$10+1,1))-AVERAGE(OFFSET($H$3,0,0,'Données projet'!$E$10+1,1))</f>
        <v>187.13674266165236</v>
      </c>
      <c r="AO121" s="62">
        <f t="shared" si="90"/>
        <v>439.28159165815276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15.332862668726206</v>
      </c>
      <c r="AV121" s="23">
        <f>EXP(-LN(2)/25)*AV120+(1-EXP(-LN(2)/25))/(LN(2)/25)*Calculateur!AQ121*Calculateur!AS121*VLOOKUP('Données projet'!$B$10,Paramètres!$A$1:$I$89,3,0)*0.475*44/12</f>
        <v>4.1091771321820465</v>
      </c>
      <c r="AW121" s="23">
        <f>EXP(-LN(2)/2)*AW120+(1-EXP(-LN(2)/2))/(LN(2)/2)*AQ121*AT121*VLOOKUP('Données projet'!$B$10,Paramètres!$A$1:$I$89,3,0)*0.475*44/12</f>
        <v>3.6370056604594759E-12</v>
      </c>
      <c r="AX121" s="23">
        <f t="shared" si="60"/>
        <v>19.442039800911889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-5.6843418860808015E-14</v>
      </c>
      <c r="BE121" s="14">
        <f>BD121*VLOOKUP('Données projet'!$B$11,Paramètres!$A$1:$I$89,3,0)*VLOOKUP('Données projet'!$B$11,Paramètres!$A$1:$I$89,5,0)</f>
        <v>-5.1431925385259088E-14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366.86025470473652</v>
      </c>
      <c r="BJ121" s="62">
        <f t="shared" si="92"/>
        <v>513.80016421153414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0.38407773628040692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0.38407773628040692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187.13674266165236</v>
      </c>
      <c r="T122" s="62">
        <f t="shared" si="88"/>
        <v>439.28159165815276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15.032194583915267</v>
      </c>
      <c r="AA122" s="23">
        <f>EXP(-LN(2)/25)*AA121+(1-EXP(-LN(2)/25))/(LN(2)/25)*Calculateur!V122*Calculateur!X122*VLOOKUP('Données projet'!$B$9,Paramètres!$A$1:$I$89,3,0)*0.475*44/12</f>
        <v>3.9968114674102946</v>
      </c>
      <c r="AB122" s="23">
        <f>EXP(-LN(2)/2)*AB121+(1-EXP(-LN(2)/2))/(LN(2)/2)*V122*Y122*VLOOKUP('Données projet'!$B$9,Paramètres!$A$1:$I$89,3,0)*0.475*44/12</f>
        <v>2.5717513657247537E-12</v>
      </c>
      <c r="AC122" s="24">
        <f t="shared" si="57"/>
        <v>19.029006051328132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1.1368683772161603E-13</v>
      </c>
      <c r="AJ122" s="14">
        <f>AI122*VLOOKUP('Données projet'!$B$10,Paramètres!$A$1:$I$89,3,0)*VLOOKUP('Données projet'!$B$10,Paramètres!$A$1:$I$89,5,0)</f>
        <v>6.7984728957526396E-14</v>
      </c>
      <c r="AK122" s="14">
        <f t="shared" si="89"/>
        <v>1.0682447123141398E-12</v>
      </c>
      <c r="AL122" s="22">
        <f t="shared" si="58"/>
        <v>1.978932943548152E-12</v>
      </c>
      <c r="AM122" s="62">
        <f t="shared" si="59"/>
        <v>293.3333333333353</v>
      </c>
      <c r="AN122" s="62">
        <f ca="1">AVERAGE(OFFSET($AM$3,0,0,'Données projet'!$E$10+1,1))-AVERAGE(OFFSET($H$3,0,0,'Données projet'!$E$10+1,1))</f>
        <v>187.13674266165236</v>
      </c>
      <c r="AO122" s="62">
        <f t="shared" si="90"/>
        <v>439.28159165815276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15.032194583915267</v>
      </c>
      <c r="AV122" s="23">
        <f>EXP(-LN(2)/25)*AV121+(1-EXP(-LN(2)/25))/(LN(2)/25)*Calculateur!AQ122*Calculateur!AS122*VLOOKUP('Données projet'!$B$10,Paramètres!$A$1:$I$89,3,0)*0.475*44/12</f>
        <v>3.9968114674102946</v>
      </c>
      <c r="AW122" s="23">
        <f>EXP(-LN(2)/2)*AW121+(1-EXP(-LN(2)/2))/(LN(2)/2)*AQ122*AT122*VLOOKUP('Données projet'!$B$10,Paramètres!$A$1:$I$89,3,0)*0.475*44/12</f>
        <v>2.5717513657247537E-12</v>
      </c>
      <c r="AX122" s="23">
        <f t="shared" si="60"/>
        <v>19.029006051328132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-5.6843418860808015E-14</v>
      </c>
      <c r="BE122" s="14">
        <f>BD122*VLOOKUP('Données projet'!$B$11,Paramètres!$A$1:$I$89,3,0)*VLOOKUP('Données projet'!$B$11,Paramètres!$A$1:$I$89,5,0)</f>
        <v>-5.1431925385259088E-14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366.86025470473652</v>
      </c>
      <c r="BJ122" s="62">
        <f t="shared" si="92"/>
        <v>513.80016421153414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0.37654620613623557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0.37654620613623557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187.13674266165236</v>
      </c>
      <c r="T123" s="62">
        <f t="shared" si="88"/>
        <v>439.28159165815276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14.737422416858047</v>
      </c>
      <c r="AA123" s="23">
        <f>EXP(-LN(2)/25)*AA122+(1-EXP(-LN(2)/25))/(LN(2)/25)*Calculateur!V123*Calculateur!X123*VLOOKUP('Données projet'!$B$9,Paramètres!$A$1:$I$89,3,0)*0.475*44/12</f>
        <v>3.88751844765078</v>
      </c>
      <c r="AB123" s="23">
        <f>EXP(-LN(2)/2)*AB122+(1-EXP(-LN(2)/2))/(LN(2)/2)*V123*Y123*VLOOKUP('Données projet'!$B$9,Paramètres!$A$1:$I$89,3,0)*0.475*44/12</f>
        <v>1.8185028302297383E-12</v>
      </c>
      <c r="AC123" s="24">
        <f t="shared" si="57"/>
        <v>18.624940864510645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1.1368683772161603E-13</v>
      </c>
      <c r="AJ123" s="14">
        <f>AI123*VLOOKUP('Données projet'!$B$10,Paramètres!$A$1:$I$89,3,0)*VLOOKUP('Données projet'!$B$10,Paramètres!$A$1:$I$89,5,0)</f>
        <v>6.7984728957526396E-14</v>
      </c>
      <c r="AK123" s="14">
        <f t="shared" si="89"/>
        <v>1.0682447123141398E-12</v>
      </c>
      <c r="AL123" s="22">
        <f t="shared" si="58"/>
        <v>1.978932943548152E-12</v>
      </c>
      <c r="AM123" s="62">
        <f t="shared" si="59"/>
        <v>293.3333333333353</v>
      </c>
      <c r="AN123" s="62">
        <f ca="1">AVERAGE(OFFSET($AM$3,0,0,'Données projet'!$E$10+1,1))-AVERAGE(OFFSET($H$3,0,0,'Données projet'!$E$10+1,1))</f>
        <v>187.13674266165236</v>
      </c>
      <c r="AO123" s="62">
        <f t="shared" si="90"/>
        <v>439.28159165815276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14.737422416858047</v>
      </c>
      <c r="AV123" s="23">
        <f>EXP(-LN(2)/25)*AV122+(1-EXP(-LN(2)/25))/(LN(2)/25)*Calculateur!AQ123*Calculateur!AS123*VLOOKUP('Données projet'!$B$10,Paramètres!$A$1:$I$89,3,0)*0.475*44/12</f>
        <v>3.88751844765078</v>
      </c>
      <c r="AW123" s="23">
        <f>EXP(-LN(2)/2)*AW122+(1-EXP(-LN(2)/2))/(LN(2)/2)*AQ123*AT123*VLOOKUP('Données projet'!$B$10,Paramètres!$A$1:$I$89,3,0)*0.475*44/12</f>
        <v>1.8185028302297383E-12</v>
      </c>
      <c r="AX123" s="23">
        <f t="shared" si="60"/>
        <v>18.624940864510645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-5.6843418860808015E-14</v>
      </c>
      <c r="BE123" s="14">
        <f>BD123*VLOOKUP('Données projet'!$B$11,Paramètres!$A$1:$I$89,3,0)*VLOOKUP('Données projet'!$B$11,Paramètres!$A$1:$I$89,5,0)</f>
        <v>-5.1431925385259088E-14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366.86025470473652</v>
      </c>
      <c r="BJ123" s="62">
        <f t="shared" si="92"/>
        <v>513.80016421153414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0.36916236470441166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0.36916236470441166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187.13674266165236</v>
      </c>
      <c r="T124" s="62">
        <f t="shared" si="88"/>
        <v>439.28159165815276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14.448430552203551</v>
      </c>
      <c r="AA124" s="23">
        <f>EXP(-LN(2)/25)*AA123+(1-EXP(-LN(2)/25))/(LN(2)/25)*Calculateur!V124*Calculateur!X124*VLOOKUP('Données projet'!$B$9,Paramètres!$A$1:$I$89,3,0)*0.475*44/12</f>
        <v>3.7812140512640595</v>
      </c>
      <c r="AB124" s="23">
        <f>EXP(-LN(2)/2)*AB123+(1-EXP(-LN(2)/2))/(LN(2)/2)*V124*Y124*VLOOKUP('Données projet'!$B$9,Paramètres!$A$1:$I$89,3,0)*0.475*44/12</f>
        <v>1.2858756828623771E-12</v>
      </c>
      <c r="AC124" s="24">
        <f t="shared" si="57"/>
        <v>18.229644603468895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1.1368683772161603E-13</v>
      </c>
      <c r="AJ124" s="14">
        <f>AI124*VLOOKUP('Données projet'!$B$10,Paramètres!$A$1:$I$89,3,0)*VLOOKUP('Données projet'!$B$10,Paramètres!$A$1:$I$89,5,0)</f>
        <v>6.7984728957526396E-14</v>
      </c>
      <c r="AK124" s="14">
        <f t="shared" si="89"/>
        <v>1.0682447123141398E-12</v>
      </c>
      <c r="AL124" s="22">
        <f t="shared" si="58"/>
        <v>1.978932943548152E-12</v>
      </c>
      <c r="AM124" s="62">
        <f t="shared" si="59"/>
        <v>293.3333333333353</v>
      </c>
      <c r="AN124" s="62">
        <f ca="1">AVERAGE(OFFSET($AM$3,0,0,'Données projet'!$E$10+1,1))-AVERAGE(OFFSET($H$3,0,0,'Données projet'!$E$10+1,1))</f>
        <v>187.13674266165236</v>
      </c>
      <c r="AO124" s="62">
        <f t="shared" si="90"/>
        <v>439.28159165815276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14.448430552203551</v>
      </c>
      <c r="AV124" s="23">
        <f>EXP(-LN(2)/25)*AV123+(1-EXP(-LN(2)/25))/(LN(2)/25)*Calculateur!AQ124*Calculateur!AS124*VLOOKUP('Données projet'!$B$10,Paramètres!$A$1:$I$89,3,0)*0.475*44/12</f>
        <v>3.7812140512640595</v>
      </c>
      <c r="AW124" s="23">
        <f>EXP(-LN(2)/2)*AW123+(1-EXP(-LN(2)/2))/(LN(2)/2)*AQ124*AT124*VLOOKUP('Données projet'!$B$10,Paramètres!$A$1:$I$89,3,0)*0.475*44/12</f>
        <v>1.2858756828623771E-12</v>
      </c>
      <c r="AX124" s="23">
        <f t="shared" si="60"/>
        <v>18.229644603468895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-5.6843418860808015E-14</v>
      </c>
      <c r="BE124" s="14">
        <f>BD124*VLOOKUP('Données projet'!$B$11,Paramètres!$A$1:$I$89,3,0)*VLOOKUP('Données projet'!$B$11,Paramètres!$A$1:$I$89,5,0)</f>
        <v>-5.1431925385259088E-14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366.86025470473652</v>
      </c>
      <c r="BJ124" s="62">
        <f t="shared" si="92"/>
        <v>513.80016421153414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0.36192331589936722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0.36192331589936722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187.13674266165236</v>
      </c>
      <c r="T125" s="62">
        <f t="shared" si="88"/>
        <v>439.28159165815276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14.165105641747296</v>
      </c>
      <c r="AA125" s="23">
        <f>EXP(-LN(2)/25)*AA124+(1-EXP(-LN(2)/25))/(LN(2)/25)*Calculateur!V125*Calculateur!X125*VLOOKUP('Données projet'!$B$9,Paramètres!$A$1:$I$89,3,0)*0.475*44/12</f>
        <v>3.6778165541868391</v>
      </c>
      <c r="AB125" s="23">
        <f>EXP(-LN(2)/2)*AB124+(1-EXP(-LN(2)/2))/(LN(2)/2)*V125*Y125*VLOOKUP('Données projet'!$B$9,Paramètres!$A$1:$I$89,3,0)*0.475*44/12</f>
        <v>9.0925141511486927E-13</v>
      </c>
      <c r="AC125" s="24">
        <f t="shared" si="57"/>
        <v>17.842922195935046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1.1368683772161603E-13</v>
      </c>
      <c r="AJ125" s="14">
        <f>AI125*VLOOKUP('Données projet'!$B$10,Paramètres!$A$1:$I$89,3,0)*VLOOKUP('Données projet'!$B$10,Paramètres!$A$1:$I$89,5,0)</f>
        <v>6.7984728957526396E-14</v>
      </c>
      <c r="AK125" s="14">
        <f t="shared" si="89"/>
        <v>1.0682447123141398E-12</v>
      </c>
      <c r="AL125" s="22">
        <f t="shared" si="58"/>
        <v>1.978932943548152E-12</v>
      </c>
      <c r="AM125" s="62">
        <f t="shared" si="59"/>
        <v>293.3333333333353</v>
      </c>
      <c r="AN125" s="62">
        <f ca="1">AVERAGE(OFFSET($AM$3,0,0,'Données projet'!$E$10+1,1))-AVERAGE(OFFSET($H$3,0,0,'Données projet'!$E$10+1,1))</f>
        <v>187.13674266165236</v>
      </c>
      <c r="AO125" s="62">
        <f t="shared" si="90"/>
        <v>439.28159165815276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14.165105641747296</v>
      </c>
      <c r="AV125" s="23">
        <f>EXP(-LN(2)/25)*AV124+(1-EXP(-LN(2)/25))/(LN(2)/25)*Calculateur!AQ125*Calculateur!AS125*VLOOKUP('Données projet'!$B$10,Paramètres!$A$1:$I$89,3,0)*0.475*44/12</f>
        <v>3.6778165541868391</v>
      </c>
      <c r="AW125" s="23">
        <f>EXP(-LN(2)/2)*AW124+(1-EXP(-LN(2)/2))/(LN(2)/2)*AQ125*AT125*VLOOKUP('Données projet'!$B$10,Paramètres!$A$1:$I$89,3,0)*0.475*44/12</f>
        <v>9.0925141511486927E-13</v>
      </c>
      <c r="AX125" s="23">
        <f t="shared" si="60"/>
        <v>17.842922195935046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-5.6843418860808015E-14</v>
      </c>
      <c r="BE125" s="14">
        <f>BD125*VLOOKUP('Données projet'!$B$11,Paramètres!$A$1:$I$89,3,0)*VLOOKUP('Données projet'!$B$11,Paramètres!$A$1:$I$89,5,0)</f>
        <v>-5.1431925385259088E-14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366.86025470473652</v>
      </c>
      <c r="BJ125" s="62">
        <f t="shared" si="92"/>
        <v>513.80016421153414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0.35482622042600592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0.35482622042600592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187.13674266165236</v>
      </c>
      <c r="T126" s="62">
        <f t="shared" si="88"/>
        <v>439.28159165815276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13.887336559973958</v>
      </c>
      <c r="AA126" s="23">
        <f>EXP(-LN(2)/25)*AA125+(1-EXP(-LN(2)/25))/(LN(2)/25)*Calculateur!V126*Calculateur!X126*VLOOKUP('Données projet'!$B$9,Paramètres!$A$1:$I$89,3,0)*0.475*44/12</f>
        <v>3.5772464671046333</v>
      </c>
      <c r="AB126" s="23">
        <f>EXP(-LN(2)/2)*AB125+(1-EXP(-LN(2)/2))/(LN(2)/2)*V126*Y126*VLOOKUP('Données projet'!$B$9,Paramètres!$A$1:$I$89,3,0)*0.475*44/12</f>
        <v>6.4293784143118863E-13</v>
      </c>
      <c r="AC126" s="24">
        <f t="shared" si="57"/>
        <v>17.464583027079236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1.1368683772161603E-13</v>
      </c>
      <c r="AJ126" s="14">
        <f>AI126*VLOOKUP('Données projet'!$B$10,Paramètres!$A$1:$I$89,3,0)*VLOOKUP('Données projet'!$B$10,Paramètres!$A$1:$I$89,5,0)</f>
        <v>6.7984728957526396E-14</v>
      </c>
      <c r="AK126" s="14">
        <f t="shared" si="89"/>
        <v>1.0682447123141398E-12</v>
      </c>
      <c r="AL126" s="22">
        <f t="shared" si="58"/>
        <v>1.978932943548152E-12</v>
      </c>
      <c r="AM126" s="62">
        <f t="shared" si="59"/>
        <v>293.3333333333353</v>
      </c>
      <c r="AN126" s="62">
        <f ca="1">AVERAGE(OFFSET($AM$3,0,0,'Données projet'!$E$10+1,1))-AVERAGE(OFFSET($H$3,0,0,'Données projet'!$E$10+1,1))</f>
        <v>187.13674266165236</v>
      </c>
      <c r="AO126" s="62">
        <f t="shared" si="90"/>
        <v>439.28159165815276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13.887336559973958</v>
      </c>
      <c r="AV126" s="23">
        <f>EXP(-LN(2)/25)*AV125+(1-EXP(-LN(2)/25))/(LN(2)/25)*Calculateur!AQ126*Calculateur!AS126*VLOOKUP('Données projet'!$B$10,Paramètres!$A$1:$I$89,3,0)*0.475*44/12</f>
        <v>3.5772464671046333</v>
      </c>
      <c r="AW126" s="23">
        <f>EXP(-LN(2)/2)*AW125+(1-EXP(-LN(2)/2))/(LN(2)/2)*AQ126*AT126*VLOOKUP('Données projet'!$B$10,Paramètres!$A$1:$I$89,3,0)*0.475*44/12</f>
        <v>6.4293784143118863E-13</v>
      </c>
      <c r="AX126" s="23">
        <f t="shared" si="60"/>
        <v>17.464583027079236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-5.6843418860808015E-14</v>
      </c>
      <c r="BE126" s="14">
        <f>BD126*VLOOKUP('Données projet'!$B$11,Paramètres!$A$1:$I$89,3,0)*VLOOKUP('Données projet'!$B$11,Paramètres!$A$1:$I$89,5,0)</f>
        <v>-5.1431925385259088E-14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366.86025470473652</v>
      </c>
      <c r="BJ126" s="62">
        <f t="shared" si="92"/>
        <v>513.80016421153414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0.34786829466607644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0.34786829466607644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187.13674266165236</v>
      </c>
      <c r="T127" s="62">
        <f t="shared" si="88"/>
        <v>439.28159165815276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13.615014360471784</v>
      </c>
      <c r="AA127" s="23">
        <f>EXP(-LN(2)/25)*AA126+(1-EXP(-LN(2)/25))/(LN(2)/25)*Calculateur!V127*Calculateur!X127*VLOOKUP('Données projet'!$B$9,Paramètres!$A$1:$I$89,3,0)*0.475*44/12</f>
        <v>3.4794264743424415</v>
      </c>
      <c r="AB127" s="23">
        <f>EXP(-LN(2)/2)*AB126+(1-EXP(-LN(2)/2))/(LN(2)/2)*V127*Y127*VLOOKUP('Données projet'!$B$9,Paramètres!$A$1:$I$89,3,0)*0.475*44/12</f>
        <v>4.5462570755743474E-13</v>
      </c>
      <c r="AC127" s="24">
        <f t="shared" si="57"/>
        <v>17.09444083481468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1.1368683772161603E-13</v>
      </c>
      <c r="AJ127" s="14">
        <f>AI127*VLOOKUP('Données projet'!$B$10,Paramètres!$A$1:$I$89,3,0)*VLOOKUP('Données projet'!$B$10,Paramètres!$A$1:$I$89,5,0)</f>
        <v>6.7984728957526396E-14</v>
      </c>
      <c r="AK127" s="14">
        <f t="shared" si="89"/>
        <v>1.0682447123141398E-12</v>
      </c>
      <c r="AL127" s="22">
        <f t="shared" si="58"/>
        <v>1.978932943548152E-12</v>
      </c>
      <c r="AM127" s="62">
        <f t="shared" si="59"/>
        <v>293.3333333333353</v>
      </c>
      <c r="AN127" s="62">
        <f ca="1">AVERAGE(OFFSET($AM$3,0,0,'Données projet'!$E$10+1,1))-AVERAGE(OFFSET($H$3,0,0,'Données projet'!$E$10+1,1))</f>
        <v>187.13674266165236</v>
      </c>
      <c r="AO127" s="62">
        <f t="shared" si="90"/>
        <v>439.28159165815276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13.615014360471784</v>
      </c>
      <c r="AV127" s="23">
        <f>EXP(-LN(2)/25)*AV126+(1-EXP(-LN(2)/25))/(LN(2)/25)*Calculateur!AQ127*Calculateur!AS127*VLOOKUP('Données projet'!$B$10,Paramètres!$A$1:$I$89,3,0)*0.475*44/12</f>
        <v>3.4794264743424415</v>
      </c>
      <c r="AW127" s="23">
        <f>EXP(-LN(2)/2)*AW126+(1-EXP(-LN(2)/2))/(LN(2)/2)*AQ127*AT127*VLOOKUP('Données projet'!$B$10,Paramètres!$A$1:$I$89,3,0)*0.475*44/12</f>
        <v>4.5462570755743474E-13</v>
      </c>
      <c r="AX127" s="23">
        <f t="shared" si="60"/>
        <v>17.09444083481468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-5.6843418860808015E-14</v>
      </c>
      <c r="BE127" s="14">
        <f>BD127*VLOOKUP('Données projet'!$B$11,Paramètres!$A$1:$I$89,3,0)*VLOOKUP('Données projet'!$B$11,Paramètres!$A$1:$I$89,5,0)</f>
        <v>-5.1431925385259088E-14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366.86025470473652</v>
      </c>
      <c r="BJ127" s="62">
        <f t="shared" si="92"/>
        <v>513.80016421153414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0.3410468095863835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0.3410468095863835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187.13674266165236</v>
      </c>
      <c r="T128" s="62">
        <f t="shared" si="88"/>
        <v>439.28159165815276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13.348032233201707</v>
      </c>
      <c r="AA128" s="23">
        <f>EXP(-LN(2)/25)*AA127+(1-EXP(-LN(2)/25))/(LN(2)/25)*Calculateur!V128*Calculateur!X128*VLOOKUP('Données projet'!$B$9,Paramètres!$A$1:$I$89,3,0)*0.475*44/12</f>
        <v>3.3842813744264615</v>
      </c>
      <c r="AB128" s="23">
        <f>EXP(-LN(2)/2)*AB127+(1-EXP(-LN(2)/2))/(LN(2)/2)*V128*Y128*VLOOKUP('Données projet'!$B$9,Paramètres!$A$1:$I$89,3,0)*0.475*44/12</f>
        <v>3.2146892071559437E-13</v>
      </c>
      <c r="AC128" s="24">
        <f t="shared" si="57"/>
        <v>16.732313607628488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1.1368683772161603E-13</v>
      </c>
      <c r="AJ128" s="14">
        <f>AI128*VLOOKUP('Données projet'!$B$10,Paramètres!$A$1:$I$89,3,0)*VLOOKUP('Données projet'!$B$10,Paramètres!$A$1:$I$89,5,0)</f>
        <v>6.7984728957526396E-14</v>
      </c>
      <c r="AK128" s="14">
        <f t="shared" si="89"/>
        <v>1.0682447123141398E-12</v>
      </c>
      <c r="AL128" s="22">
        <f t="shared" si="58"/>
        <v>1.978932943548152E-12</v>
      </c>
      <c r="AM128" s="62">
        <f t="shared" si="59"/>
        <v>293.3333333333353</v>
      </c>
      <c r="AN128" s="62">
        <f ca="1">AVERAGE(OFFSET($AM$3,0,0,'Données projet'!$E$10+1,1))-AVERAGE(OFFSET($H$3,0,0,'Données projet'!$E$10+1,1))</f>
        <v>187.13674266165236</v>
      </c>
      <c r="AO128" s="62">
        <f t="shared" si="90"/>
        <v>439.28159165815276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13.348032233201707</v>
      </c>
      <c r="AV128" s="23">
        <f>EXP(-LN(2)/25)*AV127+(1-EXP(-LN(2)/25))/(LN(2)/25)*Calculateur!AQ128*Calculateur!AS128*VLOOKUP('Données projet'!$B$10,Paramètres!$A$1:$I$89,3,0)*0.475*44/12</f>
        <v>3.3842813744264615</v>
      </c>
      <c r="AW128" s="23">
        <f>EXP(-LN(2)/2)*AW127+(1-EXP(-LN(2)/2))/(LN(2)/2)*AQ128*AT128*VLOOKUP('Données projet'!$B$10,Paramètres!$A$1:$I$89,3,0)*0.475*44/12</f>
        <v>3.2146892071559437E-13</v>
      </c>
      <c r="AX128" s="23">
        <f t="shared" si="60"/>
        <v>16.732313607628488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-5.6843418860808015E-14</v>
      </c>
      <c r="BE128" s="14">
        <f>BD128*VLOOKUP('Données projet'!$B$11,Paramètres!$A$1:$I$89,3,0)*VLOOKUP('Données projet'!$B$11,Paramètres!$A$1:$I$89,5,0)</f>
        <v>-5.1431925385259088E-14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366.86025470473652</v>
      </c>
      <c r="BJ128" s="62">
        <f t="shared" si="92"/>
        <v>513.80016421153414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0.33435908966840827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0.33435908966840827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187.13674266165236</v>
      </c>
      <c r="T129" s="62">
        <f t="shared" si="88"/>
        <v>439.28159165815276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13.086285462604378</v>
      </c>
      <c r="AA129" s="23">
        <f>EXP(-LN(2)/25)*AA128+(1-EXP(-LN(2)/25))/(LN(2)/25)*Calculateur!V129*Calculateur!X129*VLOOKUP('Données projet'!$B$9,Paramètres!$A$1:$I$89,3,0)*0.475*44/12</f>
        <v>3.2917380222711472</v>
      </c>
      <c r="AB129" s="23">
        <f>EXP(-LN(2)/2)*AB128+(1-EXP(-LN(2)/2))/(LN(2)/2)*V129*Y129*VLOOKUP('Données projet'!$B$9,Paramètres!$A$1:$I$89,3,0)*0.475*44/12</f>
        <v>2.2731285377871739E-13</v>
      </c>
      <c r="AC129" s="24">
        <f t="shared" si="57"/>
        <v>16.378023484875754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1.1368683772161603E-13</v>
      </c>
      <c r="AJ129" s="14">
        <f>AI129*VLOOKUP('Données projet'!$B$10,Paramètres!$A$1:$I$89,3,0)*VLOOKUP('Données projet'!$B$10,Paramètres!$A$1:$I$89,5,0)</f>
        <v>6.7984728957526396E-14</v>
      </c>
      <c r="AK129" s="14">
        <f t="shared" si="89"/>
        <v>1.0682447123141398E-12</v>
      </c>
      <c r="AL129" s="22">
        <f t="shared" si="58"/>
        <v>1.978932943548152E-12</v>
      </c>
      <c r="AM129" s="62">
        <f t="shared" si="59"/>
        <v>293.3333333333353</v>
      </c>
      <c r="AN129" s="62">
        <f ca="1">AVERAGE(OFFSET($AM$3,0,0,'Données projet'!$E$10+1,1))-AVERAGE(OFFSET($H$3,0,0,'Données projet'!$E$10+1,1))</f>
        <v>187.13674266165236</v>
      </c>
      <c r="AO129" s="62">
        <f t="shared" si="90"/>
        <v>439.28159165815276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13.086285462604378</v>
      </c>
      <c r="AV129" s="23">
        <f>EXP(-LN(2)/25)*AV128+(1-EXP(-LN(2)/25))/(LN(2)/25)*Calculateur!AQ129*Calculateur!AS129*VLOOKUP('Données projet'!$B$10,Paramètres!$A$1:$I$89,3,0)*0.475*44/12</f>
        <v>3.2917380222711472</v>
      </c>
      <c r="AW129" s="23">
        <f>EXP(-LN(2)/2)*AW128+(1-EXP(-LN(2)/2))/(LN(2)/2)*AQ129*AT129*VLOOKUP('Données projet'!$B$10,Paramètres!$A$1:$I$89,3,0)*0.475*44/12</f>
        <v>2.2731285377871739E-13</v>
      </c>
      <c r="AX129" s="23">
        <f t="shared" si="60"/>
        <v>16.378023484875754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-5.6843418860808015E-14</v>
      </c>
      <c r="BE129" s="14">
        <f>BD129*VLOOKUP('Données projet'!$B$11,Paramètres!$A$1:$I$89,3,0)*VLOOKUP('Données projet'!$B$11,Paramètres!$A$1:$I$89,5,0)</f>
        <v>-5.1431925385259088E-14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366.86025470473652</v>
      </c>
      <c r="BJ129" s="62">
        <f t="shared" si="92"/>
        <v>513.80016421153414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0.32780251185891818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0.32780251185891818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187.13674266165236</v>
      </c>
      <c r="T130" s="62">
        <f t="shared" si="88"/>
        <v>439.28159165815276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12.829671386528696</v>
      </c>
      <c r="AA130" s="23">
        <f>EXP(-LN(2)/25)*AA129+(1-EXP(-LN(2)/25))/(LN(2)/25)*Calculateur!V130*Calculateur!X130*VLOOKUP('Données projet'!$B$9,Paramètres!$A$1:$I$89,3,0)*0.475*44/12</f>
        <v>3.2017252729471632</v>
      </c>
      <c r="AB130" s="23">
        <f>EXP(-LN(2)/2)*AB129+(1-EXP(-LN(2)/2))/(LN(2)/2)*V130*Y130*VLOOKUP('Données projet'!$B$9,Paramètres!$A$1:$I$89,3,0)*0.475*44/12</f>
        <v>1.6073446035779721E-13</v>
      </c>
      <c r="AC130" s="24">
        <f t="shared" si="57"/>
        <v>16.03139665947602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1.1368683772161603E-13</v>
      </c>
      <c r="AJ130" s="14">
        <f>AI130*VLOOKUP('Données projet'!$B$10,Paramètres!$A$1:$I$89,3,0)*VLOOKUP('Données projet'!$B$10,Paramètres!$A$1:$I$89,5,0)</f>
        <v>6.7984728957526396E-14</v>
      </c>
      <c r="AK130" s="14">
        <f t="shared" si="89"/>
        <v>1.0682447123141398E-12</v>
      </c>
      <c r="AL130" s="22">
        <f t="shared" si="58"/>
        <v>1.978932943548152E-12</v>
      </c>
      <c r="AM130" s="62">
        <f t="shared" si="59"/>
        <v>293.3333333333353</v>
      </c>
      <c r="AN130" s="62">
        <f ca="1">AVERAGE(OFFSET($AM$3,0,0,'Données projet'!$E$10+1,1))-AVERAGE(OFFSET($H$3,0,0,'Données projet'!$E$10+1,1))</f>
        <v>187.13674266165236</v>
      </c>
      <c r="AO130" s="62">
        <f t="shared" si="90"/>
        <v>439.28159165815276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12.829671386528696</v>
      </c>
      <c r="AV130" s="23">
        <f>EXP(-LN(2)/25)*AV129+(1-EXP(-LN(2)/25))/(LN(2)/25)*Calculateur!AQ130*Calculateur!AS130*VLOOKUP('Données projet'!$B$10,Paramètres!$A$1:$I$89,3,0)*0.475*44/12</f>
        <v>3.2017252729471632</v>
      </c>
      <c r="AW130" s="23">
        <f>EXP(-LN(2)/2)*AW129+(1-EXP(-LN(2)/2))/(LN(2)/2)*AQ130*AT130*VLOOKUP('Données projet'!$B$10,Paramètres!$A$1:$I$89,3,0)*0.475*44/12</f>
        <v>1.6073446035779721E-13</v>
      </c>
      <c r="AX130" s="23">
        <f t="shared" si="60"/>
        <v>16.03139665947602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-5.6843418860808015E-14</v>
      </c>
      <c r="BE130" s="14">
        <f>BD130*VLOOKUP('Données projet'!$B$11,Paramètres!$A$1:$I$89,3,0)*VLOOKUP('Données projet'!$B$11,Paramètres!$A$1:$I$89,5,0)</f>
        <v>-5.1431925385259088E-14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366.86025470473652</v>
      </c>
      <c r="BJ130" s="62">
        <f t="shared" si="92"/>
        <v>513.80016421153414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0.32137450454115463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0.32137450454115463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187.13674266165236</v>
      </c>
      <c r="T131" s="62">
        <f t="shared" si="88"/>
        <v>439.28159165815276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12.578089355965728</v>
      </c>
      <c r="AA131" s="23">
        <f>EXP(-LN(2)/25)*AA130+(1-EXP(-LN(2)/25))/(LN(2)/25)*Calculateur!V131*Calculateur!X131*VLOOKUP('Données projet'!$B$9,Paramètres!$A$1:$I$89,3,0)*0.475*44/12</f>
        <v>3.1141739269870086</v>
      </c>
      <c r="AB131" s="23">
        <f>EXP(-LN(2)/2)*AB130+(1-EXP(-LN(2)/2))/(LN(2)/2)*V131*Y131*VLOOKUP('Données projet'!$B$9,Paramètres!$A$1:$I$89,3,0)*0.475*44/12</f>
        <v>1.1365642688935872E-13</v>
      </c>
      <c r="AC131" s="24">
        <f t="shared" si="57"/>
        <v>15.692263282952851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1.1368683772161603E-13</v>
      </c>
      <c r="AJ131" s="14">
        <f>AI131*VLOOKUP('Données projet'!$B$10,Paramètres!$A$1:$I$89,3,0)*VLOOKUP('Données projet'!$B$10,Paramètres!$A$1:$I$89,5,0)</f>
        <v>6.7984728957526396E-14</v>
      </c>
      <c r="AK131" s="14">
        <f t="shared" si="89"/>
        <v>1.0682447123141398E-12</v>
      </c>
      <c r="AL131" s="22">
        <f t="shared" si="58"/>
        <v>1.978932943548152E-12</v>
      </c>
      <c r="AM131" s="62">
        <f t="shared" si="59"/>
        <v>293.3333333333353</v>
      </c>
      <c r="AN131" s="62">
        <f ca="1">AVERAGE(OFFSET($AM$3,0,0,'Données projet'!$E$10+1,1))-AVERAGE(OFFSET($H$3,0,0,'Données projet'!$E$10+1,1))</f>
        <v>187.13674266165236</v>
      </c>
      <c r="AO131" s="62">
        <f t="shared" si="90"/>
        <v>439.28159165815276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12.578089355965728</v>
      </c>
      <c r="AV131" s="23">
        <f>EXP(-LN(2)/25)*AV130+(1-EXP(-LN(2)/25))/(LN(2)/25)*Calculateur!AQ131*Calculateur!AS131*VLOOKUP('Données projet'!$B$10,Paramètres!$A$1:$I$89,3,0)*0.475*44/12</f>
        <v>3.1141739269870086</v>
      </c>
      <c r="AW131" s="23">
        <f>EXP(-LN(2)/2)*AW130+(1-EXP(-LN(2)/2))/(LN(2)/2)*AQ131*AT131*VLOOKUP('Données projet'!$B$10,Paramètres!$A$1:$I$89,3,0)*0.475*44/12</f>
        <v>1.1365642688935872E-13</v>
      </c>
      <c r="AX131" s="23">
        <f t="shared" si="60"/>
        <v>15.692263282952851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-5.6843418860808015E-14</v>
      </c>
      <c r="BE131" s="14">
        <f>BD131*VLOOKUP('Données projet'!$B$11,Paramètres!$A$1:$I$89,3,0)*VLOOKUP('Données projet'!$B$11,Paramètres!$A$1:$I$89,5,0)</f>
        <v>-5.1431925385259088E-14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366.86025470473652</v>
      </c>
      <c r="BJ131" s="62">
        <f t="shared" si="92"/>
        <v>513.80016421153414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0.3150725465261951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0.3150725465261951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187.13674266165236</v>
      </c>
      <c r="T132" s="62">
        <f t="shared" si="88"/>
        <v>439.28159165815276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12.331440695572212</v>
      </c>
      <c r="AA132" s="23">
        <f>EXP(-LN(2)/25)*AA131+(1-EXP(-LN(2)/25))/(LN(2)/25)*Calculateur!V132*Calculateur!X132*VLOOKUP('Données projet'!$B$9,Paramètres!$A$1:$I$89,3,0)*0.475*44/12</f>
        <v>3.0290166771862594</v>
      </c>
      <c r="AB132" s="23">
        <f>EXP(-LN(2)/2)*AB131+(1-EXP(-LN(2)/2))/(LN(2)/2)*V132*Y132*VLOOKUP('Données projet'!$B$9,Paramètres!$A$1:$I$89,3,0)*0.475*44/12</f>
        <v>8.0367230178898617E-14</v>
      </c>
      <c r="AC132" s="24">
        <f t="shared" ref="AC132:AC153" si="111">SUM(Z132:AB132)</f>
        <v>15.360457372758551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1.1368683772161603E-13</v>
      </c>
      <c r="AJ132" s="14">
        <f>AI132*VLOOKUP('Données projet'!$B$10,Paramètres!$A$1:$I$89,3,0)*VLOOKUP('Données projet'!$B$10,Paramètres!$A$1:$I$89,5,0)</f>
        <v>6.7984728957526396E-14</v>
      </c>
      <c r="AK132" s="14">
        <f t="shared" si="89"/>
        <v>1.0682447123141398E-12</v>
      </c>
      <c r="AL132" s="22">
        <f t="shared" ref="AL132:AL153" si="112">(AJ132+AK132)*0.475*44/12</f>
        <v>1.978932943548152E-12</v>
      </c>
      <c r="AM132" s="62">
        <f t="shared" ref="AM132:AM195" si="113">AL132+(AD132+AE132)*44/12</f>
        <v>293.3333333333353</v>
      </c>
      <c r="AN132" s="62">
        <f ca="1">AVERAGE(OFFSET($AM$3,0,0,'Données projet'!$E$10+1,1))-AVERAGE(OFFSET($H$3,0,0,'Données projet'!$E$10+1,1))</f>
        <v>187.13674266165236</v>
      </c>
      <c r="AO132" s="62">
        <f t="shared" si="90"/>
        <v>439.28159165815276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12.331440695572212</v>
      </c>
      <c r="AV132" s="23">
        <f>EXP(-LN(2)/25)*AV131+(1-EXP(-LN(2)/25))/(LN(2)/25)*Calculateur!AQ132*Calculateur!AS132*VLOOKUP('Données projet'!$B$10,Paramètres!$A$1:$I$89,3,0)*0.475*44/12</f>
        <v>3.0290166771862594</v>
      </c>
      <c r="AW132" s="23">
        <f>EXP(-LN(2)/2)*AW131+(1-EXP(-LN(2)/2))/(LN(2)/2)*AQ132*AT132*VLOOKUP('Données projet'!$B$10,Paramètres!$A$1:$I$89,3,0)*0.475*44/12</f>
        <v>8.0367230178898617E-14</v>
      </c>
      <c r="AX132" s="23">
        <f t="shared" ref="AX132:AX153" si="114">SUM(AU132:AW132)</f>
        <v>15.360457372758551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-5.6843418860808015E-14</v>
      </c>
      <c r="BE132" s="14">
        <f>BD132*VLOOKUP('Données projet'!$B$11,Paramètres!$A$1:$I$89,3,0)*VLOOKUP('Données projet'!$B$11,Paramètres!$A$1:$I$89,5,0)</f>
        <v>-5.1431925385259088E-14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366.86025470473652</v>
      </c>
      <c r="BJ132" s="62">
        <f t="shared" si="92"/>
        <v>513.80016421153414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0.30889416606409403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0.30889416606409403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187.13674266165236</v>
      </c>
      <c r="T133" s="62">
        <f t="shared" ref="T133:T196" si="142">$T$3</f>
        <v>439.28159165815276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12.089628664968185</v>
      </c>
      <c r="AA133" s="23">
        <f>EXP(-LN(2)/25)*AA132+(1-EXP(-LN(2)/25))/(LN(2)/25)*Calculateur!V133*Calculateur!X133*VLOOKUP('Données projet'!$B$9,Paramètres!$A$1:$I$89,3,0)*0.475*44/12</f>
        <v>2.9461880568595369</v>
      </c>
      <c r="AB133" s="23">
        <f>EXP(-LN(2)/2)*AB132+(1-EXP(-LN(2)/2))/(LN(2)/2)*V133*Y133*VLOOKUP('Données projet'!$B$9,Paramètres!$A$1:$I$89,3,0)*0.475*44/12</f>
        <v>5.6828213444679367E-14</v>
      </c>
      <c r="AC133" s="24">
        <f t="shared" si="111"/>
        <v>15.035816721827779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1.1368683772161603E-13</v>
      </c>
      <c r="AJ133" s="14">
        <f>AI133*VLOOKUP('Données projet'!$B$10,Paramètres!$A$1:$I$89,3,0)*VLOOKUP('Données projet'!$B$10,Paramètres!$A$1:$I$89,5,0)</f>
        <v>6.7984728957526396E-14</v>
      </c>
      <c r="AK133" s="14">
        <f t="shared" ref="AK133:AK153" si="143">EXP(-1.0587+0.8836*LN(AJ133)+0.284)</f>
        <v>1.0682447123141398E-12</v>
      </c>
      <c r="AL133" s="22">
        <f t="shared" si="112"/>
        <v>1.978932943548152E-12</v>
      </c>
      <c r="AM133" s="62">
        <f t="shared" si="113"/>
        <v>293.3333333333353</v>
      </c>
      <c r="AN133" s="62">
        <f ca="1">AVERAGE(OFFSET($AM$3,0,0,'Données projet'!$E$10+1,1))-AVERAGE(OFFSET($H$3,0,0,'Données projet'!$E$10+1,1))</f>
        <v>187.13674266165236</v>
      </c>
      <c r="AO133" s="62">
        <f t="shared" ref="AO133:AO196" si="144">$AO$3</f>
        <v>439.28159165815276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12.089628664968185</v>
      </c>
      <c r="AV133" s="23">
        <f>EXP(-LN(2)/25)*AV132+(1-EXP(-LN(2)/25))/(LN(2)/25)*Calculateur!AQ133*Calculateur!AS133*VLOOKUP('Données projet'!$B$10,Paramètres!$A$1:$I$89,3,0)*0.475*44/12</f>
        <v>2.9461880568595369</v>
      </c>
      <c r="AW133" s="23">
        <f>EXP(-LN(2)/2)*AW132+(1-EXP(-LN(2)/2))/(LN(2)/2)*AQ133*AT133*VLOOKUP('Données projet'!$B$10,Paramètres!$A$1:$I$89,3,0)*0.475*44/12</f>
        <v>5.6828213444679367E-14</v>
      </c>
      <c r="AX133" s="23">
        <f t="shared" si="114"/>
        <v>15.035816721827779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-5.6843418860808015E-14</v>
      </c>
      <c r="BE133" s="14">
        <f>BD133*VLOOKUP('Données projet'!$B$11,Paramètres!$A$1:$I$89,3,0)*VLOOKUP('Données projet'!$B$11,Paramètres!$A$1:$I$89,5,0)</f>
        <v>-5.1431925385259088E-14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366.86025470473652</v>
      </c>
      <c r="BJ133" s="62">
        <f t="shared" ref="BJ133:BJ196" si="146">$BJ$3</f>
        <v>513.80016421153414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0.30283693987441485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0.30283693987441485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187.13674266165236</v>
      </c>
      <c r="T134" s="62">
        <f t="shared" si="142"/>
        <v>439.28159165815276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11.852558420793528</v>
      </c>
      <c r="AA134" s="23">
        <f>EXP(-LN(2)/25)*AA133+(1-EXP(-LN(2)/25))/(LN(2)/25)*Calculateur!V134*Calculateur!X134*VLOOKUP('Données projet'!$B$9,Paramètres!$A$1:$I$89,3,0)*0.475*44/12</f>
        <v>2.8656243895114164</v>
      </c>
      <c r="AB134" s="23">
        <f>EXP(-LN(2)/2)*AB133+(1-EXP(-LN(2)/2))/(LN(2)/2)*V134*Y134*VLOOKUP('Données projet'!$B$9,Paramètres!$A$1:$I$89,3,0)*0.475*44/12</f>
        <v>4.0183615089449315E-14</v>
      </c>
      <c r="AC134" s="24">
        <f t="shared" si="111"/>
        <v>14.718182810304986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1.1368683772161603E-13</v>
      </c>
      <c r="AJ134" s="14">
        <f>AI134*VLOOKUP('Données projet'!$B$10,Paramètres!$A$1:$I$89,3,0)*VLOOKUP('Données projet'!$B$10,Paramètres!$A$1:$I$89,5,0)</f>
        <v>6.7984728957526396E-14</v>
      </c>
      <c r="AK134" s="14">
        <f t="shared" si="143"/>
        <v>1.0682447123141398E-12</v>
      </c>
      <c r="AL134" s="22">
        <f t="shared" si="112"/>
        <v>1.978932943548152E-12</v>
      </c>
      <c r="AM134" s="62">
        <f t="shared" si="113"/>
        <v>293.3333333333353</v>
      </c>
      <c r="AN134" s="62">
        <f ca="1">AVERAGE(OFFSET($AM$3,0,0,'Données projet'!$E$10+1,1))-AVERAGE(OFFSET($H$3,0,0,'Données projet'!$E$10+1,1))</f>
        <v>187.13674266165236</v>
      </c>
      <c r="AO134" s="62">
        <f t="shared" si="144"/>
        <v>439.28159165815276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11.852558420793528</v>
      </c>
      <c r="AV134" s="23">
        <f>EXP(-LN(2)/25)*AV133+(1-EXP(-LN(2)/25))/(LN(2)/25)*Calculateur!AQ134*Calculateur!AS134*VLOOKUP('Données projet'!$B$10,Paramètres!$A$1:$I$89,3,0)*0.475*44/12</f>
        <v>2.8656243895114164</v>
      </c>
      <c r="AW134" s="23">
        <f>EXP(-LN(2)/2)*AW133+(1-EXP(-LN(2)/2))/(LN(2)/2)*AQ134*AT134*VLOOKUP('Données projet'!$B$10,Paramètres!$A$1:$I$89,3,0)*0.475*44/12</f>
        <v>4.0183615089449315E-14</v>
      </c>
      <c r="AX134" s="23">
        <f t="shared" si="114"/>
        <v>14.718182810304986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-5.6843418860808015E-14</v>
      </c>
      <c r="BE134" s="14">
        <f>BD134*VLOOKUP('Données projet'!$B$11,Paramètres!$A$1:$I$89,3,0)*VLOOKUP('Données projet'!$B$11,Paramètres!$A$1:$I$89,5,0)</f>
        <v>-5.1431925385259088E-14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366.86025470473652</v>
      </c>
      <c r="BJ134" s="62">
        <f t="shared" si="146"/>
        <v>513.80016421153414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0.29689849219577208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0.29689849219577208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187.13674266165236</v>
      </c>
      <c r="T135" s="62">
        <f t="shared" si="142"/>
        <v>439.28159165815276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11.620136979508565</v>
      </c>
      <c r="AA135" s="23">
        <f>EXP(-LN(2)/25)*AA134+(1-EXP(-LN(2)/25))/(LN(2)/25)*Calculateur!V135*Calculateur!X135*VLOOKUP('Données projet'!$B$9,Paramètres!$A$1:$I$89,3,0)*0.475*44/12</f>
        <v>2.7872637398835893</v>
      </c>
      <c r="AB135" s="23">
        <f>EXP(-LN(2)/2)*AB134+(1-EXP(-LN(2)/2))/(LN(2)/2)*V135*Y135*VLOOKUP('Données projet'!$B$9,Paramètres!$A$1:$I$89,3,0)*0.475*44/12</f>
        <v>2.8414106722339687E-14</v>
      </c>
      <c r="AC135" s="24">
        <f t="shared" si="111"/>
        <v>14.407400719392182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1.1368683772161603E-13</v>
      </c>
      <c r="AJ135" s="14">
        <f>AI135*VLOOKUP('Données projet'!$B$10,Paramètres!$A$1:$I$89,3,0)*VLOOKUP('Données projet'!$B$10,Paramètres!$A$1:$I$89,5,0)</f>
        <v>6.7984728957526396E-14</v>
      </c>
      <c r="AK135" s="14">
        <f t="shared" si="143"/>
        <v>1.0682447123141398E-12</v>
      </c>
      <c r="AL135" s="22">
        <f t="shared" si="112"/>
        <v>1.978932943548152E-12</v>
      </c>
      <c r="AM135" s="62">
        <f t="shared" si="113"/>
        <v>293.3333333333353</v>
      </c>
      <c r="AN135" s="62">
        <f ca="1">AVERAGE(OFFSET($AM$3,0,0,'Données projet'!$E$10+1,1))-AVERAGE(OFFSET($H$3,0,0,'Données projet'!$E$10+1,1))</f>
        <v>187.13674266165236</v>
      </c>
      <c r="AO135" s="62">
        <f t="shared" si="144"/>
        <v>439.28159165815276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11.620136979508565</v>
      </c>
      <c r="AV135" s="23">
        <f>EXP(-LN(2)/25)*AV134+(1-EXP(-LN(2)/25))/(LN(2)/25)*Calculateur!AQ135*Calculateur!AS135*VLOOKUP('Données projet'!$B$10,Paramètres!$A$1:$I$89,3,0)*0.475*44/12</f>
        <v>2.7872637398835893</v>
      </c>
      <c r="AW135" s="23">
        <f>EXP(-LN(2)/2)*AW134+(1-EXP(-LN(2)/2))/(LN(2)/2)*AQ135*AT135*VLOOKUP('Données projet'!$B$10,Paramètres!$A$1:$I$89,3,0)*0.475*44/12</f>
        <v>2.8414106722339687E-14</v>
      </c>
      <c r="AX135" s="23">
        <f t="shared" si="114"/>
        <v>14.407400719392182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-5.6843418860808015E-14</v>
      </c>
      <c r="BE135" s="14">
        <f>BD135*VLOOKUP('Données projet'!$B$11,Paramètres!$A$1:$I$89,3,0)*VLOOKUP('Données projet'!$B$11,Paramètres!$A$1:$I$89,5,0)</f>
        <v>-5.1431925385259088E-14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366.86025470473652</v>
      </c>
      <c r="BJ135" s="62">
        <f t="shared" si="146"/>
        <v>513.80016421153414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0.29107649385401207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0.29107649385401207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187.13674266165236</v>
      </c>
      <c r="T136" s="62">
        <f t="shared" si="142"/>
        <v>439.28159165815276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11.39227318092412</v>
      </c>
      <c r="AA136" s="23">
        <f>EXP(-LN(2)/25)*AA135+(1-EXP(-LN(2)/25))/(LN(2)/25)*Calculateur!V136*Calculateur!X136*VLOOKUP('Données projet'!$B$9,Paramètres!$A$1:$I$89,3,0)*0.475*44/12</f>
        <v>2.7110458663406427</v>
      </c>
      <c r="AB136" s="23">
        <f>EXP(-LN(2)/2)*AB135+(1-EXP(-LN(2)/2))/(LN(2)/2)*V136*Y136*VLOOKUP('Données projet'!$B$9,Paramètres!$A$1:$I$89,3,0)*0.475*44/12</f>
        <v>2.0091807544724661E-14</v>
      </c>
      <c r="AC136" s="24">
        <f t="shared" si="111"/>
        <v>14.103319047264781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1.1368683772161603E-13</v>
      </c>
      <c r="AJ136" s="14">
        <f>AI136*VLOOKUP('Données projet'!$B$10,Paramètres!$A$1:$I$89,3,0)*VLOOKUP('Données projet'!$B$10,Paramètres!$A$1:$I$89,5,0)</f>
        <v>6.7984728957526396E-14</v>
      </c>
      <c r="AK136" s="14">
        <f t="shared" si="143"/>
        <v>1.0682447123141398E-12</v>
      </c>
      <c r="AL136" s="22">
        <f t="shared" si="112"/>
        <v>1.978932943548152E-12</v>
      </c>
      <c r="AM136" s="62">
        <f t="shared" si="113"/>
        <v>293.3333333333353</v>
      </c>
      <c r="AN136" s="62">
        <f ca="1">AVERAGE(OFFSET($AM$3,0,0,'Données projet'!$E$10+1,1))-AVERAGE(OFFSET($H$3,0,0,'Données projet'!$E$10+1,1))</f>
        <v>187.13674266165236</v>
      </c>
      <c r="AO136" s="62">
        <f t="shared" si="144"/>
        <v>439.28159165815276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11.39227318092412</v>
      </c>
      <c r="AV136" s="23">
        <f>EXP(-LN(2)/25)*AV135+(1-EXP(-LN(2)/25))/(LN(2)/25)*Calculateur!AQ136*Calculateur!AS136*VLOOKUP('Données projet'!$B$10,Paramètres!$A$1:$I$89,3,0)*0.475*44/12</f>
        <v>2.7110458663406427</v>
      </c>
      <c r="AW136" s="23">
        <f>EXP(-LN(2)/2)*AW135+(1-EXP(-LN(2)/2))/(LN(2)/2)*AQ136*AT136*VLOOKUP('Données projet'!$B$10,Paramètres!$A$1:$I$89,3,0)*0.475*44/12</f>
        <v>2.0091807544724661E-14</v>
      </c>
      <c r="AX136" s="23">
        <f t="shared" si="114"/>
        <v>14.103319047264781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-5.6843418860808015E-14</v>
      </c>
      <c r="BE136" s="14">
        <f>BD136*VLOOKUP('Données projet'!$B$11,Paramètres!$A$1:$I$89,3,0)*VLOOKUP('Données projet'!$B$11,Paramètres!$A$1:$I$89,5,0)</f>
        <v>-5.1431925385259088E-14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366.86025470473652</v>
      </c>
      <c r="BJ136" s="62">
        <f t="shared" si="146"/>
        <v>513.80016421153414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0.28536866134866562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0.28536866134866562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187.13674266165236</v>
      </c>
      <c r="T137" s="62">
        <f t="shared" si="142"/>
        <v>439.28159165815276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11.168877652446721</v>
      </c>
      <c r="AA137" s="23">
        <f>EXP(-LN(2)/25)*AA136+(1-EXP(-LN(2)/25))/(LN(2)/25)*Calculateur!V137*Calculateur!X137*VLOOKUP('Données projet'!$B$9,Paramètres!$A$1:$I$89,3,0)*0.475*44/12</f>
        <v>2.6369121745578519</v>
      </c>
      <c r="AB137" s="23">
        <f>EXP(-LN(2)/2)*AB136+(1-EXP(-LN(2)/2))/(LN(2)/2)*V137*Y137*VLOOKUP('Données projet'!$B$9,Paramètres!$A$1:$I$89,3,0)*0.475*44/12</f>
        <v>1.4207053361169847E-14</v>
      </c>
      <c r="AC137" s="24">
        <f t="shared" si="111"/>
        <v>13.805789827004586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1.1368683772161603E-13</v>
      </c>
      <c r="AJ137" s="14">
        <f>AI137*VLOOKUP('Données projet'!$B$10,Paramètres!$A$1:$I$89,3,0)*VLOOKUP('Données projet'!$B$10,Paramètres!$A$1:$I$89,5,0)</f>
        <v>6.7984728957526396E-14</v>
      </c>
      <c r="AK137" s="14">
        <f t="shared" si="143"/>
        <v>1.0682447123141398E-12</v>
      </c>
      <c r="AL137" s="22">
        <f t="shared" si="112"/>
        <v>1.978932943548152E-12</v>
      </c>
      <c r="AM137" s="62">
        <f t="shared" si="113"/>
        <v>293.3333333333353</v>
      </c>
      <c r="AN137" s="62">
        <f ca="1">AVERAGE(OFFSET($AM$3,0,0,'Données projet'!$E$10+1,1))-AVERAGE(OFFSET($H$3,0,0,'Données projet'!$E$10+1,1))</f>
        <v>187.13674266165236</v>
      </c>
      <c r="AO137" s="62">
        <f t="shared" si="144"/>
        <v>439.28159165815276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11.168877652446721</v>
      </c>
      <c r="AV137" s="23">
        <f>EXP(-LN(2)/25)*AV136+(1-EXP(-LN(2)/25))/(LN(2)/25)*Calculateur!AQ137*Calculateur!AS137*VLOOKUP('Données projet'!$B$10,Paramètres!$A$1:$I$89,3,0)*0.475*44/12</f>
        <v>2.6369121745578519</v>
      </c>
      <c r="AW137" s="23">
        <f>EXP(-LN(2)/2)*AW136+(1-EXP(-LN(2)/2))/(LN(2)/2)*AQ137*AT137*VLOOKUP('Données projet'!$B$10,Paramètres!$A$1:$I$89,3,0)*0.475*44/12</f>
        <v>1.4207053361169847E-14</v>
      </c>
      <c r="AX137" s="23">
        <f t="shared" si="114"/>
        <v>13.805789827004586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-5.6843418860808015E-14</v>
      </c>
      <c r="BE137" s="14">
        <f>BD137*VLOOKUP('Données projet'!$B$11,Paramètres!$A$1:$I$89,3,0)*VLOOKUP('Données projet'!$B$11,Paramètres!$A$1:$I$89,5,0)</f>
        <v>-5.1431925385259088E-14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366.86025470473652</v>
      </c>
      <c r="BJ137" s="62">
        <f t="shared" si="146"/>
        <v>513.80016421153414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0.27977275595731493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0.27977275595731493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187.13674266165236</v>
      </c>
      <c r="T138" s="62">
        <f t="shared" si="142"/>
        <v>439.28159165815276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10.949862774024945</v>
      </c>
      <c r="AA138" s="23">
        <f>EXP(-LN(2)/25)*AA137+(1-EXP(-LN(2)/25))/(LN(2)/25)*Calculateur!V138*Calculateur!X138*VLOOKUP('Données projet'!$B$9,Paramètres!$A$1:$I$89,3,0)*0.475*44/12</f>
        <v>2.5648056724753827</v>
      </c>
      <c r="AB138" s="23">
        <f>EXP(-LN(2)/2)*AB137+(1-EXP(-LN(2)/2))/(LN(2)/2)*V138*Y138*VLOOKUP('Données projet'!$B$9,Paramètres!$A$1:$I$89,3,0)*0.475*44/12</f>
        <v>1.0045903772362332E-14</v>
      </c>
      <c r="AC138" s="24">
        <f t="shared" si="111"/>
        <v>13.514668446500337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1.1368683772161603E-13</v>
      </c>
      <c r="AJ138" s="14">
        <f>AI138*VLOOKUP('Données projet'!$B$10,Paramètres!$A$1:$I$89,3,0)*VLOOKUP('Données projet'!$B$10,Paramètres!$A$1:$I$89,5,0)</f>
        <v>6.7984728957526396E-14</v>
      </c>
      <c r="AK138" s="14">
        <f t="shared" si="143"/>
        <v>1.0682447123141398E-12</v>
      </c>
      <c r="AL138" s="22">
        <f t="shared" si="112"/>
        <v>1.978932943548152E-12</v>
      </c>
      <c r="AM138" s="62">
        <f t="shared" si="113"/>
        <v>293.3333333333353</v>
      </c>
      <c r="AN138" s="62">
        <f ca="1">AVERAGE(OFFSET($AM$3,0,0,'Données projet'!$E$10+1,1))-AVERAGE(OFFSET($H$3,0,0,'Données projet'!$E$10+1,1))</f>
        <v>187.13674266165236</v>
      </c>
      <c r="AO138" s="62">
        <f t="shared" si="144"/>
        <v>439.28159165815276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10.949862774024945</v>
      </c>
      <c r="AV138" s="23">
        <f>EXP(-LN(2)/25)*AV137+(1-EXP(-LN(2)/25))/(LN(2)/25)*Calculateur!AQ138*Calculateur!AS138*VLOOKUP('Données projet'!$B$10,Paramètres!$A$1:$I$89,3,0)*0.475*44/12</f>
        <v>2.5648056724753827</v>
      </c>
      <c r="AW138" s="23">
        <f>EXP(-LN(2)/2)*AW137+(1-EXP(-LN(2)/2))/(LN(2)/2)*AQ138*AT138*VLOOKUP('Données projet'!$B$10,Paramètres!$A$1:$I$89,3,0)*0.475*44/12</f>
        <v>1.0045903772362332E-14</v>
      </c>
      <c r="AX138" s="23">
        <f t="shared" si="114"/>
        <v>13.514668446500337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-5.6843418860808015E-14</v>
      </c>
      <c r="BE138" s="14">
        <f>BD138*VLOOKUP('Données projet'!$B$11,Paramètres!$A$1:$I$89,3,0)*VLOOKUP('Données projet'!$B$11,Paramètres!$A$1:$I$89,5,0)</f>
        <v>-5.1431925385259088E-14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366.86025470473652</v>
      </c>
      <c r="BJ138" s="62">
        <f t="shared" si="146"/>
        <v>513.80016421153414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0.27428658285752339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0.27428658285752339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187.13674266165236</v>
      </c>
      <c r="T139" s="62">
        <f t="shared" si="142"/>
        <v>439.28159165815276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10.735142643783135</v>
      </c>
      <c r="AA139" s="23">
        <f>EXP(-LN(2)/25)*AA138+(1-EXP(-LN(2)/25))/(LN(2)/25)*Calculateur!V139*Calculateur!X139*VLOOKUP('Données projet'!$B$9,Paramètres!$A$1:$I$89,3,0)*0.475*44/12</f>
        <v>2.4946709264842748</v>
      </c>
      <c r="AB139" s="23">
        <f>EXP(-LN(2)/2)*AB138+(1-EXP(-LN(2)/2))/(LN(2)/2)*V139*Y139*VLOOKUP('Données projet'!$B$9,Paramètres!$A$1:$I$89,3,0)*0.475*44/12</f>
        <v>7.1035266805849241E-15</v>
      </c>
      <c r="AC139" s="24">
        <f t="shared" si="111"/>
        <v>13.229813570267417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1.1368683772161603E-13</v>
      </c>
      <c r="AJ139" s="14">
        <f>AI139*VLOOKUP('Données projet'!$B$10,Paramètres!$A$1:$I$89,3,0)*VLOOKUP('Données projet'!$B$10,Paramètres!$A$1:$I$89,5,0)</f>
        <v>6.7984728957526396E-14</v>
      </c>
      <c r="AK139" s="14">
        <f t="shared" si="143"/>
        <v>1.0682447123141398E-12</v>
      </c>
      <c r="AL139" s="22">
        <f t="shared" si="112"/>
        <v>1.978932943548152E-12</v>
      </c>
      <c r="AM139" s="62">
        <f t="shared" si="113"/>
        <v>293.3333333333353</v>
      </c>
      <c r="AN139" s="62">
        <f ca="1">AVERAGE(OFFSET($AM$3,0,0,'Données projet'!$E$10+1,1))-AVERAGE(OFFSET($H$3,0,0,'Données projet'!$E$10+1,1))</f>
        <v>187.13674266165236</v>
      </c>
      <c r="AO139" s="62">
        <f t="shared" si="144"/>
        <v>439.28159165815276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10.735142643783135</v>
      </c>
      <c r="AV139" s="23">
        <f>EXP(-LN(2)/25)*AV138+(1-EXP(-LN(2)/25))/(LN(2)/25)*Calculateur!AQ139*Calculateur!AS139*VLOOKUP('Données projet'!$B$10,Paramètres!$A$1:$I$89,3,0)*0.475*44/12</f>
        <v>2.4946709264842748</v>
      </c>
      <c r="AW139" s="23">
        <f>EXP(-LN(2)/2)*AW138+(1-EXP(-LN(2)/2))/(LN(2)/2)*AQ139*AT139*VLOOKUP('Données projet'!$B$10,Paramètres!$A$1:$I$89,3,0)*0.475*44/12</f>
        <v>7.1035266805849241E-15</v>
      </c>
      <c r="AX139" s="23">
        <f t="shared" si="114"/>
        <v>13.229813570267417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-5.6843418860808015E-14</v>
      </c>
      <c r="BE139" s="14">
        <f>BD139*VLOOKUP('Données projet'!$B$11,Paramètres!$A$1:$I$89,3,0)*VLOOKUP('Données projet'!$B$11,Paramètres!$A$1:$I$89,5,0)</f>
        <v>-5.1431925385259088E-14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366.86025470473652</v>
      </c>
      <c r="BJ139" s="62">
        <f t="shared" si="146"/>
        <v>513.80016421153414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0.26890799026598355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0.26890799026598355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187.13674266165236</v>
      </c>
      <c r="T140" s="62">
        <f t="shared" si="142"/>
        <v>439.28159165815276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10.52463304432902</v>
      </c>
      <c r="AA140" s="23">
        <f>EXP(-LN(2)/25)*AA139+(1-EXP(-LN(2)/25))/(LN(2)/25)*Calculateur!V140*Calculateur!X140*VLOOKUP('Données projet'!$B$9,Paramètres!$A$1:$I$89,3,0)*0.475*44/12</f>
        <v>2.4264540188105199</v>
      </c>
      <c r="AB140" s="23">
        <f>EXP(-LN(2)/2)*AB139+(1-EXP(-LN(2)/2))/(LN(2)/2)*V140*Y140*VLOOKUP('Données projet'!$B$9,Paramètres!$A$1:$I$89,3,0)*0.475*44/12</f>
        <v>5.0229518861811667E-15</v>
      </c>
      <c r="AC140" s="24">
        <f t="shared" si="111"/>
        <v>12.951087063139544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1.1368683772161603E-13</v>
      </c>
      <c r="AJ140" s="14">
        <f>AI140*VLOOKUP('Données projet'!$B$10,Paramètres!$A$1:$I$89,3,0)*VLOOKUP('Données projet'!$B$10,Paramètres!$A$1:$I$89,5,0)</f>
        <v>6.7984728957526396E-14</v>
      </c>
      <c r="AK140" s="14">
        <f t="shared" si="143"/>
        <v>1.0682447123141398E-12</v>
      </c>
      <c r="AL140" s="22">
        <f t="shared" si="112"/>
        <v>1.978932943548152E-12</v>
      </c>
      <c r="AM140" s="62">
        <f t="shared" si="113"/>
        <v>293.3333333333353</v>
      </c>
      <c r="AN140" s="62">
        <f ca="1">AVERAGE(OFFSET($AM$3,0,0,'Données projet'!$E$10+1,1))-AVERAGE(OFFSET($H$3,0,0,'Données projet'!$E$10+1,1))</f>
        <v>187.13674266165236</v>
      </c>
      <c r="AO140" s="62">
        <f t="shared" si="144"/>
        <v>439.28159165815276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10.52463304432902</v>
      </c>
      <c r="AV140" s="23">
        <f>EXP(-LN(2)/25)*AV139+(1-EXP(-LN(2)/25))/(LN(2)/25)*Calculateur!AQ140*Calculateur!AS140*VLOOKUP('Données projet'!$B$10,Paramètres!$A$1:$I$89,3,0)*0.475*44/12</f>
        <v>2.4264540188105199</v>
      </c>
      <c r="AW140" s="23">
        <f>EXP(-LN(2)/2)*AW139+(1-EXP(-LN(2)/2))/(LN(2)/2)*AQ140*AT140*VLOOKUP('Données projet'!$B$10,Paramètres!$A$1:$I$89,3,0)*0.475*44/12</f>
        <v>5.0229518861811667E-15</v>
      </c>
      <c r="AX140" s="23">
        <f t="shared" si="114"/>
        <v>12.951087063139544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-5.6843418860808015E-14</v>
      </c>
      <c r="BE140" s="14">
        <f>BD140*VLOOKUP('Données projet'!$B$11,Paramètres!$A$1:$I$89,3,0)*VLOOKUP('Données projet'!$B$11,Paramètres!$A$1:$I$89,5,0)</f>
        <v>-5.1431925385259088E-14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366.86025470473652</v>
      </c>
      <c r="BJ140" s="62">
        <f t="shared" si="146"/>
        <v>513.80016421153414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0.26363486859454627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0.26363486859454627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187.13674266165236</v>
      </c>
      <c r="T141" s="62">
        <f t="shared" si="142"/>
        <v>439.28159165815276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10.318251409722023</v>
      </c>
      <c r="AA141" s="23">
        <f>EXP(-LN(2)/25)*AA140+(1-EXP(-LN(2)/25))/(LN(2)/25)*Calculateur!V141*Calculateur!X141*VLOOKUP('Données projet'!$B$9,Paramètres!$A$1:$I$89,3,0)*0.475*44/12</f>
        <v>2.3601025060644751</v>
      </c>
      <c r="AB141" s="23">
        <f>EXP(-LN(2)/2)*AB140+(1-EXP(-LN(2)/2))/(LN(2)/2)*V141*Y141*VLOOKUP('Données projet'!$B$9,Paramètres!$A$1:$I$89,3,0)*0.475*44/12</f>
        <v>3.5517633402924628E-15</v>
      </c>
      <c r="AC141" s="24">
        <f t="shared" si="111"/>
        <v>12.678353915786502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1.1368683772161603E-13</v>
      </c>
      <c r="AJ141" s="14">
        <f>AI141*VLOOKUP('Données projet'!$B$10,Paramètres!$A$1:$I$89,3,0)*VLOOKUP('Données projet'!$B$10,Paramètres!$A$1:$I$89,5,0)</f>
        <v>6.7984728957526396E-14</v>
      </c>
      <c r="AK141" s="14">
        <f t="shared" si="143"/>
        <v>1.0682447123141398E-12</v>
      </c>
      <c r="AL141" s="22">
        <f t="shared" si="112"/>
        <v>1.978932943548152E-12</v>
      </c>
      <c r="AM141" s="62">
        <f t="shared" si="113"/>
        <v>293.3333333333353</v>
      </c>
      <c r="AN141" s="62">
        <f ca="1">AVERAGE(OFFSET($AM$3,0,0,'Données projet'!$E$10+1,1))-AVERAGE(OFFSET($H$3,0,0,'Données projet'!$E$10+1,1))</f>
        <v>187.13674266165236</v>
      </c>
      <c r="AO141" s="62">
        <f t="shared" si="144"/>
        <v>439.28159165815276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10.318251409722023</v>
      </c>
      <c r="AV141" s="23">
        <f>EXP(-LN(2)/25)*AV140+(1-EXP(-LN(2)/25))/(LN(2)/25)*Calculateur!AQ141*Calculateur!AS141*VLOOKUP('Données projet'!$B$10,Paramètres!$A$1:$I$89,3,0)*0.475*44/12</f>
        <v>2.3601025060644751</v>
      </c>
      <c r="AW141" s="23">
        <f>EXP(-LN(2)/2)*AW140+(1-EXP(-LN(2)/2))/(LN(2)/2)*AQ141*AT141*VLOOKUP('Données projet'!$B$10,Paramètres!$A$1:$I$89,3,0)*0.475*44/12</f>
        <v>3.5517633402924628E-15</v>
      </c>
      <c r="AX141" s="23">
        <f t="shared" si="114"/>
        <v>12.678353915786502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-5.6843418860808015E-14</v>
      </c>
      <c r="BE141" s="14">
        <f>BD141*VLOOKUP('Données projet'!$B$11,Paramètres!$A$1:$I$89,3,0)*VLOOKUP('Données projet'!$B$11,Paramètres!$A$1:$I$89,5,0)</f>
        <v>-5.1431925385259088E-14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366.86025470473652</v>
      </c>
      <c r="BJ141" s="62">
        <f t="shared" si="146"/>
        <v>513.80016421153414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0.25846514962279926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0.25846514962279926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187.13674266165236</v>
      </c>
      <c r="T142" s="62">
        <f t="shared" si="142"/>
        <v>439.28159165815276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10.115916793089301</v>
      </c>
      <c r="AA142" s="23">
        <f>EXP(-LN(2)/25)*AA141+(1-EXP(-LN(2)/25))/(LN(2)/25)*Calculateur!V142*Calculateur!X142*VLOOKUP('Données projet'!$B$9,Paramètres!$A$1:$I$89,3,0)*0.475*44/12</f>
        <v>2.2955653789237456</v>
      </c>
      <c r="AB142" s="23">
        <f>EXP(-LN(2)/2)*AB141+(1-EXP(-LN(2)/2))/(LN(2)/2)*V142*Y142*VLOOKUP('Données projet'!$B$9,Paramètres!$A$1:$I$89,3,0)*0.475*44/12</f>
        <v>2.5114759430905838E-15</v>
      </c>
      <c r="AC142" s="24">
        <f t="shared" si="111"/>
        <v>12.411482172013049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1.1368683772161603E-13</v>
      </c>
      <c r="AJ142" s="14">
        <f>AI142*VLOOKUP('Données projet'!$B$10,Paramètres!$A$1:$I$89,3,0)*VLOOKUP('Données projet'!$B$10,Paramètres!$A$1:$I$89,5,0)</f>
        <v>6.7984728957526396E-14</v>
      </c>
      <c r="AK142" s="14">
        <f t="shared" si="143"/>
        <v>1.0682447123141398E-12</v>
      </c>
      <c r="AL142" s="22">
        <f t="shared" si="112"/>
        <v>1.978932943548152E-12</v>
      </c>
      <c r="AM142" s="62">
        <f t="shared" si="113"/>
        <v>293.3333333333353</v>
      </c>
      <c r="AN142" s="62">
        <f ca="1">AVERAGE(OFFSET($AM$3,0,0,'Données projet'!$E$10+1,1))-AVERAGE(OFFSET($H$3,0,0,'Données projet'!$E$10+1,1))</f>
        <v>187.13674266165236</v>
      </c>
      <c r="AO142" s="62">
        <f t="shared" si="144"/>
        <v>439.28159165815276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10.115916793089301</v>
      </c>
      <c r="AV142" s="23">
        <f>EXP(-LN(2)/25)*AV141+(1-EXP(-LN(2)/25))/(LN(2)/25)*Calculateur!AQ142*Calculateur!AS142*VLOOKUP('Données projet'!$B$10,Paramètres!$A$1:$I$89,3,0)*0.475*44/12</f>
        <v>2.2955653789237456</v>
      </c>
      <c r="AW142" s="23">
        <f>EXP(-LN(2)/2)*AW141+(1-EXP(-LN(2)/2))/(LN(2)/2)*AQ142*AT142*VLOOKUP('Données projet'!$B$10,Paramètres!$A$1:$I$89,3,0)*0.475*44/12</f>
        <v>2.5114759430905838E-15</v>
      </c>
      <c r="AX142" s="23">
        <f t="shared" si="114"/>
        <v>12.411482172013049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-5.6843418860808015E-14</v>
      </c>
      <c r="BE142" s="14">
        <f>BD142*VLOOKUP('Données projet'!$B$11,Paramètres!$A$1:$I$89,3,0)*VLOOKUP('Données projet'!$B$11,Paramètres!$A$1:$I$89,5,0)</f>
        <v>-5.1431925385259088E-14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366.86025470473652</v>
      </c>
      <c r="BJ142" s="62">
        <f t="shared" si="146"/>
        <v>513.80016421153414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0.25339680568687095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0.25339680568687095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187.13674266165236</v>
      </c>
      <c r="T143" s="62">
        <f t="shared" si="142"/>
        <v>439.28159165815276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9.9175498348768176</v>
      </c>
      <c r="AA143" s="23">
        <f>EXP(-LN(2)/25)*AA142+(1-EXP(-LN(2)/25))/(LN(2)/25)*Calculateur!V143*Calculateur!X143*VLOOKUP('Données projet'!$B$9,Paramètres!$A$1:$I$89,3,0)*0.475*44/12</f>
        <v>2.2327930229185391</v>
      </c>
      <c r="AB143" s="23">
        <f>EXP(-LN(2)/2)*AB142+(1-EXP(-LN(2)/2))/(LN(2)/2)*V143*Y143*VLOOKUP('Données projet'!$B$9,Paramètres!$A$1:$I$89,3,0)*0.475*44/12</f>
        <v>1.7758816701462316E-15</v>
      </c>
      <c r="AC143" s="24">
        <f t="shared" si="111"/>
        <v>12.150342857795358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1.1368683772161603E-13</v>
      </c>
      <c r="AJ143" s="14">
        <f>AI143*VLOOKUP('Données projet'!$B$10,Paramètres!$A$1:$I$89,3,0)*VLOOKUP('Données projet'!$B$10,Paramètres!$A$1:$I$89,5,0)</f>
        <v>6.7984728957526396E-14</v>
      </c>
      <c r="AK143" s="14">
        <f t="shared" si="143"/>
        <v>1.0682447123141398E-12</v>
      </c>
      <c r="AL143" s="22">
        <f t="shared" si="112"/>
        <v>1.978932943548152E-12</v>
      </c>
      <c r="AM143" s="62">
        <f t="shared" si="113"/>
        <v>293.3333333333353</v>
      </c>
      <c r="AN143" s="62">
        <f ca="1">AVERAGE(OFFSET($AM$3,0,0,'Données projet'!$E$10+1,1))-AVERAGE(OFFSET($H$3,0,0,'Données projet'!$E$10+1,1))</f>
        <v>187.13674266165236</v>
      </c>
      <c r="AO143" s="62">
        <f t="shared" si="144"/>
        <v>439.28159165815276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9.9175498348768176</v>
      </c>
      <c r="AV143" s="23">
        <f>EXP(-LN(2)/25)*AV142+(1-EXP(-LN(2)/25))/(LN(2)/25)*Calculateur!AQ143*Calculateur!AS143*VLOOKUP('Données projet'!$B$10,Paramètres!$A$1:$I$89,3,0)*0.475*44/12</f>
        <v>2.2327930229185391</v>
      </c>
      <c r="AW143" s="23">
        <f>EXP(-LN(2)/2)*AW142+(1-EXP(-LN(2)/2))/(LN(2)/2)*AQ143*AT143*VLOOKUP('Données projet'!$B$10,Paramètres!$A$1:$I$89,3,0)*0.475*44/12</f>
        <v>1.7758816701462316E-15</v>
      </c>
      <c r="AX143" s="23">
        <f t="shared" si="114"/>
        <v>12.150342857795358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-5.6843418860808015E-14</v>
      </c>
      <c r="BE143" s="14">
        <f>BD143*VLOOKUP('Données projet'!$B$11,Paramètres!$A$1:$I$89,3,0)*VLOOKUP('Données projet'!$B$11,Paramètres!$A$1:$I$89,5,0)</f>
        <v>-5.1431925385259088E-14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366.86025470473652</v>
      </c>
      <c r="BJ143" s="62">
        <f t="shared" si="146"/>
        <v>513.80016421153414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0.24842784888414166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0.24842784888414166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187.13674266165236</v>
      </c>
      <c r="T144" s="62">
        <f t="shared" si="142"/>
        <v>439.28159165815276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9.7230727317229828</v>
      </c>
      <c r="AA144" s="23">
        <f>EXP(-LN(2)/25)*AA143+(1-EXP(-LN(2)/25))/(LN(2)/25)*Calculateur!V144*Calculateur!X144*VLOOKUP('Données projet'!$B$9,Paramètres!$A$1:$I$89,3,0)*0.475*44/12</f>
        <v>2.1717371802893495</v>
      </c>
      <c r="AB144" s="23">
        <f>EXP(-LN(2)/2)*AB143+(1-EXP(-LN(2)/2))/(LN(2)/2)*V144*Y144*VLOOKUP('Données projet'!$B$9,Paramètres!$A$1:$I$89,3,0)*0.475*44/12</f>
        <v>1.2557379715452921E-15</v>
      </c>
      <c r="AC144" s="24">
        <f t="shared" si="111"/>
        <v>11.894809912012335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1.1368683772161603E-13</v>
      </c>
      <c r="AJ144" s="14">
        <f>AI144*VLOOKUP('Données projet'!$B$10,Paramètres!$A$1:$I$89,3,0)*VLOOKUP('Données projet'!$B$10,Paramètres!$A$1:$I$89,5,0)</f>
        <v>6.7984728957526396E-14</v>
      </c>
      <c r="AK144" s="14">
        <f t="shared" si="143"/>
        <v>1.0682447123141398E-12</v>
      </c>
      <c r="AL144" s="22">
        <f t="shared" si="112"/>
        <v>1.978932943548152E-12</v>
      </c>
      <c r="AM144" s="62">
        <f t="shared" si="113"/>
        <v>293.3333333333353</v>
      </c>
      <c r="AN144" s="62">
        <f ca="1">AVERAGE(OFFSET($AM$3,0,0,'Données projet'!$E$10+1,1))-AVERAGE(OFFSET($H$3,0,0,'Données projet'!$E$10+1,1))</f>
        <v>187.13674266165236</v>
      </c>
      <c r="AO144" s="62">
        <f t="shared" si="144"/>
        <v>439.28159165815276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9.7230727317229828</v>
      </c>
      <c r="AV144" s="23">
        <f>EXP(-LN(2)/25)*AV143+(1-EXP(-LN(2)/25))/(LN(2)/25)*Calculateur!AQ144*Calculateur!AS144*VLOOKUP('Données projet'!$B$10,Paramètres!$A$1:$I$89,3,0)*0.475*44/12</f>
        <v>2.1717371802893495</v>
      </c>
      <c r="AW144" s="23">
        <f>EXP(-LN(2)/2)*AW143+(1-EXP(-LN(2)/2))/(LN(2)/2)*AQ144*AT144*VLOOKUP('Données projet'!$B$10,Paramètres!$A$1:$I$89,3,0)*0.475*44/12</f>
        <v>1.2557379715452921E-15</v>
      </c>
      <c r="AX144" s="23">
        <f t="shared" si="114"/>
        <v>11.894809912012335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-5.6843418860808015E-14</v>
      </c>
      <c r="BE144" s="14">
        <f>BD144*VLOOKUP('Données projet'!$B$11,Paramètres!$A$1:$I$89,3,0)*VLOOKUP('Données projet'!$B$11,Paramètres!$A$1:$I$89,5,0)</f>
        <v>-5.1431925385259088E-14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366.86025470473652</v>
      </c>
      <c r="BJ144" s="62">
        <f t="shared" si="146"/>
        <v>513.80016421153414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0.24355633029354951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0.24355633029354951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187.13674266165236</v>
      </c>
      <c r="T145" s="62">
        <f t="shared" si="142"/>
        <v>439.28159165815276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9.5324092059426739</v>
      </c>
      <c r="AA145" s="23">
        <f>EXP(-LN(2)/25)*AA144+(1-EXP(-LN(2)/25))/(LN(2)/25)*Calculateur!V145*Calculateur!X145*VLOOKUP('Données projet'!$B$9,Paramètres!$A$1:$I$89,3,0)*0.475*44/12</f>
        <v>2.1123509128876425</v>
      </c>
      <c r="AB145" s="23">
        <f>EXP(-LN(2)/2)*AB144+(1-EXP(-LN(2)/2))/(LN(2)/2)*V145*Y145*VLOOKUP('Données projet'!$B$9,Paramètres!$A$1:$I$89,3,0)*0.475*44/12</f>
        <v>8.879408350731159E-16</v>
      </c>
      <c r="AC145" s="24">
        <f t="shared" si="111"/>
        <v>11.644760118830316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1.1368683772161603E-13</v>
      </c>
      <c r="AJ145" s="14">
        <f>AI145*VLOOKUP('Données projet'!$B$10,Paramètres!$A$1:$I$89,3,0)*VLOOKUP('Données projet'!$B$10,Paramètres!$A$1:$I$89,5,0)</f>
        <v>6.7984728957526396E-14</v>
      </c>
      <c r="AK145" s="14">
        <f t="shared" si="143"/>
        <v>1.0682447123141398E-12</v>
      </c>
      <c r="AL145" s="22">
        <f t="shared" si="112"/>
        <v>1.978932943548152E-12</v>
      </c>
      <c r="AM145" s="62">
        <f t="shared" si="113"/>
        <v>293.3333333333353</v>
      </c>
      <c r="AN145" s="62">
        <f ca="1">AVERAGE(OFFSET($AM$3,0,0,'Données projet'!$E$10+1,1))-AVERAGE(OFFSET($H$3,0,0,'Données projet'!$E$10+1,1))</f>
        <v>187.13674266165236</v>
      </c>
      <c r="AO145" s="62">
        <f t="shared" si="144"/>
        <v>439.28159165815276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9.5324092059426739</v>
      </c>
      <c r="AV145" s="23">
        <f>EXP(-LN(2)/25)*AV144+(1-EXP(-LN(2)/25))/(LN(2)/25)*Calculateur!AQ145*Calculateur!AS145*VLOOKUP('Données projet'!$B$10,Paramètres!$A$1:$I$89,3,0)*0.475*44/12</f>
        <v>2.1123509128876425</v>
      </c>
      <c r="AW145" s="23">
        <f>EXP(-LN(2)/2)*AW144+(1-EXP(-LN(2)/2))/(LN(2)/2)*AQ145*AT145*VLOOKUP('Données projet'!$B$10,Paramètres!$A$1:$I$89,3,0)*0.475*44/12</f>
        <v>8.879408350731159E-16</v>
      </c>
      <c r="AX145" s="23">
        <f t="shared" si="114"/>
        <v>11.644760118830316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-5.6843418860808015E-14</v>
      </c>
      <c r="BE145" s="14">
        <f>BD145*VLOOKUP('Données projet'!$B$11,Paramètres!$A$1:$I$89,3,0)*VLOOKUP('Données projet'!$B$11,Paramètres!$A$1:$I$89,5,0)</f>
        <v>-5.1431925385259088E-14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366.86025470473652</v>
      </c>
      <c r="BJ145" s="62">
        <f t="shared" si="146"/>
        <v>513.80016421153414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0.23878033921118591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0.23878033921118591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187.13674266165236</v>
      </c>
      <c r="T146" s="62">
        <f t="shared" si="142"/>
        <v>439.28159165815276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9.3454844756096502</v>
      </c>
      <c r="AA146" s="23">
        <f>EXP(-LN(2)/25)*AA145+(1-EXP(-LN(2)/25))/(LN(2)/25)*Calculateur!V146*Calculateur!X146*VLOOKUP('Données projet'!$B$9,Paramètres!$A$1:$I$89,3,0)*0.475*44/12</f>
        <v>2.0545885660910232</v>
      </c>
      <c r="AB146" s="23">
        <f>EXP(-LN(2)/2)*AB145+(1-EXP(-LN(2)/2))/(LN(2)/2)*V146*Y146*VLOOKUP('Données projet'!$B$9,Paramètres!$A$1:$I$89,3,0)*0.475*44/12</f>
        <v>6.2786898577264614E-16</v>
      </c>
      <c r="AC146" s="24">
        <f t="shared" si="111"/>
        <v>11.400073041700674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1.1368683772161603E-13</v>
      </c>
      <c r="AJ146" s="14">
        <f>AI146*VLOOKUP('Données projet'!$B$10,Paramètres!$A$1:$I$89,3,0)*VLOOKUP('Données projet'!$B$10,Paramètres!$A$1:$I$89,5,0)</f>
        <v>6.7984728957526396E-14</v>
      </c>
      <c r="AK146" s="14">
        <f t="shared" si="143"/>
        <v>1.0682447123141398E-12</v>
      </c>
      <c r="AL146" s="22">
        <f t="shared" si="112"/>
        <v>1.978932943548152E-12</v>
      </c>
      <c r="AM146" s="62">
        <f t="shared" si="113"/>
        <v>293.3333333333353</v>
      </c>
      <c r="AN146" s="62">
        <f ca="1">AVERAGE(OFFSET($AM$3,0,0,'Données projet'!$E$10+1,1))-AVERAGE(OFFSET($H$3,0,0,'Données projet'!$E$10+1,1))</f>
        <v>187.13674266165236</v>
      </c>
      <c r="AO146" s="62">
        <f t="shared" si="144"/>
        <v>439.28159165815276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9.3454844756096502</v>
      </c>
      <c r="AV146" s="23">
        <f>EXP(-LN(2)/25)*AV145+(1-EXP(-LN(2)/25))/(LN(2)/25)*Calculateur!AQ146*Calculateur!AS146*VLOOKUP('Données projet'!$B$10,Paramètres!$A$1:$I$89,3,0)*0.475*44/12</f>
        <v>2.0545885660910232</v>
      </c>
      <c r="AW146" s="23">
        <f>EXP(-LN(2)/2)*AW145+(1-EXP(-LN(2)/2))/(LN(2)/2)*AQ146*AT146*VLOOKUP('Données projet'!$B$10,Paramètres!$A$1:$I$89,3,0)*0.475*44/12</f>
        <v>6.2786898577264614E-16</v>
      </c>
      <c r="AX146" s="23">
        <f t="shared" si="114"/>
        <v>11.400073041700674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-5.6843418860808015E-14</v>
      </c>
      <c r="BE146" s="14">
        <f>BD146*VLOOKUP('Données projet'!$B$11,Paramètres!$A$1:$I$89,3,0)*VLOOKUP('Données projet'!$B$11,Paramètres!$A$1:$I$89,5,0)</f>
        <v>-5.1431925385259088E-14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366.86025470473652</v>
      </c>
      <c r="BJ146" s="62">
        <f t="shared" si="146"/>
        <v>513.80016421153414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0.23409800240088055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0.23409800240088055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187.13674266165236</v>
      </c>
      <c r="T147" s="62">
        <f t="shared" si="142"/>
        <v>439.28159165815276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9.1622252252256295</v>
      </c>
      <c r="AA147" s="23">
        <f>EXP(-LN(2)/25)*AA146+(1-EXP(-LN(2)/25))/(LN(2)/25)*Calculateur!V147*Calculateur!X147*VLOOKUP('Données projet'!$B$9,Paramètres!$A$1:$I$89,3,0)*0.475*44/12</f>
        <v>1.9984057337051473</v>
      </c>
      <c r="AB147" s="23">
        <f>EXP(-LN(2)/2)*AB146+(1-EXP(-LN(2)/2))/(LN(2)/2)*V147*Y147*VLOOKUP('Données projet'!$B$9,Paramètres!$A$1:$I$89,3,0)*0.475*44/12</f>
        <v>4.4397041753655805E-16</v>
      </c>
      <c r="AC147" s="24">
        <f t="shared" si="111"/>
        <v>11.160630958930778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1.1368683772161603E-13</v>
      </c>
      <c r="AJ147" s="14">
        <f>AI147*VLOOKUP('Données projet'!$B$10,Paramètres!$A$1:$I$89,3,0)*VLOOKUP('Données projet'!$B$10,Paramètres!$A$1:$I$89,5,0)</f>
        <v>6.7984728957526396E-14</v>
      </c>
      <c r="AK147" s="14">
        <f t="shared" si="143"/>
        <v>1.0682447123141398E-12</v>
      </c>
      <c r="AL147" s="22">
        <f t="shared" si="112"/>
        <v>1.978932943548152E-12</v>
      </c>
      <c r="AM147" s="62">
        <f t="shared" si="113"/>
        <v>293.3333333333353</v>
      </c>
      <c r="AN147" s="62">
        <f ca="1">AVERAGE(OFFSET($AM$3,0,0,'Données projet'!$E$10+1,1))-AVERAGE(OFFSET($H$3,0,0,'Données projet'!$E$10+1,1))</f>
        <v>187.13674266165236</v>
      </c>
      <c r="AO147" s="62">
        <f t="shared" si="144"/>
        <v>439.28159165815276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9.1622252252256295</v>
      </c>
      <c r="AV147" s="23">
        <f>EXP(-LN(2)/25)*AV146+(1-EXP(-LN(2)/25))/(LN(2)/25)*Calculateur!AQ147*Calculateur!AS147*VLOOKUP('Données projet'!$B$10,Paramètres!$A$1:$I$89,3,0)*0.475*44/12</f>
        <v>1.9984057337051473</v>
      </c>
      <c r="AW147" s="23">
        <f>EXP(-LN(2)/2)*AW146+(1-EXP(-LN(2)/2))/(LN(2)/2)*AQ147*AT147*VLOOKUP('Données projet'!$B$10,Paramètres!$A$1:$I$89,3,0)*0.475*44/12</f>
        <v>4.4397041753655805E-16</v>
      </c>
      <c r="AX147" s="23">
        <f t="shared" si="114"/>
        <v>11.160630958930778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-5.6843418860808015E-14</v>
      </c>
      <c r="BE147" s="14">
        <f>BD147*VLOOKUP('Données projet'!$B$11,Paramètres!$A$1:$I$89,3,0)*VLOOKUP('Données projet'!$B$11,Paramètres!$A$1:$I$89,5,0)</f>
        <v>-5.1431925385259088E-14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366.86025470473652</v>
      </c>
      <c r="BJ147" s="62">
        <f t="shared" si="146"/>
        <v>513.80016421153414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0.22950748335948185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0.22950748335948185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187.13674266165236</v>
      </c>
      <c r="T148" s="62">
        <f t="shared" si="142"/>
        <v>439.28159165815276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8.9825595769645332</v>
      </c>
      <c r="AA148" s="23">
        <f>EXP(-LN(2)/25)*AA147+(1-EXP(-LN(2)/25))/(LN(2)/25)*Calculateur!V148*Calculateur!X148*VLOOKUP('Données projet'!$B$9,Paramètres!$A$1:$I$89,3,0)*0.475*44/12</f>
        <v>1.94375922382539</v>
      </c>
      <c r="AB148" s="23">
        <f>EXP(-LN(2)/2)*AB147+(1-EXP(-LN(2)/2))/(LN(2)/2)*V148*Y148*VLOOKUP('Données projet'!$B$9,Paramètres!$A$1:$I$89,3,0)*0.475*44/12</f>
        <v>3.1393449288632312E-16</v>
      </c>
      <c r="AC148" s="24">
        <f t="shared" si="111"/>
        <v>10.926318800789923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1.1368683772161603E-13</v>
      </c>
      <c r="AJ148" s="14">
        <f>AI148*VLOOKUP('Données projet'!$B$10,Paramètres!$A$1:$I$89,3,0)*VLOOKUP('Données projet'!$B$10,Paramètres!$A$1:$I$89,5,0)</f>
        <v>6.7984728957526396E-14</v>
      </c>
      <c r="AK148" s="14">
        <f t="shared" si="143"/>
        <v>1.0682447123141398E-12</v>
      </c>
      <c r="AL148" s="22">
        <f t="shared" si="112"/>
        <v>1.978932943548152E-12</v>
      </c>
      <c r="AM148" s="62">
        <f t="shared" si="113"/>
        <v>293.3333333333353</v>
      </c>
      <c r="AN148" s="62">
        <f ca="1">AVERAGE(OFFSET($AM$3,0,0,'Données projet'!$E$10+1,1))-AVERAGE(OFFSET($H$3,0,0,'Données projet'!$E$10+1,1))</f>
        <v>187.13674266165236</v>
      </c>
      <c r="AO148" s="62">
        <f t="shared" si="144"/>
        <v>439.28159165815276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8.9825595769645332</v>
      </c>
      <c r="AV148" s="23">
        <f>EXP(-LN(2)/25)*AV147+(1-EXP(-LN(2)/25))/(LN(2)/25)*Calculateur!AQ148*Calculateur!AS148*VLOOKUP('Données projet'!$B$10,Paramètres!$A$1:$I$89,3,0)*0.475*44/12</f>
        <v>1.94375922382539</v>
      </c>
      <c r="AW148" s="23">
        <f>EXP(-LN(2)/2)*AW147+(1-EXP(-LN(2)/2))/(LN(2)/2)*AQ148*AT148*VLOOKUP('Données projet'!$B$10,Paramètres!$A$1:$I$89,3,0)*0.475*44/12</f>
        <v>3.1393449288632312E-16</v>
      </c>
      <c r="AX148" s="23">
        <f t="shared" si="114"/>
        <v>10.926318800789923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-5.6843418860808015E-14</v>
      </c>
      <c r="BE148" s="14">
        <f>BD148*VLOOKUP('Données projet'!$B$11,Paramètres!$A$1:$I$89,3,0)*VLOOKUP('Données projet'!$B$11,Paramètres!$A$1:$I$89,5,0)</f>
        <v>-5.1431925385259088E-14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366.86025470473652</v>
      </c>
      <c r="BJ148" s="62">
        <f t="shared" si="146"/>
        <v>513.80016421153414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0.22500698159654481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0.22500698159654481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187.13674266165236</v>
      </c>
      <c r="T149" s="62">
        <f t="shared" si="142"/>
        <v>439.28159165815276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8.8064170624806124</v>
      </c>
      <c r="AA149" s="23">
        <f>EXP(-LN(2)/25)*AA148+(1-EXP(-LN(2)/25))/(LN(2)/25)*Calculateur!V149*Calculateur!X149*VLOOKUP('Données projet'!$B$9,Paramètres!$A$1:$I$89,3,0)*0.475*44/12</f>
        <v>1.8906070256320298</v>
      </c>
      <c r="AB149" s="23">
        <f>EXP(-LN(2)/2)*AB148+(1-EXP(-LN(2)/2))/(LN(2)/2)*V149*Y149*VLOOKUP('Données projet'!$B$9,Paramètres!$A$1:$I$89,3,0)*0.475*44/12</f>
        <v>2.2198520876827905E-16</v>
      </c>
      <c r="AC149" s="24">
        <f t="shared" si="111"/>
        <v>10.697024088112641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1.1368683772161603E-13</v>
      </c>
      <c r="AJ149" s="14">
        <f>AI149*VLOOKUP('Données projet'!$B$10,Paramètres!$A$1:$I$89,3,0)*VLOOKUP('Données projet'!$B$10,Paramètres!$A$1:$I$89,5,0)</f>
        <v>6.7984728957526396E-14</v>
      </c>
      <c r="AK149" s="14">
        <f t="shared" si="143"/>
        <v>1.0682447123141398E-12</v>
      </c>
      <c r="AL149" s="22">
        <f t="shared" si="112"/>
        <v>1.978932943548152E-12</v>
      </c>
      <c r="AM149" s="62">
        <f t="shared" si="113"/>
        <v>293.3333333333353</v>
      </c>
      <c r="AN149" s="62">
        <f ca="1">AVERAGE(OFFSET($AM$3,0,0,'Données projet'!$E$10+1,1))-AVERAGE(OFFSET($H$3,0,0,'Données projet'!$E$10+1,1))</f>
        <v>187.13674266165236</v>
      </c>
      <c r="AO149" s="62">
        <f t="shared" si="144"/>
        <v>439.28159165815276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8.8064170624806124</v>
      </c>
      <c r="AV149" s="23">
        <f>EXP(-LN(2)/25)*AV148+(1-EXP(-LN(2)/25))/(LN(2)/25)*Calculateur!AQ149*Calculateur!AS149*VLOOKUP('Données projet'!$B$10,Paramètres!$A$1:$I$89,3,0)*0.475*44/12</f>
        <v>1.8906070256320298</v>
      </c>
      <c r="AW149" s="23">
        <f>EXP(-LN(2)/2)*AW148+(1-EXP(-LN(2)/2))/(LN(2)/2)*AQ149*AT149*VLOOKUP('Données projet'!$B$10,Paramètres!$A$1:$I$89,3,0)*0.475*44/12</f>
        <v>2.2198520876827905E-16</v>
      </c>
      <c r="AX149" s="23">
        <f t="shared" si="114"/>
        <v>10.697024088112641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-5.6843418860808015E-14</v>
      </c>
      <c r="BE149" s="14">
        <f>BD149*VLOOKUP('Données projet'!$B$11,Paramètres!$A$1:$I$89,3,0)*VLOOKUP('Données projet'!$B$11,Paramètres!$A$1:$I$89,5,0)</f>
        <v>-5.1431925385259088E-14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366.86025470473652</v>
      </c>
      <c r="BJ149" s="62">
        <f t="shared" si="146"/>
        <v>513.80016421153414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0.22059473192814394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0.22059473192814394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187.13674266165236</v>
      </c>
      <c r="T150" s="62">
        <f t="shared" si="142"/>
        <v>439.28159165815276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8.6337285952693961</v>
      </c>
      <c r="AA150" s="23">
        <f>EXP(-LN(2)/25)*AA149+(1-EXP(-LN(2)/25))/(LN(2)/25)*Calculateur!V150*Calculateur!X150*VLOOKUP('Données projet'!$B$9,Paramètres!$A$1:$I$89,3,0)*0.475*44/12</f>
        <v>1.8389082770934195</v>
      </c>
      <c r="AB150" s="23">
        <f>EXP(-LN(2)/2)*AB149+(1-EXP(-LN(2)/2))/(LN(2)/2)*V150*Y150*VLOOKUP('Données projet'!$B$9,Paramètres!$A$1:$I$89,3,0)*0.475*44/12</f>
        <v>1.5696724644316158E-16</v>
      </c>
      <c r="AC150" s="24">
        <f t="shared" si="111"/>
        <v>10.472636872362816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1.1368683772161603E-13</v>
      </c>
      <c r="AJ150" s="14">
        <f>AI150*VLOOKUP('Données projet'!$B$10,Paramètres!$A$1:$I$89,3,0)*VLOOKUP('Données projet'!$B$10,Paramètres!$A$1:$I$89,5,0)</f>
        <v>6.7984728957526396E-14</v>
      </c>
      <c r="AK150" s="14">
        <f t="shared" si="143"/>
        <v>1.0682447123141398E-12</v>
      </c>
      <c r="AL150" s="22">
        <f t="shared" si="112"/>
        <v>1.978932943548152E-12</v>
      </c>
      <c r="AM150" s="62">
        <f t="shared" si="113"/>
        <v>293.3333333333353</v>
      </c>
      <c r="AN150" s="62">
        <f ca="1">AVERAGE(OFFSET($AM$3,0,0,'Données projet'!$E$10+1,1))-AVERAGE(OFFSET($H$3,0,0,'Données projet'!$E$10+1,1))</f>
        <v>187.13674266165236</v>
      </c>
      <c r="AO150" s="62">
        <f t="shared" si="144"/>
        <v>439.28159165815276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8.6337285952693961</v>
      </c>
      <c r="AV150" s="23">
        <f>EXP(-LN(2)/25)*AV149+(1-EXP(-LN(2)/25))/(LN(2)/25)*Calculateur!AQ150*Calculateur!AS150*VLOOKUP('Données projet'!$B$10,Paramètres!$A$1:$I$89,3,0)*0.475*44/12</f>
        <v>1.8389082770934195</v>
      </c>
      <c r="AW150" s="23">
        <f>EXP(-LN(2)/2)*AW149+(1-EXP(-LN(2)/2))/(LN(2)/2)*AQ150*AT150*VLOOKUP('Données projet'!$B$10,Paramètres!$A$1:$I$89,3,0)*0.475*44/12</f>
        <v>1.5696724644316158E-16</v>
      </c>
      <c r="AX150" s="23">
        <f t="shared" si="114"/>
        <v>10.472636872362816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-5.6843418860808015E-14</v>
      </c>
      <c r="BE150" s="14">
        <f>BD150*VLOOKUP('Données projet'!$B$11,Paramètres!$A$1:$I$89,3,0)*VLOOKUP('Données projet'!$B$11,Paramètres!$A$1:$I$89,5,0)</f>
        <v>-5.1431925385259088E-14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366.86025470473652</v>
      </c>
      <c r="BJ150" s="62">
        <f t="shared" si="146"/>
        <v>513.80016421153414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0.21626900378453384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0.21626900378453384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187.13674266165236</v>
      </c>
      <c r="T151" s="62">
        <f t="shared" si="142"/>
        <v>439.28159165815276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8.4644264435706269</v>
      </c>
      <c r="AA151" s="23">
        <f>EXP(-LN(2)/25)*AA150+(1-EXP(-LN(2)/25))/(LN(2)/25)*Calculateur!V151*Calculateur!X151*VLOOKUP('Données projet'!$B$9,Paramètres!$A$1:$I$89,3,0)*0.475*44/12</f>
        <v>1.7886232335523167</v>
      </c>
      <c r="AB151" s="23">
        <f>EXP(-LN(2)/2)*AB150+(1-EXP(-LN(2)/2))/(LN(2)/2)*V151*Y151*VLOOKUP('Données projet'!$B$9,Paramètres!$A$1:$I$89,3,0)*0.475*44/12</f>
        <v>1.1099260438413955E-16</v>
      </c>
      <c r="AC151" s="24">
        <f t="shared" si="111"/>
        <v>10.253049677122943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1.1368683772161603E-13</v>
      </c>
      <c r="AJ151" s="14">
        <f>AI151*VLOOKUP('Données projet'!$B$10,Paramètres!$A$1:$I$89,3,0)*VLOOKUP('Données projet'!$B$10,Paramètres!$A$1:$I$89,5,0)</f>
        <v>6.7984728957526396E-14</v>
      </c>
      <c r="AK151" s="14">
        <f t="shared" si="143"/>
        <v>1.0682447123141398E-12</v>
      </c>
      <c r="AL151" s="22">
        <f t="shared" si="112"/>
        <v>1.978932943548152E-12</v>
      </c>
      <c r="AM151" s="62">
        <f t="shared" si="113"/>
        <v>293.3333333333353</v>
      </c>
      <c r="AN151" s="62">
        <f ca="1">AVERAGE(OFFSET($AM$3,0,0,'Données projet'!$E$10+1,1))-AVERAGE(OFFSET($H$3,0,0,'Données projet'!$E$10+1,1))</f>
        <v>187.13674266165236</v>
      </c>
      <c r="AO151" s="62">
        <f t="shared" si="144"/>
        <v>439.28159165815276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8.4644264435706269</v>
      </c>
      <c r="AV151" s="23">
        <f>EXP(-LN(2)/25)*AV150+(1-EXP(-LN(2)/25))/(LN(2)/25)*Calculateur!AQ151*Calculateur!AS151*VLOOKUP('Données projet'!$B$10,Paramètres!$A$1:$I$89,3,0)*0.475*44/12</f>
        <v>1.7886232335523167</v>
      </c>
      <c r="AW151" s="23">
        <f>EXP(-LN(2)/2)*AW150+(1-EXP(-LN(2)/2))/(LN(2)/2)*AQ151*AT151*VLOOKUP('Données projet'!$B$10,Paramètres!$A$1:$I$89,3,0)*0.475*44/12</f>
        <v>1.1099260438413955E-16</v>
      </c>
      <c r="AX151" s="23">
        <f t="shared" si="114"/>
        <v>10.253049677122943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-5.6843418860808015E-14</v>
      </c>
      <c r="BE151" s="14">
        <f>BD151*VLOOKUP('Données projet'!$B$11,Paramètres!$A$1:$I$89,3,0)*VLOOKUP('Données projet'!$B$11,Paramètres!$A$1:$I$89,5,0)</f>
        <v>-5.1431925385259088E-14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366.86025470473652</v>
      </c>
      <c r="BJ151" s="62">
        <f t="shared" si="146"/>
        <v>513.80016421153414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0.21202810053138629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0.21202810053138629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187.13674266165236</v>
      </c>
      <c r="T152" s="62">
        <f t="shared" si="142"/>
        <v>439.28159165815276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8.2984442038025534</v>
      </c>
      <c r="AA152" s="23">
        <f>EXP(-LN(2)/25)*AA151+(1-EXP(-LN(2)/25))/(LN(2)/25)*Calculateur!V152*Calculateur!X152*VLOOKUP('Données projet'!$B$9,Paramètres!$A$1:$I$89,3,0)*0.475*44/12</f>
        <v>1.7397132371712207</v>
      </c>
      <c r="AB152" s="23">
        <f>EXP(-LN(2)/2)*AB151+(1-EXP(-LN(2)/2))/(LN(2)/2)*V152*Y152*VLOOKUP('Données projet'!$B$9,Paramètres!$A$1:$I$89,3,0)*0.475*44/12</f>
        <v>7.8483623221580804E-17</v>
      </c>
      <c r="AC152" s="24">
        <f t="shared" si="111"/>
        <v>10.038157440973775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1.1368683772161603E-13</v>
      </c>
      <c r="AJ152" s="14">
        <f>AI152*VLOOKUP('Données projet'!$B$10,Paramètres!$A$1:$I$89,3,0)*VLOOKUP('Données projet'!$B$10,Paramètres!$A$1:$I$89,5,0)</f>
        <v>6.7984728957526396E-14</v>
      </c>
      <c r="AK152" s="14">
        <f t="shared" si="143"/>
        <v>1.0682447123141398E-12</v>
      </c>
      <c r="AL152" s="22">
        <f t="shared" si="112"/>
        <v>1.978932943548152E-12</v>
      </c>
      <c r="AM152" s="62">
        <f t="shared" si="113"/>
        <v>293.3333333333353</v>
      </c>
      <c r="AN152" s="62">
        <f ca="1">AVERAGE(OFFSET($AM$3,0,0,'Données projet'!$E$10+1,1))-AVERAGE(OFFSET($H$3,0,0,'Données projet'!$E$10+1,1))</f>
        <v>187.13674266165236</v>
      </c>
      <c r="AO152" s="62">
        <f t="shared" si="144"/>
        <v>439.28159165815276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8.2984442038025534</v>
      </c>
      <c r="AV152" s="23">
        <f>EXP(-LN(2)/25)*AV151+(1-EXP(-LN(2)/25))/(LN(2)/25)*Calculateur!AQ152*Calculateur!AS152*VLOOKUP('Données projet'!$B$10,Paramètres!$A$1:$I$89,3,0)*0.475*44/12</f>
        <v>1.7397132371712207</v>
      </c>
      <c r="AW152" s="23">
        <f>EXP(-LN(2)/2)*AW151+(1-EXP(-LN(2)/2))/(LN(2)/2)*AQ152*AT152*VLOOKUP('Données projet'!$B$10,Paramètres!$A$1:$I$89,3,0)*0.475*44/12</f>
        <v>7.8483623221580804E-17</v>
      </c>
      <c r="AX152" s="23">
        <f t="shared" si="114"/>
        <v>10.038157440973775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-5.6843418860808015E-14</v>
      </c>
      <c r="BE152" s="14">
        <f>BD152*VLOOKUP('Données projet'!$B$11,Paramètres!$A$1:$I$89,3,0)*VLOOKUP('Données projet'!$B$11,Paramètres!$A$1:$I$89,5,0)</f>
        <v>-5.1431925385259088E-14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366.86025470473652</v>
      </c>
      <c r="BJ152" s="62">
        <f t="shared" si="146"/>
        <v>513.80016421153414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0.20787035880433741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0.20787035880433741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187.13674266165236</v>
      </c>
      <c r="T153" s="62">
        <f t="shared" si="142"/>
        <v>439.28159165815276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8.1357167745171637</v>
      </c>
      <c r="AA153" s="23">
        <f>EXP(-LN(2)/25)*AA152+(1-EXP(-LN(2)/25))/(LN(2)/25)*Calculateur!V153*Calculateur!X153*VLOOKUP('Données projet'!$B$9,Paramètres!$A$1:$I$89,3,0)*0.475*44/12</f>
        <v>1.6921406872132307</v>
      </c>
      <c r="AB153" s="23">
        <f>EXP(-LN(2)/2)*AB152+(1-EXP(-LN(2)/2))/(LN(2)/2)*V153*Y153*VLOOKUP('Données projet'!$B$9,Paramètres!$A$1:$I$89,3,0)*0.475*44/12</f>
        <v>5.5496302192069781E-17</v>
      </c>
      <c r="AC153" s="24">
        <f t="shared" si="111"/>
        <v>9.8278574617303942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1.1368683772161603E-13</v>
      </c>
      <c r="AJ153" s="14">
        <f>AI153*VLOOKUP('Données projet'!$B$10,Paramètres!$A$1:$I$89,3,0)*VLOOKUP('Données projet'!$B$10,Paramètres!$A$1:$I$89,5,0)</f>
        <v>6.7984728957526396E-14</v>
      </c>
      <c r="AK153" s="14">
        <f t="shared" si="143"/>
        <v>1.0682447123141398E-12</v>
      </c>
      <c r="AL153" s="22">
        <f t="shared" si="112"/>
        <v>1.978932943548152E-12</v>
      </c>
      <c r="AM153" s="62">
        <f t="shared" si="113"/>
        <v>293.3333333333353</v>
      </c>
      <c r="AN153" s="62">
        <f ca="1">AVERAGE(OFFSET($AM$3,0,0,'Données projet'!$E$10+1,1))-AVERAGE(OFFSET($H$3,0,0,'Données projet'!$E$10+1,1))</f>
        <v>187.13674266165236</v>
      </c>
      <c r="AO153" s="62">
        <f t="shared" si="144"/>
        <v>439.28159165815276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8.1357167745171637</v>
      </c>
      <c r="AV153" s="23">
        <f>EXP(-LN(2)/25)*AV152+(1-EXP(-LN(2)/25))/(LN(2)/25)*Calculateur!AQ153*Calculateur!AS153*VLOOKUP('Données projet'!$B$10,Paramètres!$A$1:$I$89,3,0)*0.475*44/12</f>
        <v>1.6921406872132307</v>
      </c>
      <c r="AW153" s="23">
        <f>EXP(-LN(2)/2)*AW152+(1-EXP(-LN(2)/2))/(LN(2)/2)*AQ153*AT153*VLOOKUP('Données projet'!$B$10,Paramètres!$A$1:$I$89,3,0)*0.475*44/12</f>
        <v>5.5496302192069781E-17</v>
      </c>
      <c r="AX153" s="23">
        <f t="shared" si="114"/>
        <v>9.8278574617303942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-5.6843418860808015E-14</v>
      </c>
      <c r="BE153" s="14">
        <f>BD153*VLOOKUP('Données projet'!$B$11,Paramètres!$A$1:$I$89,3,0)*VLOOKUP('Données projet'!$B$11,Paramètres!$A$1:$I$89,5,0)</f>
        <v>-5.1431925385259088E-14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366.86025470473652</v>
      </c>
      <c r="BJ153" s="62">
        <f t="shared" si="146"/>
        <v>513.80016421153414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0.2037941478565839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0.2037941478565839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187.13674266165236</v>
      </c>
      <c r="T154" s="62">
        <f t="shared" si="142"/>
        <v>439.28159165815276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7.9761803308661285</v>
      </c>
      <c r="AA154" s="23">
        <f>EXP(-LN(2)/25)*AA153+(1-EXP(-LN(2)/25))/(LN(2)/25)*Calculateur!V154*Calculateur!X154*VLOOKUP('Données projet'!$B$9,Paramètres!$A$1:$I$89,3,0)*0.475*44/12</f>
        <v>1.6458690111355736</v>
      </c>
      <c r="AB154" s="23">
        <f>EXP(-LN(2)/2)*AB153+(1-EXP(-LN(2)/2))/(LN(2)/2)*V154*Y154*VLOOKUP('Données projet'!$B$9,Paramètres!$A$1:$I$89,3,0)*0.475*44/12</f>
        <v>3.9241811610790408E-17</v>
      </c>
      <c r="AC154" s="24">
        <f t="shared" ref="AC154:AC203" si="163">SUM(Z154:AB154)</f>
        <v>9.6220493420017021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1.1368683772161603E-13</v>
      </c>
      <c r="AJ154" s="14">
        <f>AI154*VLOOKUP('Données projet'!$B$10,Paramètres!$A$1:$I$89,3,0)*VLOOKUP('Données projet'!$B$10,Paramètres!$A$1:$I$89,5,0)</f>
        <v>6.7984728957526396E-14</v>
      </c>
      <c r="AK154" s="14">
        <f t="shared" ref="AK154:AK203" si="164">EXP(-1.0587+0.8836*LN(AJ154)+0.284)</f>
        <v>1.0682447123141398E-12</v>
      </c>
      <c r="AL154" s="22">
        <f t="shared" ref="AL154:AL203" si="165">(AJ154+AK154)*0.475*44/12</f>
        <v>1.978932943548152E-12</v>
      </c>
      <c r="AM154" s="62">
        <f t="shared" si="113"/>
        <v>293.3333333333353</v>
      </c>
      <c r="AN154" s="62">
        <f ca="1">AVERAGE(OFFSET($AM$3,0,0,'Données projet'!$E$10+1,1))-AVERAGE(OFFSET($H$3,0,0,'Données projet'!$E$10+1,1))</f>
        <v>187.13674266165236</v>
      </c>
      <c r="AO154" s="62">
        <f t="shared" si="144"/>
        <v>439.28159165815276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7.9761803308661285</v>
      </c>
      <c r="AV154" s="23">
        <f>EXP(-LN(2)/25)*AV153+(1-EXP(-LN(2)/25))/(LN(2)/25)*Calculateur!AQ154*Calculateur!AS154*VLOOKUP('Données projet'!$B$10,Paramètres!$A$1:$I$89,3,0)*0.475*44/12</f>
        <v>1.6458690111355736</v>
      </c>
      <c r="AW154" s="23">
        <f>EXP(-LN(2)/2)*AW153+(1-EXP(-LN(2)/2))/(LN(2)/2)*AQ154*AT154*VLOOKUP('Données projet'!$B$10,Paramètres!$A$1:$I$89,3,0)*0.475*44/12</f>
        <v>3.9241811610790408E-17</v>
      </c>
      <c r="AX154" s="23">
        <f t="shared" ref="AX154:AX203" si="166">SUM(AU154:AW154)</f>
        <v>9.6220493420017021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-5.6843418860808015E-14</v>
      </c>
      <c r="BE154" s="14">
        <f>BD154*VLOOKUP('Données projet'!$B$11,Paramètres!$A$1:$I$89,3,0)*VLOOKUP('Données projet'!$B$11,Paramètres!$A$1:$I$89,5,0)</f>
        <v>-5.1431925385259088E-14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366.86025470473652</v>
      </c>
      <c r="BJ154" s="62">
        <f t="shared" si="146"/>
        <v>513.80016421153414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0.19979786891927265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0.19979786891927265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187.13674266165236</v>
      </c>
      <c r="T155" s="62">
        <f t="shared" si="142"/>
        <v>439.28159165815276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7.8197722995674681</v>
      </c>
      <c r="AA155" s="23">
        <f>EXP(-LN(2)/25)*AA154+(1-EXP(-LN(2)/25))/(LN(2)/25)*Calculateur!V155*Calculateur!X155*VLOOKUP('Données projet'!$B$9,Paramètres!$A$1:$I$89,3,0)*0.475*44/12</f>
        <v>1.6008626364735816</v>
      </c>
      <c r="AB155" s="23">
        <f>EXP(-LN(2)/2)*AB154+(1-EXP(-LN(2)/2))/(LN(2)/2)*V155*Y155*VLOOKUP('Données projet'!$B$9,Paramètres!$A$1:$I$89,3,0)*0.475*44/12</f>
        <v>2.7748151096034894E-17</v>
      </c>
      <c r="AC155" s="24">
        <f t="shared" si="163"/>
        <v>9.4206349360410506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1.1368683772161603E-13</v>
      </c>
      <c r="AJ155" s="14">
        <f>AI155*VLOOKUP('Données projet'!$B$10,Paramètres!$A$1:$I$89,3,0)*VLOOKUP('Données projet'!$B$10,Paramètres!$A$1:$I$89,5,0)</f>
        <v>6.7984728957526396E-14</v>
      </c>
      <c r="AK155" s="14">
        <f t="shared" si="164"/>
        <v>1.0682447123141398E-12</v>
      </c>
      <c r="AL155" s="22">
        <f t="shared" si="165"/>
        <v>1.978932943548152E-12</v>
      </c>
      <c r="AM155" s="62">
        <f t="shared" si="113"/>
        <v>293.3333333333353</v>
      </c>
      <c r="AN155" s="62">
        <f ca="1">AVERAGE(OFFSET($AM$3,0,0,'Données projet'!$E$10+1,1))-AVERAGE(OFFSET($H$3,0,0,'Données projet'!$E$10+1,1))</f>
        <v>187.13674266165236</v>
      </c>
      <c r="AO155" s="62">
        <f t="shared" si="144"/>
        <v>439.28159165815276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7.8197722995674681</v>
      </c>
      <c r="AV155" s="23">
        <f>EXP(-LN(2)/25)*AV154+(1-EXP(-LN(2)/25))/(LN(2)/25)*Calculateur!AQ155*Calculateur!AS155*VLOOKUP('Données projet'!$B$10,Paramètres!$A$1:$I$89,3,0)*0.475*44/12</f>
        <v>1.6008626364735816</v>
      </c>
      <c r="AW155" s="23">
        <f>EXP(-LN(2)/2)*AW154+(1-EXP(-LN(2)/2))/(LN(2)/2)*AQ155*AT155*VLOOKUP('Données projet'!$B$10,Paramètres!$A$1:$I$89,3,0)*0.475*44/12</f>
        <v>2.7748151096034894E-17</v>
      </c>
      <c r="AX155" s="23">
        <f t="shared" si="166"/>
        <v>9.4206349360410506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-5.6843418860808015E-14</v>
      </c>
      <c r="BE155" s="14">
        <f>BD155*VLOOKUP('Données projet'!$B$11,Paramètres!$A$1:$I$89,3,0)*VLOOKUP('Données projet'!$B$11,Paramètres!$A$1:$I$89,5,0)</f>
        <v>-5.1431925385259088E-14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366.86025470473652</v>
      </c>
      <c r="BJ155" s="62">
        <f t="shared" si="146"/>
        <v>513.80016421153414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0.19587995457443261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0.19587995457443261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187.13674266165236</v>
      </c>
      <c r="T156" s="62">
        <f t="shared" si="142"/>
        <v>439.28159165815276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7.6664313343630948</v>
      </c>
      <c r="AA156" s="23">
        <f>EXP(-LN(2)/25)*AA155+(1-EXP(-LN(2)/25))/(LN(2)/25)*Calculateur!V156*Calculateur!X156*VLOOKUP('Données projet'!$B$9,Paramètres!$A$1:$I$89,3,0)*0.475*44/12</f>
        <v>1.5570869634935043</v>
      </c>
      <c r="AB156" s="23">
        <f>EXP(-LN(2)/2)*AB155+(1-EXP(-LN(2)/2))/(LN(2)/2)*V156*Y156*VLOOKUP('Données projet'!$B$9,Paramètres!$A$1:$I$89,3,0)*0.475*44/12</f>
        <v>1.9620905805395207E-17</v>
      </c>
      <c r="AC156" s="24">
        <f t="shared" si="163"/>
        <v>9.2235182978565984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1.1368683772161603E-13</v>
      </c>
      <c r="AJ156" s="14">
        <f>AI156*VLOOKUP('Données projet'!$B$10,Paramètres!$A$1:$I$89,3,0)*VLOOKUP('Données projet'!$B$10,Paramètres!$A$1:$I$89,5,0)</f>
        <v>6.7984728957526396E-14</v>
      </c>
      <c r="AK156" s="14">
        <f t="shared" si="164"/>
        <v>1.0682447123141398E-12</v>
      </c>
      <c r="AL156" s="22">
        <f t="shared" si="165"/>
        <v>1.978932943548152E-12</v>
      </c>
      <c r="AM156" s="62">
        <f t="shared" si="113"/>
        <v>293.3333333333353</v>
      </c>
      <c r="AN156" s="62">
        <f ca="1">AVERAGE(OFFSET($AM$3,0,0,'Données projet'!$E$10+1,1))-AVERAGE(OFFSET($H$3,0,0,'Données projet'!$E$10+1,1))</f>
        <v>187.13674266165236</v>
      </c>
      <c r="AO156" s="62">
        <f t="shared" si="144"/>
        <v>439.28159165815276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7.6664313343630948</v>
      </c>
      <c r="AV156" s="23">
        <f>EXP(-LN(2)/25)*AV155+(1-EXP(-LN(2)/25))/(LN(2)/25)*Calculateur!AQ156*Calculateur!AS156*VLOOKUP('Données projet'!$B$10,Paramètres!$A$1:$I$89,3,0)*0.475*44/12</f>
        <v>1.5570869634935043</v>
      </c>
      <c r="AW156" s="23">
        <f>EXP(-LN(2)/2)*AW155+(1-EXP(-LN(2)/2))/(LN(2)/2)*AQ156*AT156*VLOOKUP('Données projet'!$B$10,Paramètres!$A$1:$I$89,3,0)*0.475*44/12</f>
        <v>1.9620905805395207E-17</v>
      </c>
      <c r="AX156" s="23">
        <f t="shared" si="166"/>
        <v>9.2235182978565984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-5.6843418860808015E-14</v>
      </c>
      <c r="BE156" s="14">
        <f>BD156*VLOOKUP('Données projet'!$B$11,Paramètres!$A$1:$I$89,3,0)*VLOOKUP('Données projet'!$B$11,Paramètres!$A$1:$I$89,5,0)</f>
        <v>-5.1431925385259088E-14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366.86025470473652</v>
      </c>
      <c r="BJ156" s="62">
        <f t="shared" si="146"/>
        <v>513.80016421153414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0.1920388681402031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0.1920388681402031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187.13674266165236</v>
      </c>
      <c r="T157" s="62">
        <f t="shared" si="142"/>
        <v>439.28159165815276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7.5160972919576254</v>
      </c>
      <c r="AA157" s="23">
        <f>EXP(-LN(2)/25)*AA156+(1-EXP(-LN(2)/25))/(LN(2)/25)*Calculateur!V157*Calculateur!X157*VLOOKUP('Données projet'!$B$9,Paramètres!$A$1:$I$89,3,0)*0.475*44/12</f>
        <v>1.5145083385931297</v>
      </c>
      <c r="AB157" s="23">
        <f>EXP(-LN(2)/2)*AB156+(1-EXP(-LN(2)/2))/(LN(2)/2)*V157*Y157*VLOOKUP('Données projet'!$B$9,Paramètres!$A$1:$I$89,3,0)*0.475*44/12</f>
        <v>1.387407554801745E-17</v>
      </c>
      <c r="AC157" s="24">
        <f t="shared" si="163"/>
        <v>9.030605630550756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1.1368683772161603E-13</v>
      </c>
      <c r="AJ157" s="14">
        <f>AI157*VLOOKUP('Données projet'!$B$10,Paramètres!$A$1:$I$89,3,0)*VLOOKUP('Données projet'!$B$10,Paramètres!$A$1:$I$89,5,0)</f>
        <v>6.7984728957526396E-14</v>
      </c>
      <c r="AK157" s="14">
        <f t="shared" si="164"/>
        <v>1.0682447123141398E-12</v>
      </c>
      <c r="AL157" s="22">
        <f t="shared" si="165"/>
        <v>1.978932943548152E-12</v>
      </c>
      <c r="AM157" s="62">
        <f t="shared" si="113"/>
        <v>293.3333333333353</v>
      </c>
      <c r="AN157" s="62">
        <f ca="1">AVERAGE(OFFSET($AM$3,0,0,'Données projet'!$E$10+1,1))-AVERAGE(OFFSET($H$3,0,0,'Données projet'!$E$10+1,1))</f>
        <v>187.13674266165236</v>
      </c>
      <c r="AO157" s="62">
        <f t="shared" si="144"/>
        <v>439.28159165815276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7.5160972919576254</v>
      </c>
      <c r="AV157" s="23">
        <f>EXP(-LN(2)/25)*AV156+(1-EXP(-LN(2)/25))/(LN(2)/25)*Calculateur!AQ157*Calculateur!AS157*VLOOKUP('Données projet'!$B$10,Paramètres!$A$1:$I$89,3,0)*0.475*44/12</f>
        <v>1.5145083385931297</v>
      </c>
      <c r="AW157" s="23">
        <f>EXP(-LN(2)/2)*AW156+(1-EXP(-LN(2)/2))/(LN(2)/2)*AQ157*AT157*VLOOKUP('Données projet'!$B$10,Paramètres!$A$1:$I$89,3,0)*0.475*44/12</f>
        <v>1.387407554801745E-17</v>
      </c>
      <c r="AX157" s="23">
        <f t="shared" si="166"/>
        <v>9.030605630550756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-5.6843418860808015E-14</v>
      </c>
      <c r="BE157" s="14">
        <f>BD157*VLOOKUP('Données projet'!$B$11,Paramètres!$A$1:$I$89,3,0)*VLOOKUP('Données projet'!$B$11,Paramètres!$A$1:$I$89,5,0)</f>
        <v>-5.1431925385259088E-14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366.86025470473652</v>
      </c>
      <c r="BJ157" s="62">
        <f t="shared" si="146"/>
        <v>513.80016421153414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0.18827310306811745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0.18827310306811745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187.13674266165236</v>
      </c>
      <c r="T158" s="62">
        <f t="shared" si="142"/>
        <v>439.28159165815276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7.3687112084290156</v>
      </c>
      <c r="AA158" s="23">
        <f>EXP(-LN(2)/25)*AA157+(1-EXP(-LN(2)/25))/(LN(2)/25)*Calculateur!V158*Calculateur!X158*VLOOKUP('Données projet'!$B$9,Paramètres!$A$1:$I$89,3,0)*0.475*44/12</f>
        <v>1.4730940284297684</v>
      </c>
      <c r="AB158" s="23">
        <f>EXP(-LN(2)/2)*AB157+(1-EXP(-LN(2)/2))/(LN(2)/2)*V158*Y158*VLOOKUP('Données projet'!$B$9,Paramètres!$A$1:$I$89,3,0)*0.475*44/12</f>
        <v>9.8104529026976051E-18</v>
      </c>
      <c r="AC158" s="24">
        <f t="shared" si="163"/>
        <v>8.8418052368587841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1.1368683772161603E-13</v>
      </c>
      <c r="AJ158" s="14">
        <f>AI158*VLOOKUP('Données projet'!$B$10,Paramètres!$A$1:$I$89,3,0)*VLOOKUP('Données projet'!$B$10,Paramètres!$A$1:$I$89,5,0)</f>
        <v>6.7984728957526396E-14</v>
      </c>
      <c r="AK158" s="14">
        <f t="shared" si="164"/>
        <v>1.0682447123141398E-12</v>
      </c>
      <c r="AL158" s="22">
        <f t="shared" si="165"/>
        <v>1.978932943548152E-12</v>
      </c>
      <c r="AM158" s="62">
        <f t="shared" si="113"/>
        <v>293.3333333333353</v>
      </c>
      <c r="AN158" s="62">
        <f ca="1">AVERAGE(OFFSET($AM$3,0,0,'Données projet'!$E$10+1,1))-AVERAGE(OFFSET($H$3,0,0,'Données projet'!$E$10+1,1))</f>
        <v>187.13674266165236</v>
      </c>
      <c r="AO158" s="62">
        <f t="shared" si="144"/>
        <v>439.28159165815276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7.3687112084290156</v>
      </c>
      <c r="AV158" s="23">
        <f>EXP(-LN(2)/25)*AV157+(1-EXP(-LN(2)/25))/(LN(2)/25)*Calculateur!AQ158*Calculateur!AS158*VLOOKUP('Données projet'!$B$10,Paramètres!$A$1:$I$89,3,0)*0.475*44/12</f>
        <v>1.4730940284297684</v>
      </c>
      <c r="AW158" s="23">
        <f>EXP(-LN(2)/2)*AW157+(1-EXP(-LN(2)/2))/(LN(2)/2)*AQ158*AT158*VLOOKUP('Données projet'!$B$10,Paramètres!$A$1:$I$89,3,0)*0.475*44/12</f>
        <v>9.8104529026976051E-18</v>
      </c>
      <c r="AX158" s="23">
        <f t="shared" si="166"/>
        <v>8.8418052368587841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-5.6843418860808015E-14</v>
      </c>
      <c r="BE158" s="14">
        <f>BD158*VLOOKUP('Données projet'!$B$11,Paramètres!$A$1:$I$89,3,0)*VLOOKUP('Données projet'!$B$11,Paramètres!$A$1:$I$89,5,0)</f>
        <v>-5.1431925385259088E-14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366.86025470473652</v>
      </c>
      <c r="BJ158" s="62">
        <f t="shared" si="146"/>
        <v>513.80016421153414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0.1845811823522055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0.1845811823522055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187.13674266165236</v>
      </c>
      <c r="T159" s="62">
        <f t="shared" si="142"/>
        <v>439.28159165815276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7.2242152761017673</v>
      </c>
      <c r="AA159" s="23">
        <f>EXP(-LN(2)/25)*AA158+(1-EXP(-LN(2)/25))/(LN(2)/25)*Calculateur!V159*Calculateur!X159*VLOOKUP('Données projet'!$B$9,Paramètres!$A$1:$I$89,3,0)*0.475*44/12</f>
        <v>1.4328121947557082</v>
      </c>
      <c r="AB159" s="23">
        <f>EXP(-LN(2)/2)*AB158+(1-EXP(-LN(2)/2))/(LN(2)/2)*V159*Y159*VLOOKUP('Données projet'!$B$9,Paramètres!$A$1:$I$89,3,0)*0.475*44/12</f>
        <v>6.9370377740087257E-18</v>
      </c>
      <c r="AC159" s="24">
        <f t="shared" si="163"/>
        <v>8.657027470857475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1.1368683772161603E-13</v>
      </c>
      <c r="AJ159" s="14">
        <f>AI159*VLOOKUP('Données projet'!$B$10,Paramètres!$A$1:$I$89,3,0)*VLOOKUP('Données projet'!$B$10,Paramètres!$A$1:$I$89,5,0)</f>
        <v>6.7984728957526396E-14</v>
      </c>
      <c r="AK159" s="14">
        <f t="shared" si="164"/>
        <v>1.0682447123141398E-12</v>
      </c>
      <c r="AL159" s="22">
        <f t="shared" si="165"/>
        <v>1.978932943548152E-12</v>
      </c>
      <c r="AM159" s="62">
        <f t="shared" si="113"/>
        <v>293.3333333333353</v>
      </c>
      <c r="AN159" s="62">
        <f ca="1">AVERAGE(OFFSET($AM$3,0,0,'Données projet'!$E$10+1,1))-AVERAGE(OFFSET($H$3,0,0,'Données projet'!$E$10+1,1))</f>
        <v>187.13674266165236</v>
      </c>
      <c r="AO159" s="62">
        <f t="shared" si="144"/>
        <v>439.28159165815276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7.2242152761017673</v>
      </c>
      <c r="AV159" s="23">
        <f>EXP(-LN(2)/25)*AV158+(1-EXP(-LN(2)/25))/(LN(2)/25)*Calculateur!AQ159*Calculateur!AS159*VLOOKUP('Données projet'!$B$10,Paramètres!$A$1:$I$89,3,0)*0.475*44/12</f>
        <v>1.4328121947557082</v>
      </c>
      <c r="AW159" s="23">
        <f>EXP(-LN(2)/2)*AW158+(1-EXP(-LN(2)/2))/(LN(2)/2)*AQ159*AT159*VLOOKUP('Données projet'!$B$10,Paramètres!$A$1:$I$89,3,0)*0.475*44/12</f>
        <v>6.9370377740087257E-18</v>
      </c>
      <c r="AX159" s="23">
        <f t="shared" si="166"/>
        <v>8.657027470857475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-5.6843418860808015E-14</v>
      </c>
      <c r="BE159" s="14">
        <f>BD159*VLOOKUP('Données projet'!$B$11,Paramètres!$A$1:$I$89,3,0)*VLOOKUP('Données projet'!$B$11,Paramètres!$A$1:$I$89,5,0)</f>
        <v>-5.1431925385259088E-14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366.86025470473652</v>
      </c>
      <c r="BJ159" s="62">
        <f t="shared" si="146"/>
        <v>513.80016421153414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0.1809616579496833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0.1809616579496833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187.13674266165236</v>
      </c>
      <c r="T160" s="62">
        <f t="shared" si="142"/>
        <v>439.28159165815276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7.0825528208736408</v>
      </c>
      <c r="AA160" s="23">
        <f>EXP(-LN(2)/25)*AA159+(1-EXP(-LN(2)/25))/(LN(2)/25)*Calculateur!V160*Calculateur!X160*VLOOKUP('Données projet'!$B$9,Paramètres!$A$1:$I$89,3,0)*0.475*44/12</f>
        <v>1.3936318699417947</v>
      </c>
      <c r="AB160" s="23">
        <f>EXP(-LN(2)/2)*AB159+(1-EXP(-LN(2)/2))/(LN(2)/2)*V160*Y160*VLOOKUP('Données projet'!$B$9,Paramètres!$A$1:$I$89,3,0)*0.475*44/12</f>
        <v>4.9052264513488033E-18</v>
      </c>
      <c r="AC160" s="24">
        <f t="shared" si="163"/>
        <v>8.476184690815435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1.1368683772161603E-13</v>
      </c>
      <c r="AJ160" s="14">
        <f>AI160*VLOOKUP('Données projet'!$B$10,Paramètres!$A$1:$I$89,3,0)*VLOOKUP('Données projet'!$B$10,Paramètres!$A$1:$I$89,5,0)</f>
        <v>6.7984728957526396E-14</v>
      </c>
      <c r="AK160" s="14">
        <f t="shared" si="164"/>
        <v>1.0682447123141398E-12</v>
      </c>
      <c r="AL160" s="22">
        <f t="shared" si="165"/>
        <v>1.978932943548152E-12</v>
      </c>
      <c r="AM160" s="62">
        <f t="shared" si="113"/>
        <v>293.3333333333353</v>
      </c>
      <c r="AN160" s="62">
        <f ca="1">AVERAGE(OFFSET($AM$3,0,0,'Données projet'!$E$10+1,1))-AVERAGE(OFFSET($H$3,0,0,'Données projet'!$E$10+1,1))</f>
        <v>187.13674266165236</v>
      </c>
      <c r="AO160" s="62">
        <f t="shared" si="144"/>
        <v>439.28159165815276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7.0825528208736408</v>
      </c>
      <c r="AV160" s="23">
        <f>EXP(-LN(2)/25)*AV159+(1-EXP(-LN(2)/25))/(LN(2)/25)*Calculateur!AQ160*Calculateur!AS160*VLOOKUP('Données projet'!$B$10,Paramètres!$A$1:$I$89,3,0)*0.475*44/12</f>
        <v>1.3936318699417947</v>
      </c>
      <c r="AW160" s="23">
        <f>EXP(-LN(2)/2)*AW159+(1-EXP(-LN(2)/2))/(LN(2)/2)*AQ160*AT160*VLOOKUP('Données projet'!$B$10,Paramètres!$A$1:$I$89,3,0)*0.475*44/12</f>
        <v>4.9052264513488033E-18</v>
      </c>
      <c r="AX160" s="23">
        <f t="shared" si="166"/>
        <v>8.476184690815435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-5.6843418860808015E-14</v>
      </c>
      <c r="BE160" s="14">
        <f>BD160*VLOOKUP('Données projet'!$B$11,Paramètres!$A$1:$I$89,3,0)*VLOOKUP('Données projet'!$B$11,Paramètres!$A$1:$I$89,5,0)</f>
        <v>-5.1431925385259088E-14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366.86025470473652</v>
      </c>
      <c r="BJ160" s="62">
        <f t="shared" si="146"/>
        <v>513.80016421153414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0.17741311021300266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0.17741311021300266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187.13674266165236</v>
      </c>
      <c r="T161" s="62">
        <f t="shared" si="142"/>
        <v>439.28159165815276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6.943668279986972</v>
      </c>
      <c r="AA161" s="23">
        <f>EXP(-LN(2)/25)*AA160+(1-EXP(-LN(2)/25))/(LN(2)/25)*Calculateur!V161*Calculateur!X161*VLOOKUP('Données projet'!$B$9,Paramètres!$A$1:$I$89,3,0)*0.475*44/12</f>
        <v>1.3555229331703214</v>
      </c>
      <c r="AB161" s="23">
        <f>EXP(-LN(2)/2)*AB160+(1-EXP(-LN(2)/2))/(LN(2)/2)*V161*Y161*VLOOKUP('Données projet'!$B$9,Paramètres!$A$1:$I$89,3,0)*0.475*44/12</f>
        <v>3.4685188870043636E-18</v>
      </c>
      <c r="AC161" s="24">
        <f t="shared" si="163"/>
        <v>8.2991912131572931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1.1368683772161603E-13</v>
      </c>
      <c r="AJ161" s="14">
        <f>AI161*VLOOKUP('Données projet'!$B$10,Paramètres!$A$1:$I$89,3,0)*VLOOKUP('Données projet'!$B$10,Paramètres!$A$1:$I$89,5,0)</f>
        <v>6.7984728957526396E-14</v>
      </c>
      <c r="AK161" s="14">
        <f t="shared" si="164"/>
        <v>1.0682447123141398E-12</v>
      </c>
      <c r="AL161" s="22">
        <f t="shared" si="165"/>
        <v>1.978932943548152E-12</v>
      </c>
      <c r="AM161" s="62">
        <f t="shared" si="113"/>
        <v>293.3333333333353</v>
      </c>
      <c r="AN161" s="62">
        <f ca="1">AVERAGE(OFFSET($AM$3,0,0,'Données projet'!$E$10+1,1))-AVERAGE(OFFSET($H$3,0,0,'Données projet'!$E$10+1,1))</f>
        <v>187.13674266165236</v>
      </c>
      <c r="AO161" s="62">
        <f t="shared" si="144"/>
        <v>439.28159165815276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6.943668279986972</v>
      </c>
      <c r="AV161" s="23">
        <f>EXP(-LN(2)/25)*AV160+(1-EXP(-LN(2)/25))/(LN(2)/25)*Calculateur!AQ161*Calculateur!AS161*VLOOKUP('Données projet'!$B$10,Paramètres!$A$1:$I$89,3,0)*0.475*44/12</f>
        <v>1.3555229331703214</v>
      </c>
      <c r="AW161" s="23">
        <f>EXP(-LN(2)/2)*AW160+(1-EXP(-LN(2)/2))/(LN(2)/2)*AQ161*AT161*VLOOKUP('Données projet'!$B$10,Paramètres!$A$1:$I$89,3,0)*0.475*44/12</f>
        <v>3.4685188870043636E-18</v>
      </c>
      <c r="AX161" s="23">
        <f t="shared" si="166"/>
        <v>8.2991912131572931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-5.6843418860808015E-14</v>
      </c>
      <c r="BE161" s="14">
        <f>BD161*VLOOKUP('Données projet'!$B$11,Paramètres!$A$1:$I$89,3,0)*VLOOKUP('Données projet'!$B$11,Paramètres!$A$1:$I$89,5,0)</f>
        <v>-5.1431925385259088E-14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366.86025470473652</v>
      </c>
      <c r="BJ161" s="62">
        <f t="shared" si="146"/>
        <v>513.80016421153414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0.17393414733303791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0.17393414733303791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187.13674266165236</v>
      </c>
      <c r="T162" s="62">
        <f t="shared" si="142"/>
        <v>439.28159165815276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6.8075071802358851</v>
      </c>
      <c r="AA162" s="23">
        <f>EXP(-LN(2)/25)*AA161+(1-EXP(-LN(2)/25))/(LN(2)/25)*Calculateur!V162*Calculateur!X162*VLOOKUP('Données projet'!$B$9,Paramètres!$A$1:$I$89,3,0)*0.475*44/12</f>
        <v>1.3184560872789259</v>
      </c>
      <c r="AB162" s="23">
        <f>EXP(-LN(2)/2)*AB161+(1-EXP(-LN(2)/2))/(LN(2)/2)*V162*Y162*VLOOKUP('Données projet'!$B$9,Paramètres!$A$1:$I$89,3,0)*0.475*44/12</f>
        <v>2.452613225674402E-18</v>
      </c>
      <c r="AC162" s="24">
        <f t="shared" si="163"/>
        <v>8.1259632675148108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1.1368683772161603E-13</v>
      </c>
      <c r="AJ162" s="14">
        <f>AI162*VLOOKUP('Données projet'!$B$10,Paramètres!$A$1:$I$89,3,0)*VLOOKUP('Données projet'!$B$10,Paramètres!$A$1:$I$89,5,0)</f>
        <v>6.7984728957526396E-14</v>
      </c>
      <c r="AK162" s="14">
        <f t="shared" si="164"/>
        <v>1.0682447123141398E-12</v>
      </c>
      <c r="AL162" s="22">
        <f t="shared" si="165"/>
        <v>1.978932943548152E-12</v>
      </c>
      <c r="AM162" s="62">
        <f t="shared" si="113"/>
        <v>293.3333333333353</v>
      </c>
      <c r="AN162" s="62">
        <f ca="1">AVERAGE(OFFSET($AM$3,0,0,'Données projet'!$E$10+1,1))-AVERAGE(OFFSET($H$3,0,0,'Données projet'!$E$10+1,1))</f>
        <v>187.13674266165236</v>
      </c>
      <c r="AO162" s="62">
        <f t="shared" si="144"/>
        <v>439.28159165815276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6.8075071802358851</v>
      </c>
      <c r="AV162" s="23">
        <f>EXP(-LN(2)/25)*AV161+(1-EXP(-LN(2)/25))/(LN(2)/25)*Calculateur!AQ162*Calculateur!AS162*VLOOKUP('Données projet'!$B$10,Paramètres!$A$1:$I$89,3,0)*0.475*44/12</f>
        <v>1.3184560872789259</v>
      </c>
      <c r="AW162" s="23">
        <f>EXP(-LN(2)/2)*AW161+(1-EXP(-LN(2)/2))/(LN(2)/2)*AQ162*AT162*VLOOKUP('Données projet'!$B$10,Paramètres!$A$1:$I$89,3,0)*0.475*44/12</f>
        <v>2.452613225674402E-18</v>
      </c>
      <c r="AX162" s="23">
        <f t="shared" si="166"/>
        <v>8.1259632675148108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-5.6843418860808015E-14</v>
      </c>
      <c r="BE162" s="14">
        <f>BD162*VLOOKUP('Données projet'!$B$11,Paramètres!$A$1:$I$89,3,0)*VLOOKUP('Données projet'!$B$11,Paramètres!$A$1:$I$89,5,0)</f>
        <v>-5.1431925385259088E-14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366.86025470473652</v>
      </c>
      <c r="BJ162" s="62">
        <f t="shared" si="146"/>
        <v>513.80016421153414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0.17052340479319145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0.17052340479319145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187.13674266165236</v>
      </c>
      <c r="T163" s="62">
        <f t="shared" si="142"/>
        <v>439.28159165815276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6.6740161166008463</v>
      </c>
      <c r="AA163" s="23">
        <f>EXP(-LN(2)/25)*AA162+(1-EXP(-LN(2)/25))/(LN(2)/25)*Calculateur!V163*Calculateur!X163*VLOOKUP('Données projet'!$B$9,Paramètres!$A$1:$I$89,3,0)*0.475*44/12</f>
        <v>1.2824028362376914</v>
      </c>
      <c r="AB163" s="23">
        <f>EXP(-LN(2)/2)*AB162+(1-EXP(-LN(2)/2))/(LN(2)/2)*V163*Y163*VLOOKUP('Données projet'!$B$9,Paramètres!$A$1:$I$89,3,0)*0.475*44/12</f>
        <v>1.734259443502182E-18</v>
      </c>
      <c r="AC163" s="24">
        <f t="shared" si="163"/>
        <v>7.9564189528385381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1.1368683772161603E-13</v>
      </c>
      <c r="AJ163" s="14">
        <f>AI163*VLOOKUP('Données projet'!$B$10,Paramètres!$A$1:$I$89,3,0)*VLOOKUP('Données projet'!$B$10,Paramètres!$A$1:$I$89,5,0)</f>
        <v>6.7984728957526396E-14</v>
      </c>
      <c r="AK163" s="14">
        <f t="shared" si="164"/>
        <v>1.0682447123141398E-12</v>
      </c>
      <c r="AL163" s="22">
        <f t="shared" si="165"/>
        <v>1.978932943548152E-12</v>
      </c>
      <c r="AM163" s="62">
        <f t="shared" si="113"/>
        <v>293.3333333333353</v>
      </c>
      <c r="AN163" s="62">
        <f ca="1">AVERAGE(OFFSET($AM$3,0,0,'Données projet'!$E$10+1,1))-AVERAGE(OFFSET($H$3,0,0,'Données projet'!$E$10+1,1))</f>
        <v>187.13674266165236</v>
      </c>
      <c r="AO163" s="62">
        <f t="shared" si="144"/>
        <v>439.28159165815276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6.6740161166008463</v>
      </c>
      <c r="AV163" s="23">
        <f>EXP(-LN(2)/25)*AV162+(1-EXP(-LN(2)/25))/(LN(2)/25)*Calculateur!AQ163*Calculateur!AS163*VLOOKUP('Données projet'!$B$10,Paramètres!$A$1:$I$89,3,0)*0.475*44/12</f>
        <v>1.2824028362376914</v>
      </c>
      <c r="AW163" s="23">
        <f>EXP(-LN(2)/2)*AW162+(1-EXP(-LN(2)/2))/(LN(2)/2)*AQ163*AT163*VLOOKUP('Données projet'!$B$10,Paramètres!$A$1:$I$89,3,0)*0.475*44/12</f>
        <v>1.734259443502182E-18</v>
      </c>
      <c r="AX163" s="23">
        <f t="shared" si="166"/>
        <v>7.9564189528385381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-5.6843418860808015E-14</v>
      </c>
      <c r="BE163" s="14">
        <f>BD163*VLOOKUP('Données projet'!$B$11,Paramètres!$A$1:$I$89,3,0)*VLOOKUP('Données projet'!$B$11,Paramètres!$A$1:$I$89,5,0)</f>
        <v>-5.1431925385259088E-14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366.86025470473652</v>
      </c>
      <c r="BJ163" s="62">
        <f t="shared" si="146"/>
        <v>513.80016421153414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0.16717954483420386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0.16717954483420386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187.13674266165236</v>
      </c>
      <c r="T164" s="62">
        <f t="shared" si="142"/>
        <v>439.28159165815276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6.5431427313021819</v>
      </c>
      <c r="AA164" s="23">
        <f>EXP(-LN(2)/25)*AA163+(1-EXP(-LN(2)/25))/(LN(2)/25)*Calculateur!V164*Calculateur!X164*VLOOKUP('Données projet'!$B$9,Paramètres!$A$1:$I$89,3,0)*0.475*44/12</f>
        <v>1.2473354632421374</v>
      </c>
      <c r="AB164" s="23">
        <f>EXP(-LN(2)/2)*AB163+(1-EXP(-LN(2)/2))/(LN(2)/2)*V164*Y164*VLOOKUP('Données projet'!$B$9,Paramètres!$A$1:$I$89,3,0)*0.475*44/12</f>
        <v>1.2263066128372012E-18</v>
      </c>
      <c r="AC164" s="24">
        <f t="shared" si="163"/>
        <v>7.7904781945443196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1.1368683772161603E-13</v>
      </c>
      <c r="AJ164" s="14">
        <f>AI164*VLOOKUP('Données projet'!$B$10,Paramètres!$A$1:$I$89,3,0)*VLOOKUP('Données projet'!$B$10,Paramètres!$A$1:$I$89,5,0)</f>
        <v>6.7984728957526396E-14</v>
      </c>
      <c r="AK164" s="14">
        <f t="shared" si="164"/>
        <v>1.0682447123141398E-12</v>
      </c>
      <c r="AL164" s="22">
        <f t="shared" si="165"/>
        <v>1.978932943548152E-12</v>
      </c>
      <c r="AM164" s="62">
        <f t="shared" si="113"/>
        <v>293.3333333333353</v>
      </c>
      <c r="AN164" s="62">
        <f ca="1">AVERAGE(OFFSET($AM$3,0,0,'Données projet'!$E$10+1,1))-AVERAGE(OFFSET($H$3,0,0,'Données projet'!$E$10+1,1))</f>
        <v>187.13674266165236</v>
      </c>
      <c r="AO164" s="62">
        <f t="shared" si="144"/>
        <v>439.28159165815276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6.5431427313021819</v>
      </c>
      <c r="AV164" s="23">
        <f>EXP(-LN(2)/25)*AV163+(1-EXP(-LN(2)/25))/(LN(2)/25)*Calculateur!AQ164*Calculateur!AS164*VLOOKUP('Données projet'!$B$10,Paramètres!$A$1:$I$89,3,0)*0.475*44/12</f>
        <v>1.2473354632421374</v>
      </c>
      <c r="AW164" s="23">
        <f>EXP(-LN(2)/2)*AW163+(1-EXP(-LN(2)/2))/(LN(2)/2)*AQ164*AT164*VLOOKUP('Données projet'!$B$10,Paramètres!$A$1:$I$89,3,0)*0.475*44/12</f>
        <v>1.2263066128372012E-18</v>
      </c>
      <c r="AX164" s="23">
        <f t="shared" si="166"/>
        <v>7.7904781945443196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-5.6843418860808015E-14</v>
      </c>
      <c r="BE164" s="14">
        <f>BD164*VLOOKUP('Données projet'!$B$11,Paramètres!$A$1:$I$89,3,0)*VLOOKUP('Données projet'!$B$11,Paramètres!$A$1:$I$89,5,0)</f>
        <v>-5.1431925385259088E-14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366.86025470473652</v>
      </c>
      <c r="BJ164" s="62">
        <f t="shared" si="146"/>
        <v>513.80016421153414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0.16390125592945881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0.16390125592945881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187.13674266165236</v>
      </c>
      <c r="T165" s="62">
        <f t="shared" si="142"/>
        <v>439.28159165815276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6.4148356932643411</v>
      </c>
      <c r="AA165" s="23">
        <f>EXP(-LN(2)/25)*AA164+(1-EXP(-LN(2)/25))/(LN(2)/25)*Calculateur!V165*Calculateur!X165*VLOOKUP('Données projet'!$B$9,Paramètres!$A$1:$I$89,3,0)*0.475*44/12</f>
        <v>1.21322700940526</v>
      </c>
      <c r="AB165" s="23">
        <f>EXP(-LN(2)/2)*AB164+(1-EXP(-LN(2)/2))/(LN(2)/2)*V165*Y165*VLOOKUP('Données projet'!$B$9,Paramètres!$A$1:$I$89,3,0)*0.475*44/12</f>
        <v>8.6712972175109119E-19</v>
      </c>
      <c r="AC165" s="24">
        <f t="shared" si="163"/>
        <v>7.6280627026696006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1.1368683772161603E-13</v>
      </c>
      <c r="AJ165" s="14">
        <f>AI165*VLOOKUP('Données projet'!$B$10,Paramètres!$A$1:$I$89,3,0)*VLOOKUP('Données projet'!$B$10,Paramètres!$A$1:$I$89,5,0)</f>
        <v>6.7984728957526396E-14</v>
      </c>
      <c r="AK165" s="14">
        <f t="shared" si="164"/>
        <v>1.0682447123141398E-12</v>
      </c>
      <c r="AL165" s="22">
        <f t="shared" si="165"/>
        <v>1.978932943548152E-12</v>
      </c>
      <c r="AM165" s="62">
        <f t="shared" si="113"/>
        <v>293.3333333333353</v>
      </c>
      <c r="AN165" s="62">
        <f ca="1">AVERAGE(OFFSET($AM$3,0,0,'Données projet'!$E$10+1,1))-AVERAGE(OFFSET($H$3,0,0,'Données projet'!$E$10+1,1))</f>
        <v>187.13674266165236</v>
      </c>
      <c r="AO165" s="62">
        <f t="shared" si="144"/>
        <v>439.28159165815276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6.4148356932643411</v>
      </c>
      <c r="AV165" s="23">
        <f>EXP(-LN(2)/25)*AV164+(1-EXP(-LN(2)/25))/(LN(2)/25)*Calculateur!AQ165*Calculateur!AS165*VLOOKUP('Données projet'!$B$10,Paramètres!$A$1:$I$89,3,0)*0.475*44/12</f>
        <v>1.21322700940526</v>
      </c>
      <c r="AW165" s="23">
        <f>EXP(-LN(2)/2)*AW164+(1-EXP(-LN(2)/2))/(LN(2)/2)*AQ165*AT165*VLOOKUP('Données projet'!$B$10,Paramètres!$A$1:$I$89,3,0)*0.475*44/12</f>
        <v>8.6712972175109119E-19</v>
      </c>
      <c r="AX165" s="23">
        <f t="shared" si="166"/>
        <v>7.6280627026696006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-5.6843418860808015E-14</v>
      </c>
      <c r="BE165" s="14">
        <f>BD165*VLOOKUP('Données projet'!$B$11,Paramètres!$A$1:$I$89,3,0)*VLOOKUP('Données projet'!$B$11,Paramètres!$A$1:$I$89,5,0)</f>
        <v>-5.1431925385259088E-14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366.86025470473652</v>
      </c>
      <c r="BJ165" s="62">
        <f t="shared" si="146"/>
        <v>513.80016421153414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0.16068725227057704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0.16068725227057704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187.13674266165236</v>
      </c>
      <c r="T166" s="62">
        <f t="shared" si="142"/>
        <v>439.28159165815276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6.289044677982857</v>
      </c>
      <c r="AA166" s="23">
        <f>EXP(-LN(2)/25)*AA165+(1-EXP(-LN(2)/25))/(LN(2)/25)*Calculateur!V166*Calculateur!X166*VLOOKUP('Données projet'!$B$9,Paramètres!$A$1:$I$89,3,0)*0.475*44/12</f>
        <v>1.1800512530322376</v>
      </c>
      <c r="AB166" s="23">
        <f>EXP(-LN(2)/2)*AB165+(1-EXP(-LN(2)/2))/(LN(2)/2)*V166*Y166*VLOOKUP('Données projet'!$B$9,Paramètres!$A$1:$I$89,3,0)*0.475*44/12</f>
        <v>6.131533064186007E-19</v>
      </c>
      <c r="AC166" s="24">
        <f t="shared" si="163"/>
        <v>7.4690959310150946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1.1368683772161603E-13</v>
      </c>
      <c r="AJ166" s="14">
        <f>AI166*VLOOKUP('Données projet'!$B$10,Paramètres!$A$1:$I$89,3,0)*VLOOKUP('Données projet'!$B$10,Paramètres!$A$1:$I$89,5,0)</f>
        <v>6.7984728957526396E-14</v>
      </c>
      <c r="AK166" s="14">
        <f t="shared" si="164"/>
        <v>1.0682447123141398E-12</v>
      </c>
      <c r="AL166" s="22">
        <f t="shared" si="165"/>
        <v>1.978932943548152E-12</v>
      </c>
      <c r="AM166" s="62">
        <f t="shared" si="113"/>
        <v>293.3333333333353</v>
      </c>
      <c r="AN166" s="62">
        <f ca="1">AVERAGE(OFFSET($AM$3,0,0,'Données projet'!$E$10+1,1))-AVERAGE(OFFSET($H$3,0,0,'Données projet'!$E$10+1,1))</f>
        <v>187.13674266165236</v>
      </c>
      <c r="AO166" s="62">
        <f t="shared" si="144"/>
        <v>439.28159165815276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6.289044677982857</v>
      </c>
      <c r="AV166" s="23">
        <f>EXP(-LN(2)/25)*AV165+(1-EXP(-LN(2)/25))/(LN(2)/25)*Calculateur!AQ166*Calculateur!AS166*VLOOKUP('Données projet'!$B$10,Paramètres!$A$1:$I$89,3,0)*0.475*44/12</f>
        <v>1.1800512530322376</v>
      </c>
      <c r="AW166" s="23">
        <f>EXP(-LN(2)/2)*AW165+(1-EXP(-LN(2)/2))/(LN(2)/2)*AQ166*AT166*VLOOKUP('Données projet'!$B$10,Paramètres!$A$1:$I$89,3,0)*0.475*44/12</f>
        <v>6.131533064186007E-19</v>
      </c>
      <c r="AX166" s="23">
        <f t="shared" si="166"/>
        <v>7.4690959310150946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-5.6843418860808015E-14</v>
      </c>
      <c r="BE166" s="14">
        <f>BD166*VLOOKUP('Données projet'!$B$11,Paramètres!$A$1:$I$89,3,0)*VLOOKUP('Données projet'!$B$11,Paramètres!$A$1:$I$89,5,0)</f>
        <v>-5.1431925385259088E-14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366.86025470473652</v>
      </c>
      <c r="BJ166" s="62">
        <f t="shared" si="146"/>
        <v>513.80016421153414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0.15753627326309727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0.15753627326309727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187.13674266165236</v>
      </c>
      <c r="T167" s="62">
        <f t="shared" si="142"/>
        <v>439.28159165815276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6.1657203477860989</v>
      </c>
      <c r="AA167" s="23">
        <f>EXP(-LN(2)/25)*AA166+(1-EXP(-LN(2)/25))/(LN(2)/25)*Calculateur!V167*Calculateur!X167*VLOOKUP('Données projet'!$B$9,Paramètres!$A$1:$I$89,3,0)*0.475*44/12</f>
        <v>1.1477826894618728</v>
      </c>
      <c r="AB167" s="23">
        <f>EXP(-LN(2)/2)*AB166+(1-EXP(-LN(2)/2))/(LN(2)/2)*V167*Y167*VLOOKUP('Données projet'!$B$9,Paramètres!$A$1:$I$89,3,0)*0.475*44/12</f>
        <v>4.3356486087554565E-19</v>
      </c>
      <c r="AC167" s="24">
        <f t="shared" si="163"/>
        <v>7.3135030372479717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1.1368683772161603E-13</v>
      </c>
      <c r="AJ167" s="14">
        <f>AI167*VLOOKUP('Données projet'!$B$10,Paramètres!$A$1:$I$89,3,0)*VLOOKUP('Données projet'!$B$10,Paramètres!$A$1:$I$89,5,0)</f>
        <v>6.7984728957526396E-14</v>
      </c>
      <c r="AK167" s="14">
        <f t="shared" si="164"/>
        <v>1.0682447123141398E-12</v>
      </c>
      <c r="AL167" s="22">
        <f t="shared" si="165"/>
        <v>1.978932943548152E-12</v>
      </c>
      <c r="AM167" s="62">
        <f t="shared" si="113"/>
        <v>293.3333333333353</v>
      </c>
      <c r="AN167" s="62">
        <f ca="1">AVERAGE(OFFSET($AM$3,0,0,'Données projet'!$E$10+1,1))-AVERAGE(OFFSET($H$3,0,0,'Données projet'!$E$10+1,1))</f>
        <v>187.13674266165236</v>
      </c>
      <c r="AO167" s="62">
        <f t="shared" si="144"/>
        <v>439.28159165815276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6.1657203477860989</v>
      </c>
      <c r="AV167" s="23">
        <f>EXP(-LN(2)/25)*AV166+(1-EXP(-LN(2)/25))/(LN(2)/25)*Calculateur!AQ167*Calculateur!AS167*VLOOKUP('Données projet'!$B$10,Paramètres!$A$1:$I$89,3,0)*0.475*44/12</f>
        <v>1.1477826894618728</v>
      </c>
      <c r="AW167" s="23">
        <f>EXP(-LN(2)/2)*AW166+(1-EXP(-LN(2)/2))/(LN(2)/2)*AQ167*AT167*VLOOKUP('Données projet'!$B$10,Paramètres!$A$1:$I$89,3,0)*0.475*44/12</f>
        <v>4.3356486087554565E-19</v>
      </c>
      <c r="AX167" s="23">
        <f t="shared" si="166"/>
        <v>7.3135030372479717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-5.6843418860808015E-14</v>
      </c>
      <c r="BE167" s="14">
        <f>BD167*VLOOKUP('Données projet'!$B$11,Paramètres!$A$1:$I$89,3,0)*VLOOKUP('Données projet'!$B$11,Paramètres!$A$1:$I$89,5,0)</f>
        <v>-5.1431925385259088E-14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366.86025470473652</v>
      </c>
      <c r="BJ167" s="62">
        <f t="shared" si="146"/>
        <v>513.80016421153414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0.15444708303204677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0.15444708303204677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187.13674266165236</v>
      </c>
      <c r="T168" s="62">
        <f t="shared" si="142"/>
        <v>439.28159165815276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6.0448143324840853</v>
      </c>
      <c r="AA168" s="23">
        <f>EXP(-LN(2)/25)*AA167+(1-EXP(-LN(2)/25))/(LN(2)/25)*Calculateur!V168*Calculateur!X168*VLOOKUP('Données projet'!$B$9,Paramètres!$A$1:$I$89,3,0)*0.475*44/12</f>
        <v>1.1163965114592695</v>
      </c>
      <c r="AB168" s="23">
        <f>EXP(-LN(2)/2)*AB167+(1-EXP(-LN(2)/2))/(LN(2)/2)*V168*Y168*VLOOKUP('Données projet'!$B$9,Paramètres!$A$1:$I$89,3,0)*0.475*44/12</f>
        <v>3.065766532093004E-19</v>
      </c>
      <c r="AC168" s="24">
        <f t="shared" si="163"/>
        <v>7.1612108439433548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1.1368683772161603E-13</v>
      </c>
      <c r="AJ168" s="14">
        <f>AI168*VLOOKUP('Données projet'!$B$10,Paramètres!$A$1:$I$89,3,0)*VLOOKUP('Données projet'!$B$10,Paramètres!$A$1:$I$89,5,0)</f>
        <v>6.7984728957526396E-14</v>
      </c>
      <c r="AK168" s="14">
        <f t="shared" si="164"/>
        <v>1.0682447123141398E-12</v>
      </c>
      <c r="AL168" s="22">
        <f t="shared" si="165"/>
        <v>1.978932943548152E-12</v>
      </c>
      <c r="AM168" s="62">
        <f t="shared" si="113"/>
        <v>293.3333333333353</v>
      </c>
      <c r="AN168" s="62">
        <f ca="1">AVERAGE(OFFSET($AM$3,0,0,'Données projet'!$E$10+1,1))-AVERAGE(OFFSET($H$3,0,0,'Données projet'!$E$10+1,1))</f>
        <v>187.13674266165236</v>
      </c>
      <c r="AO168" s="62">
        <f t="shared" si="144"/>
        <v>439.28159165815276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6.0448143324840853</v>
      </c>
      <c r="AV168" s="23">
        <f>EXP(-LN(2)/25)*AV167+(1-EXP(-LN(2)/25))/(LN(2)/25)*Calculateur!AQ168*Calculateur!AS168*VLOOKUP('Données projet'!$B$10,Paramètres!$A$1:$I$89,3,0)*0.475*44/12</f>
        <v>1.1163965114592695</v>
      </c>
      <c r="AW168" s="23">
        <f>EXP(-LN(2)/2)*AW167+(1-EXP(-LN(2)/2))/(LN(2)/2)*AQ168*AT168*VLOOKUP('Données projet'!$B$10,Paramètres!$A$1:$I$89,3,0)*0.475*44/12</f>
        <v>3.065766532093004E-19</v>
      </c>
      <c r="AX168" s="23">
        <f t="shared" si="166"/>
        <v>7.1612108439433548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-5.6843418860808015E-14</v>
      </c>
      <c r="BE168" s="14">
        <f>BD168*VLOOKUP('Données projet'!$B$11,Paramètres!$A$1:$I$89,3,0)*VLOOKUP('Données projet'!$B$11,Paramètres!$A$1:$I$89,5,0)</f>
        <v>-5.1431925385259088E-14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366.86025470473652</v>
      </c>
      <c r="BJ168" s="62">
        <f t="shared" si="146"/>
        <v>513.80016421153414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0.15141846993720717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0.15141846993720717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187.13674266165236</v>
      </c>
      <c r="T169" s="62">
        <f t="shared" si="142"/>
        <v>439.28159165815276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5.926279210396757</v>
      </c>
      <c r="AA169" s="23">
        <f>EXP(-LN(2)/25)*AA168+(1-EXP(-LN(2)/25))/(LN(2)/25)*Calculateur!V169*Calculateur!X169*VLOOKUP('Données projet'!$B$9,Paramètres!$A$1:$I$89,3,0)*0.475*44/12</f>
        <v>1.0858685901446747</v>
      </c>
      <c r="AB169" s="23">
        <f>EXP(-LN(2)/2)*AB168+(1-EXP(-LN(2)/2))/(LN(2)/2)*V169*Y169*VLOOKUP('Données projet'!$B$9,Paramètres!$A$1:$I$89,3,0)*0.475*44/12</f>
        <v>2.1678243043777285E-19</v>
      </c>
      <c r="AC169" s="24">
        <f t="shared" si="163"/>
        <v>7.0121478005414319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1.1368683772161603E-13</v>
      </c>
      <c r="AJ169" s="14">
        <f>AI169*VLOOKUP('Données projet'!$B$10,Paramètres!$A$1:$I$89,3,0)*VLOOKUP('Données projet'!$B$10,Paramètres!$A$1:$I$89,5,0)</f>
        <v>6.7984728957526396E-14</v>
      </c>
      <c r="AK169" s="14">
        <f t="shared" si="164"/>
        <v>1.0682447123141398E-12</v>
      </c>
      <c r="AL169" s="22">
        <f t="shared" si="165"/>
        <v>1.978932943548152E-12</v>
      </c>
      <c r="AM169" s="62">
        <f t="shared" si="113"/>
        <v>293.3333333333353</v>
      </c>
      <c r="AN169" s="62">
        <f ca="1">AVERAGE(OFFSET($AM$3,0,0,'Données projet'!$E$10+1,1))-AVERAGE(OFFSET($H$3,0,0,'Données projet'!$E$10+1,1))</f>
        <v>187.13674266165236</v>
      </c>
      <c r="AO169" s="62">
        <f t="shared" si="144"/>
        <v>439.28159165815276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5.926279210396757</v>
      </c>
      <c r="AV169" s="23">
        <f>EXP(-LN(2)/25)*AV168+(1-EXP(-LN(2)/25))/(LN(2)/25)*Calculateur!AQ169*Calculateur!AS169*VLOOKUP('Données projet'!$B$10,Paramètres!$A$1:$I$89,3,0)*0.475*44/12</f>
        <v>1.0858685901446747</v>
      </c>
      <c r="AW169" s="23">
        <f>EXP(-LN(2)/2)*AW168+(1-EXP(-LN(2)/2))/(LN(2)/2)*AQ169*AT169*VLOOKUP('Données projet'!$B$10,Paramètres!$A$1:$I$89,3,0)*0.475*44/12</f>
        <v>2.1678243043777285E-19</v>
      </c>
      <c r="AX169" s="23">
        <f t="shared" si="166"/>
        <v>7.0121478005414319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-5.6843418860808015E-14</v>
      </c>
      <c r="BE169" s="14">
        <f>BD169*VLOOKUP('Données projet'!$B$11,Paramètres!$A$1:$I$89,3,0)*VLOOKUP('Données projet'!$B$11,Paramètres!$A$1:$I$89,5,0)</f>
        <v>-5.1431925385259088E-14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366.86025470473652</v>
      </c>
      <c r="BJ169" s="62">
        <f t="shared" si="146"/>
        <v>513.80016421153414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0.14844924609788579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0.14844924609788579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187.13674266165236</v>
      </c>
      <c r="T170" s="62">
        <f t="shared" si="142"/>
        <v>439.28159165815276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5.8100684897542756</v>
      </c>
      <c r="AA170" s="23">
        <f>EXP(-LN(2)/25)*AA169+(1-EXP(-LN(2)/25))/(LN(2)/25)*Calculateur!V170*Calculateur!X170*VLOOKUP('Données projet'!$B$9,Paramètres!$A$1:$I$89,3,0)*0.475*44/12</f>
        <v>1.0561754564438213</v>
      </c>
      <c r="AB170" s="23">
        <f>EXP(-LN(2)/2)*AB169+(1-EXP(-LN(2)/2))/(LN(2)/2)*V170*Y170*VLOOKUP('Données projet'!$B$9,Paramètres!$A$1:$I$89,3,0)*0.475*44/12</f>
        <v>1.5328832660465022E-19</v>
      </c>
      <c r="AC170" s="24">
        <f t="shared" si="163"/>
        <v>6.8662439461980966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1.1368683772161603E-13</v>
      </c>
      <c r="AJ170" s="14">
        <f>AI170*VLOOKUP('Données projet'!$B$10,Paramètres!$A$1:$I$89,3,0)*VLOOKUP('Données projet'!$B$10,Paramètres!$A$1:$I$89,5,0)</f>
        <v>6.7984728957526396E-14</v>
      </c>
      <c r="AK170" s="14">
        <f t="shared" si="164"/>
        <v>1.0682447123141398E-12</v>
      </c>
      <c r="AL170" s="22">
        <f t="shared" si="165"/>
        <v>1.978932943548152E-12</v>
      </c>
      <c r="AM170" s="62">
        <f t="shared" si="113"/>
        <v>293.3333333333353</v>
      </c>
      <c r="AN170" s="62">
        <f ca="1">AVERAGE(OFFSET($AM$3,0,0,'Données projet'!$E$10+1,1))-AVERAGE(OFFSET($H$3,0,0,'Données projet'!$E$10+1,1))</f>
        <v>187.13674266165236</v>
      </c>
      <c r="AO170" s="62">
        <f t="shared" si="144"/>
        <v>439.28159165815276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5.8100684897542756</v>
      </c>
      <c r="AV170" s="23">
        <f>EXP(-LN(2)/25)*AV169+(1-EXP(-LN(2)/25))/(LN(2)/25)*Calculateur!AQ170*Calculateur!AS170*VLOOKUP('Données projet'!$B$10,Paramètres!$A$1:$I$89,3,0)*0.475*44/12</f>
        <v>1.0561754564438213</v>
      </c>
      <c r="AW170" s="23">
        <f>EXP(-LN(2)/2)*AW169+(1-EXP(-LN(2)/2))/(LN(2)/2)*AQ170*AT170*VLOOKUP('Données projet'!$B$10,Paramètres!$A$1:$I$89,3,0)*0.475*44/12</f>
        <v>1.5328832660465022E-19</v>
      </c>
      <c r="AX170" s="23">
        <f t="shared" si="166"/>
        <v>6.8662439461980966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-5.6843418860808015E-14</v>
      </c>
      <c r="BE170" s="14">
        <f>BD170*VLOOKUP('Données projet'!$B$11,Paramètres!$A$1:$I$89,3,0)*VLOOKUP('Données projet'!$B$11,Paramètres!$A$1:$I$89,5,0)</f>
        <v>-5.1431925385259088E-14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366.86025470473652</v>
      </c>
      <c r="BJ170" s="62">
        <f t="shared" si="146"/>
        <v>513.80016421153414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0.14553824692700579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0.14553824692700579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187.13674266165236</v>
      </c>
      <c r="T171" s="62">
        <f t="shared" si="142"/>
        <v>439.28159165815276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5.6961365904620527</v>
      </c>
      <c r="AA171" s="23">
        <f>EXP(-LN(2)/25)*AA170+(1-EXP(-LN(2)/25))/(LN(2)/25)*Calculateur!V171*Calculateur!X171*VLOOKUP('Données projet'!$B$9,Paramètres!$A$1:$I$89,3,0)*0.475*44/12</f>
        <v>1.0272942830455116</v>
      </c>
      <c r="AB171" s="23">
        <f>EXP(-LN(2)/2)*AB170+(1-EXP(-LN(2)/2))/(LN(2)/2)*V171*Y171*VLOOKUP('Données projet'!$B$9,Paramètres!$A$1:$I$89,3,0)*0.475*44/12</f>
        <v>1.0839121521888645E-19</v>
      </c>
      <c r="AC171" s="24">
        <f t="shared" si="163"/>
        <v>6.7234308735075645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1.1368683772161603E-13</v>
      </c>
      <c r="AJ171" s="14">
        <f>AI171*VLOOKUP('Données projet'!$B$10,Paramètres!$A$1:$I$89,3,0)*VLOOKUP('Données projet'!$B$10,Paramètres!$A$1:$I$89,5,0)</f>
        <v>6.7984728957526396E-14</v>
      </c>
      <c r="AK171" s="14">
        <f t="shared" si="164"/>
        <v>1.0682447123141398E-12</v>
      </c>
      <c r="AL171" s="22">
        <f t="shared" si="165"/>
        <v>1.978932943548152E-12</v>
      </c>
      <c r="AM171" s="62">
        <f t="shared" si="113"/>
        <v>293.3333333333353</v>
      </c>
      <c r="AN171" s="62">
        <f ca="1">AVERAGE(OFFSET($AM$3,0,0,'Données projet'!$E$10+1,1))-AVERAGE(OFFSET($H$3,0,0,'Données projet'!$E$10+1,1))</f>
        <v>187.13674266165236</v>
      </c>
      <c r="AO171" s="62">
        <f t="shared" si="144"/>
        <v>439.28159165815276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5.6961365904620527</v>
      </c>
      <c r="AV171" s="23">
        <f>EXP(-LN(2)/25)*AV170+(1-EXP(-LN(2)/25))/(LN(2)/25)*Calculateur!AQ171*Calculateur!AS171*VLOOKUP('Données projet'!$B$10,Paramètres!$A$1:$I$89,3,0)*0.475*44/12</f>
        <v>1.0272942830455116</v>
      </c>
      <c r="AW171" s="23">
        <f>EXP(-LN(2)/2)*AW170+(1-EXP(-LN(2)/2))/(LN(2)/2)*AQ171*AT171*VLOOKUP('Données projet'!$B$10,Paramètres!$A$1:$I$89,3,0)*0.475*44/12</f>
        <v>1.0839121521888645E-19</v>
      </c>
      <c r="AX171" s="23">
        <f t="shared" si="166"/>
        <v>6.7234308735075645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-5.6843418860808015E-14</v>
      </c>
      <c r="BE171" s="14">
        <f>BD171*VLOOKUP('Données projet'!$B$11,Paramètres!$A$1:$I$89,3,0)*VLOOKUP('Données projet'!$B$11,Paramètres!$A$1:$I$89,5,0)</f>
        <v>-5.1431925385259088E-14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366.86025470473652</v>
      </c>
      <c r="BJ171" s="62">
        <f t="shared" si="146"/>
        <v>513.80016421153414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0.14268433067433256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0.14268433067433256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187.13674266165236</v>
      </c>
      <c r="T172" s="62">
        <f t="shared" si="142"/>
        <v>439.28159165815276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5.5844388262233533</v>
      </c>
      <c r="AA172" s="23">
        <f>EXP(-LN(2)/25)*AA171+(1-EXP(-LN(2)/25))/(LN(2)/25)*Calculateur!V172*Calculateur!X172*VLOOKUP('Données projet'!$B$9,Paramètres!$A$1:$I$89,3,0)*0.475*44/12</f>
        <v>0.99920286685257365</v>
      </c>
      <c r="AB172" s="23">
        <f>EXP(-LN(2)/2)*AB171+(1-EXP(-LN(2)/2))/(LN(2)/2)*V172*Y172*VLOOKUP('Données projet'!$B$9,Paramètres!$A$1:$I$89,3,0)*0.475*44/12</f>
        <v>7.6644163302325124E-20</v>
      </c>
      <c r="AC172" s="24">
        <f t="shared" si="163"/>
        <v>6.5836416930759274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1.1368683772161603E-13</v>
      </c>
      <c r="AJ172" s="14">
        <f>AI172*VLOOKUP('Données projet'!$B$10,Paramètres!$A$1:$I$89,3,0)*VLOOKUP('Données projet'!$B$10,Paramètres!$A$1:$I$89,5,0)</f>
        <v>6.7984728957526396E-14</v>
      </c>
      <c r="AK172" s="14">
        <f t="shared" si="164"/>
        <v>1.0682447123141398E-12</v>
      </c>
      <c r="AL172" s="22">
        <f t="shared" si="165"/>
        <v>1.978932943548152E-12</v>
      </c>
      <c r="AM172" s="62">
        <f t="shared" si="113"/>
        <v>293.3333333333353</v>
      </c>
      <c r="AN172" s="62">
        <f ca="1">AVERAGE(OFFSET($AM$3,0,0,'Données projet'!$E$10+1,1))-AVERAGE(OFFSET($H$3,0,0,'Données projet'!$E$10+1,1))</f>
        <v>187.13674266165236</v>
      </c>
      <c r="AO172" s="62">
        <f t="shared" si="144"/>
        <v>439.28159165815276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5.5844388262233533</v>
      </c>
      <c r="AV172" s="23">
        <f>EXP(-LN(2)/25)*AV171+(1-EXP(-LN(2)/25))/(LN(2)/25)*Calculateur!AQ172*Calculateur!AS172*VLOOKUP('Données projet'!$B$10,Paramètres!$A$1:$I$89,3,0)*0.475*44/12</f>
        <v>0.99920286685257365</v>
      </c>
      <c r="AW172" s="23">
        <f>EXP(-LN(2)/2)*AW171+(1-EXP(-LN(2)/2))/(LN(2)/2)*AQ172*AT172*VLOOKUP('Données projet'!$B$10,Paramètres!$A$1:$I$89,3,0)*0.475*44/12</f>
        <v>7.6644163302325124E-20</v>
      </c>
      <c r="AX172" s="23">
        <f t="shared" si="166"/>
        <v>6.5836416930759274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-5.6843418860808015E-14</v>
      </c>
      <c r="BE172" s="14">
        <f>BD172*VLOOKUP('Données projet'!$B$11,Paramètres!$A$1:$I$89,3,0)*VLOOKUP('Données projet'!$B$11,Paramètres!$A$1:$I$89,5,0)</f>
        <v>-5.1431925385259088E-14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366.86025470473652</v>
      </c>
      <c r="BJ172" s="62">
        <f t="shared" si="146"/>
        <v>513.80016421153414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0.13988637797865722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0.13988637797865722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187.13674266165236</v>
      </c>
      <c r="T173" s="62">
        <f t="shared" si="142"/>
        <v>439.28159165815276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5.4749313870124663</v>
      </c>
      <c r="AA173" s="23">
        <f>EXP(-LN(2)/25)*AA172+(1-EXP(-LN(2)/25))/(LN(2)/25)*Calculateur!V173*Calculateur!X173*VLOOKUP('Données projet'!$B$9,Paramètres!$A$1:$I$89,3,0)*0.475*44/12</f>
        <v>0.97187961191269501</v>
      </c>
      <c r="AB173" s="23">
        <f>EXP(-LN(2)/2)*AB172+(1-EXP(-LN(2)/2))/(LN(2)/2)*V173*Y173*VLOOKUP('Données projet'!$B$9,Paramètres!$A$1:$I$89,3,0)*0.475*44/12</f>
        <v>5.419560760944323E-20</v>
      </c>
      <c r="AC173" s="24">
        <f t="shared" si="163"/>
        <v>6.4468109989251614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1.1368683772161603E-13</v>
      </c>
      <c r="AJ173" s="14">
        <f>AI173*VLOOKUP('Données projet'!$B$10,Paramètres!$A$1:$I$89,3,0)*VLOOKUP('Données projet'!$B$10,Paramètres!$A$1:$I$89,5,0)</f>
        <v>6.7984728957526396E-14</v>
      </c>
      <c r="AK173" s="14">
        <f t="shared" si="164"/>
        <v>1.0682447123141398E-12</v>
      </c>
      <c r="AL173" s="22">
        <f t="shared" si="165"/>
        <v>1.978932943548152E-12</v>
      </c>
      <c r="AM173" s="62">
        <f t="shared" si="113"/>
        <v>293.3333333333353</v>
      </c>
      <c r="AN173" s="62">
        <f ca="1">AVERAGE(OFFSET($AM$3,0,0,'Données projet'!$E$10+1,1))-AVERAGE(OFFSET($H$3,0,0,'Données projet'!$E$10+1,1))</f>
        <v>187.13674266165236</v>
      </c>
      <c r="AO173" s="62">
        <f t="shared" si="144"/>
        <v>439.28159165815276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5.4749313870124663</v>
      </c>
      <c r="AV173" s="23">
        <f>EXP(-LN(2)/25)*AV172+(1-EXP(-LN(2)/25))/(LN(2)/25)*Calculateur!AQ173*Calculateur!AS173*VLOOKUP('Données projet'!$B$10,Paramètres!$A$1:$I$89,3,0)*0.475*44/12</f>
        <v>0.97187961191269501</v>
      </c>
      <c r="AW173" s="23">
        <f>EXP(-LN(2)/2)*AW172+(1-EXP(-LN(2)/2))/(LN(2)/2)*AQ173*AT173*VLOOKUP('Données projet'!$B$10,Paramètres!$A$1:$I$89,3,0)*0.475*44/12</f>
        <v>5.419560760944323E-20</v>
      </c>
      <c r="AX173" s="23">
        <f t="shared" si="166"/>
        <v>6.4468109989251614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-5.6843418860808015E-14</v>
      </c>
      <c r="BE173" s="14">
        <f>BD173*VLOOKUP('Données projet'!$B$11,Paramètres!$A$1:$I$89,3,0)*VLOOKUP('Données projet'!$B$11,Paramètres!$A$1:$I$89,5,0)</f>
        <v>-5.1431925385259088E-14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366.86025470473652</v>
      </c>
      <c r="BJ173" s="62">
        <f t="shared" si="146"/>
        <v>513.80016421153414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0.13714329142876144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0.13714329142876144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187.13674266165236</v>
      </c>
      <c r="T174" s="62">
        <f t="shared" si="142"/>
        <v>439.28159165815276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5.3675713218915613</v>
      </c>
      <c r="AA174" s="23">
        <f>EXP(-LN(2)/25)*AA173+(1-EXP(-LN(2)/25))/(LN(2)/25)*Calculateur!V174*Calculateur!X174*VLOOKUP('Données projet'!$B$9,Paramètres!$A$1:$I$89,3,0)*0.475*44/12</f>
        <v>0.94530351281601488</v>
      </c>
      <c r="AB174" s="23">
        <f>EXP(-LN(2)/2)*AB173+(1-EXP(-LN(2)/2))/(LN(2)/2)*V174*Y174*VLOOKUP('Données projet'!$B$9,Paramètres!$A$1:$I$89,3,0)*0.475*44/12</f>
        <v>3.8322081651162568E-20</v>
      </c>
      <c r="AC174" s="24">
        <f t="shared" si="163"/>
        <v>6.3128748347075758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1.1368683772161603E-13</v>
      </c>
      <c r="AJ174" s="14">
        <f>AI174*VLOOKUP('Données projet'!$B$10,Paramètres!$A$1:$I$89,3,0)*VLOOKUP('Données projet'!$B$10,Paramètres!$A$1:$I$89,5,0)</f>
        <v>6.7984728957526396E-14</v>
      </c>
      <c r="AK174" s="14">
        <f t="shared" si="164"/>
        <v>1.0682447123141398E-12</v>
      </c>
      <c r="AL174" s="22">
        <f t="shared" si="165"/>
        <v>1.978932943548152E-12</v>
      </c>
      <c r="AM174" s="62">
        <f t="shared" si="113"/>
        <v>293.3333333333353</v>
      </c>
      <c r="AN174" s="62">
        <f ca="1">AVERAGE(OFFSET($AM$3,0,0,'Données projet'!$E$10+1,1))-AVERAGE(OFFSET($H$3,0,0,'Données projet'!$E$10+1,1))</f>
        <v>187.13674266165236</v>
      </c>
      <c r="AO174" s="62">
        <f t="shared" si="144"/>
        <v>439.28159165815276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5.3675713218915613</v>
      </c>
      <c r="AV174" s="23">
        <f>EXP(-LN(2)/25)*AV173+(1-EXP(-LN(2)/25))/(LN(2)/25)*Calculateur!AQ174*Calculateur!AS174*VLOOKUP('Données projet'!$B$10,Paramètres!$A$1:$I$89,3,0)*0.475*44/12</f>
        <v>0.94530351281601488</v>
      </c>
      <c r="AW174" s="23">
        <f>EXP(-LN(2)/2)*AW173+(1-EXP(-LN(2)/2))/(LN(2)/2)*AQ174*AT174*VLOOKUP('Données projet'!$B$10,Paramètres!$A$1:$I$89,3,0)*0.475*44/12</f>
        <v>3.8322081651162568E-20</v>
      </c>
      <c r="AX174" s="23">
        <f t="shared" si="166"/>
        <v>6.3128748347075758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-5.6843418860808015E-14</v>
      </c>
      <c r="BE174" s="14">
        <f>BD174*VLOOKUP('Données projet'!$B$11,Paramètres!$A$1:$I$89,3,0)*VLOOKUP('Données projet'!$B$11,Paramètres!$A$1:$I$89,5,0)</f>
        <v>-5.1431925385259088E-14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366.86025470473652</v>
      </c>
      <c r="BJ174" s="62">
        <f t="shared" si="146"/>
        <v>513.80016421153414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0.13445399513299153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0.13445399513299153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187.13674266165236</v>
      </c>
      <c r="T175" s="62">
        <f t="shared" si="142"/>
        <v>439.28159165815276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5.2623165221645039</v>
      </c>
      <c r="AA175" s="23">
        <f>EXP(-LN(2)/25)*AA174+(1-EXP(-LN(2)/25))/(LN(2)/25)*Calculateur!V175*Calculateur!X175*VLOOKUP('Données projet'!$B$9,Paramètres!$A$1:$I$89,3,0)*0.475*44/12</f>
        <v>0.91945413854670976</v>
      </c>
      <c r="AB175" s="23">
        <f>EXP(-LN(2)/2)*AB174+(1-EXP(-LN(2)/2))/(LN(2)/2)*V175*Y175*VLOOKUP('Données projet'!$B$9,Paramètres!$A$1:$I$89,3,0)*0.475*44/12</f>
        <v>2.7097803804721621E-20</v>
      </c>
      <c r="AC175" s="24">
        <f t="shared" si="163"/>
        <v>6.1817706607112139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1.1368683772161603E-13</v>
      </c>
      <c r="AJ175" s="14">
        <f>AI175*VLOOKUP('Données projet'!$B$10,Paramètres!$A$1:$I$89,3,0)*VLOOKUP('Données projet'!$B$10,Paramètres!$A$1:$I$89,5,0)</f>
        <v>6.7984728957526396E-14</v>
      </c>
      <c r="AK175" s="14">
        <f t="shared" si="164"/>
        <v>1.0682447123141398E-12</v>
      </c>
      <c r="AL175" s="22">
        <f t="shared" si="165"/>
        <v>1.978932943548152E-12</v>
      </c>
      <c r="AM175" s="62">
        <f t="shared" si="113"/>
        <v>293.3333333333353</v>
      </c>
      <c r="AN175" s="62">
        <f ca="1">AVERAGE(OFFSET($AM$3,0,0,'Données projet'!$E$10+1,1))-AVERAGE(OFFSET($H$3,0,0,'Données projet'!$E$10+1,1))</f>
        <v>187.13674266165236</v>
      </c>
      <c r="AO175" s="62">
        <f t="shared" si="144"/>
        <v>439.28159165815276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5.2623165221645039</v>
      </c>
      <c r="AV175" s="23">
        <f>EXP(-LN(2)/25)*AV174+(1-EXP(-LN(2)/25))/(LN(2)/25)*Calculateur!AQ175*Calculateur!AS175*VLOOKUP('Données projet'!$B$10,Paramètres!$A$1:$I$89,3,0)*0.475*44/12</f>
        <v>0.91945413854670976</v>
      </c>
      <c r="AW175" s="23">
        <f>EXP(-LN(2)/2)*AW174+(1-EXP(-LN(2)/2))/(LN(2)/2)*AQ175*AT175*VLOOKUP('Données projet'!$B$10,Paramètres!$A$1:$I$89,3,0)*0.475*44/12</f>
        <v>2.7097803804721621E-20</v>
      </c>
      <c r="AX175" s="23">
        <f t="shared" si="166"/>
        <v>6.1817706607112139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-5.6843418860808015E-14</v>
      </c>
      <c r="BE175" s="14">
        <f>BD175*VLOOKUP('Données projet'!$B$11,Paramètres!$A$1:$I$89,3,0)*VLOOKUP('Données projet'!$B$11,Paramètres!$A$1:$I$89,5,0)</f>
        <v>-5.1431925385259088E-14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366.86025470473652</v>
      </c>
      <c r="BJ175" s="62">
        <f t="shared" si="146"/>
        <v>513.80016421153414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0.13181743429727288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0.13181743429727288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187.13674266165236</v>
      </c>
      <c r="T176" s="62">
        <f t="shared" si="142"/>
        <v>439.28159165815276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5.1591257048610055</v>
      </c>
      <c r="AA176" s="23">
        <f>EXP(-LN(2)/25)*AA175+(1-EXP(-LN(2)/25))/(LN(2)/25)*Calculateur!V176*Calculateur!X176*VLOOKUP('Données projet'!$B$9,Paramètres!$A$1:$I$89,3,0)*0.475*44/12</f>
        <v>0.89431161677615834</v>
      </c>
      <c r="AB176" s="23">
        <f>EXP(-LN(2)/2)*AB175+(1-EXP(-LN(2)/2))/(LN(2)/2)*V176*Y176*VLOOKUP('Données projet'!$B$9,Paramètres!$A$1:$I$89,3,0)*0.475*44/12</f>
        <v>1.9161040825581287E-20</v>
      </c>
      <c r="AC176" s="24">
        <f t="shared" si="163"/>
        <v>6.0534373216371637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1.1368683772161603E-13</v>
      </c>
      <c r="AJ176" s="14">
        <f>AI176*VLOOKUP('Données projet'!$B$10,Paramètres!$A$1:$I$89,3,0)*VLOOKUP('Données projet'!$B$10,Paramètres!$A$1:$I$89,5,0)</f>
        <v>6.7984728957526396E-14</v>
      </c>
      <c r="AK176" s="14">
        <f t="shared" si="164"/>
        <v>1.0682447123141398E-12</v>
      </c>
      <c r="AL176" s="22">
        <f t="shared" si="165"/>
        <v>1.978932943548152E-12</v>
      </c>
      <c r="AM176" s="62">
        <f t="shared" si="113"/>
        <v>293.3333333333353</v>
      </c>
      <c r="AN176" s="62">
        <f ca="1">AVERAGE(OFFSET($AM$3,0,0,'Données projet'!$E$10+1,1))-AVERAGE(OFFSET($H$3,0,0,'Données projet'!$E$10+1,1))</f>
        <v>187.13674266165236</v>
      </c>
      <c r="AO176" s="62">
        <f t="shared" si="144"/>
        <v>439.28159165815276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5.1591257048610055</v>
      </c>
      <c r="AV176" s="23">
        <f>EXP(-LN(2)/25)*AV175+(1-EXP(-LN(2)/25))/(LN(2)/25)*Calculateur!AQ176*Calculateur!AS176*VLOOKUP('Données projet'!$B$10,Paramètres!$A$1:$I$89,3,0)*0.475*44/12</f>
        <v>0.89431161677615834</v>
      </c>
      <c r="AW176" s="23">
        <f>EXP(-LN(2)/2)*AW175+(1-EXP(-LN(2)/2))/(LN(2)/2)*AQ176*AT176*VLOOKUP('Données projet'!$B$10,Paramètres!$A$1:$I$89,3,0)*0.475*44/12</f>
        <v>1.9161040825581287E-20</v>
      </c>
      <c r="AX176" s="23">
        <f t="shared" si="166"/>
        <v>6.0534373216371637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-5.6843418860808015E-14</v>
      </c>
      <c r="BE176" s="14">
        <f>BD176*VLOOKUP('Données projet'!$B$11,Paramètres!$A$1:$I$89,3,0)*VLOOKUP('Données projet'!$B$11,Paramètres!$A$1:$I$89,5,0)</f>
        <v>-5.1431925385259088E-14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366.86025470473652</v>
      </c>
      <c r="BJ176" s="62">
        <f t="shared" si="146"/>
        <v>513.80016421153414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0.12923257481139938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0.12923257481139938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187.13674266165236</v>
      </c>
      <c r="T177" s="62">
        <f t="shared" si="142"/>
        <v>439.28159165815276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5.0579583965446444</v>
      </c>
      <c r="AA177" s="23">
        <f>EXP(-LN(2)/25)*AA176+(1-EXP(-LN(2)/25))/(LN(2)/25)*Calculateur!V177*Calculateur!X177*VLOOKUP('Données projet'!$B$9,Paramètres!$A$1:$I$89,3,0)*0.475*44/12</f>
        <v>0.86985661858561036</v>
      </c>
      <c r="AB177" s="23">
        <f>EXP(-LN(2)/2)*AB176+(1-EXP(-LN(2)/2))/(LN(2)/2)*V177*Y177*VLOOKUP('Données projet'!$B$9,Paramètres!$A$1:$I$89,3,0)*0.475*44/12</f>
        <v>1.3548901902360812E-20</v>
      </c>
      <c r="AC177" s="24">
        <f t="shared" si="163"/>
        <v>5.9278150151302551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1.1368683772161603E-13</v>
      </c>
      <c r="AJ177" s="14">
        <f>AI177*VLOOKUP('Données projet'!$B$10,Paramètres!$A$1:$I$89,3,0)*VLOOKUP('Données projet'!$B$10,Paramètres!$A$1:$I$89,5,0)</f>
        <v>6.7984728957526396E-14</v>
      </c>
      <c r="AK177" s="14">
        <f t="shared" si="164"/>
        <v>1.0682447123141398E-12</v>
      </c>
      <c r="AL177" s="22">
        <f t="shared" si="165"/>
        <v>1.978932943548152E-12</v>
      </c>
      <c r="AM177" s="62">
        <f t="shared" si="113"/>
        <v>293.3333333333353</v>
      </c>
      <c r="AN177" s="62">
        <f ca="1">AVERAGE(OFFSET($AM$3,0,0,'Données projet'!$E$10+1,1))-AVERAGE(OFFSET($H$3,0,0,'Données projet'!$E$10+1,1))</f>
        <v>187.13674266165236</v>
      </c>
      <c r="AO177" s="62">
        <f t="shared" si="144"/>
        <v>439.28159165815276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5.0579583965446444</v>
      </c>
      <c r="AV177" s="23">
        <f>EXP(-LN(2)/25)*AV176+(1-EXP(-LN(2)/25))/(LN(2)/25)*Calculateur!AQ177*Calculateur!AS177*VLOOKUP('Données projet'!$B$10,Paramètres!$A$1:$I$89,3,0)*0.475*44/12</f>
        <v>0.86985661858561036</v>
      </c>
      <c r="AW177" s="23">
        <f>EXP(-LN(2)/2)*AW176+(1-EXP(-LN(2)/2))/(LN(2)/2)*AQ177*AT177*VLOOKUP('Données projet'!$B$10,Paramètres!$A$1:$I$89,3,0)*0.475*44/12</f>
        <v>1.3548901902360812E-20</v>
      </c>
      <c r="AX177" s="23">
        <f t="shared" si="166"/>
        <v>5.9278150151302551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-5.6843418860808015E-14</v>
      </c>
      <c r="BE177" s="14">
        <f>BD177*VLOOKUP('Données projet'!$B$11,Paramètres!$A$1:$I$89,3,0)*VLOOKUP('Données projet'!$B$11,Paramètres!$A$1:$I$89,5,0)</f>
        <v>-5.1431925385259088E-14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366.86025470473652</v>
      </c>
      <c r="BJ177" s="62">
        <f t="shared" si="146"/>
        <v>513.80016421153414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0.12669840284343525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0.12669840284343525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187.13674266165236</v>
      </c>
      <c r="T178" s="62">
        <f t="shared" si="142"/>
        <v>439.28159165815276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4.9587749174384026</v>
      </c>
      <c r="AA178" s="23">
        <f>EXP(-LN(2)/25)*AA177+(1-EXP(-LN(2)/25))/(LN(2)/25)*Calculateur!V178*Calculateur!X178*VLOOKUP('Données projet'!$B$9,Paramètres!$A$1:$I$89,3,0)*0.475*44/12</f>
        <v>0.84607034360661537</v>
      </c>
      <c r="AB178" s="23">
        <f>EXP(-LN(2)/2)*AB177+(1-EXP(-LN(2)/2))/(LN(2)/2)*V178*Y178*VLOOKUP('Données projet'!$B$9,Paramètres!$A$1:$I$89,3,0)*0.475*44/12</f>
        <v>9.580520412790645E-21</v>
      </c>
      <c r="AC178" s="24">
        <f t="shared" si="163"/>
        <v>5.8048452610450179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1.1368683772161603E-13</v>
      </c>
      <c r="AJ178" s="14">
        <f>AI178*VLOOKUP('Données projet'!$B$10,Paramètres!$A$1:$I$89,3,0)*VLOOKUP('Données projet'!$B$10,Paramètres!$A$1:$I$89,5,0)</f>
        <v>6.7984728957526396E-14</v>
      </c>
      <c r="AK178" s="14">
        <f t="shared" si="164"/>
        <v>1.0682447123141398E-12</v>
      </c>
      <c r="AL178" s="22">
        <f t="shared" si="165"/>
        <v>1.978932943548152E-12</v>
      </c>
      <c r="AM178" s="62">
        <f t="shared" si="113"/>
        <v>293.3333333333353</v>
      </c>
      <c r="AN178" s="62">
        <f ca="1">AVERAGE(OFFSET($AM$3,0,0,'Données projet'!$E$10+1,1))-AVERAGE(OFFSET($H$3,0,0,'Données projet'!$E$10+1,1))</f>
        <v>187.13674266165236</v>
      </c>
      <c r="AO178" s="62">
        <f t="shared" si="144"/>
        <v>439.28159165815276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4.9587749174384026</v>
      </c>
      <c r="AV178" s="23">
        <f>EXP(-LN(2)/25)*AV177+(1-EXP(-LN(2)/25))/(LN(2)/25)*Calculateur!AQ178*Calculateur!AS178*VLOOKUP('Données projet'!$B$10,Paramètres!$A$1:$I$89,3,0)*0.475*44/12</f>
        <v>0.84607034360661537</v>
      </c>
      <c r="AW178" s="23">
        <f>EXP(-LN(2)/2)*AW177+(1-EXP(-LN(2)/2))/(LN(2)/2)*AQ178*AT178*VLOOKUP('Données projet'!$B$10,Paramètres!$A$1:$I$89,3,0)*0.475*44/12</f>
        <v>9.580520412790645E-21</v>
      </c>
      <c r="AX178" s="23">
        <f t="shared" si="166"/>
        <v>5.8048452610450179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-5.6843418860808015E-14</v>
      </c>
      <c r="BE178" s="14">
        <f>BD178*VLOOKUP('Données projet'!$B$11,Paramètres!$A$1:$I$89,3,0)*VLOOKUP('Données projet'!$B$11,Paramètres!$A$1:$I$89,5,0)</f>
        <v>-5.1431925385259088E-14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366.86025470473652</v>
      </c>
      <c r="BJ178" s="62">
        <f t="shared" si="146"/>
        <v>513.80016421153414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0.12421392444207062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0.12421392444207062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187.13674266165236</v>
      </c>
      <c r="T179" s="62">
        <f t="shared" si="142"/>
        <v>439.28159165815276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4.8615363658614852</v>
      </c>
      <c r="AA179" s="23">
        <f>EXP(-LN(2)/25)*AA178+(1-EXP(-LN(2)/25))/(LN(2)/25)*Calculateur!V179*Calculateur!X179*VLOOKUP('Données projet'!$B$9,Paramètres!$A$1:$I$89,3,0)*0.475*44/12</f>
        <v>0.8229345055677868</v>
      </c>
      <c r="AB179" s="23">
        <f>EXP(-LN(2)/2)*AB178+(1-EXP(-LN(2)/2))/(LN(2)/2)*V179*Y179*VLOOKUP('Données projet'!$B$9,Paramètres!$A$1:$I$89,3,0)*0.475*44/12</f>
        <v>6.7744509511804067E-21</v>
      </c>
      <c r="AC179" s="24">
        <f t="shared" si="163"/>
        <v>5.684470871429272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1.1368683772161603E-13</v>
      </c>
      <c r="AJ179" s="14">
        <f>AI179*VLOOKUP('Données projet'!$B$10,Paramètres!$A$1:$I$89,3,0)*VLOOKUP('Données projet'!$B$10,Paramètres!$A$1:$I$89,5,0)</f>
        <v>6.7984728957526396E-14</v>
      </c>
      <c r="AK179" s="14">
        <f t="shared" si="164"/>
        <v>1.0682447123141398E-12</v>
      </c>
      <c r="AL179" s="22">
        <f t="shared" si="165"/>
        <v>1.978932943548152E-12</v>
      </c>
      <c r="AM179" s="62">
        <f t="shared" si="113"/>
        <v>293.3333333333353</v>
      </c>
      <c r="AN179" s="62">
        <f ca="1">AVERAGE(OFFSET($AM$3,0,0,'Données projet'!$E$10+1,1))-AVERAGE(OFFSET($H$3,0,0,'Données projet'!$E$10+1,1))</f>
        <v>187.13674266165236</v>
      </c>
      <c r="AO179" s="62">
        <f t="shared" si="144"/>
        <v>439.28159165815276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4.8615363658614852</v>
      </c>
      <c r="AV179" s="23">
        <f>EXP(-LN(2)/25)*AV178+(1-EXP(-LN(2)/25))/(LN(2)/25)*Calculateur!AQ179*Calculateur!AS179*VLOOKUP('Données projet'!$B$10,Paramètres!$A$1:$I$89,3,0)*0.475*44/12</f>
        <v>0.8229345055677868</v>
      </c>
      <c r="AW179" s="23">
        <f>EXP(-LN(2)/2)*AW178+(1-EXP(-LN(2)/2))/(LN(2)/2)*AQ179*AT179*VLOOKUP('Données projet'!$B$10,Paramètres!$A$1:$I$89,3,0)*0.475*44/12</f>
        <v>6.7744509511804067E-21</v>
      </c>
      <c r="AX179" s="23">
        <f t="shared" si="166"/>
        <v>5.684470871429272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-5.6843418860808015E-14</v>
      </c>
      <c r="BE179" s="14">
        <f>BD179*VLOOKUP('Données projet'!$B$11,Paramètres!$A$1:$I$89,3,0)*VLOOKUP('Données projet'!$B$11,Paramètres!$A$1:$I$89,5,0)</f>
        <v>-5.1431925385259088E-14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366.86025470473652</v>
      </c>
      <c r="BJ179" s="62">
        <f t="shared" si="146"/>
        <v>513.80016421153414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0.12177816514677454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0.12177816514677454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187.13674266165236</v>
      </c>
      <c r="T180" s="62">
        <f t="shared" si="142"/>
        <v>439.28159165815276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4.7662046029713308</v>
      </c>
      <c r="AA180" s="23">
        <f>EXP(-LN(2)/25)*AA179+(1-EXP(-LN(2)/25))/(LN(2)/25)*Calculateur!V180*Calculateur!X180*VLOOKUP('Données projet'!$B$9,Paramètres!$A$1:$I$89,3,0)*0.475*44/12</f>
        <v>0.80043131823679081</v>
      </c>
      <c r="AB180" s="23">
        <f>EXP(-LN(2)/2)*AB179+(1-EXP(-LN(2)/2))/(LN(2)/2)*V180*Y180*VLOOKUP('Données projet'!$B$9,Paramètres!$A$1:$I$89,3,0)*0.475*44/12</f>
        <v>4.7902602063953233E-21</v>
      </c>
      <c r="AC180" s="24">
        <f t="shared" si="163"/>
        <v>5.5666359212081211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1.1368683772161603E-13</v>
      </c>
      <c r="AJ180" s="14">
        <f>AI180*VLOOKUP('Données projet'!$B$10,Paramètres!$A$1:$I$89,3,0)*VLOOKUP('Données projet'!$B$10,Paramètres!$A$1:$I$89,5,0)</f>
        <v>6.7984728957526396E-14</v>
      </c>
      <c r="AK180" s="14">
        <f t="shared" si="164"/>
        <v>1.0682447123141398E-12</v>
      </c>
      <c r="AL180" s="22">
        <f t="shared" si="165"/>
        <v>1.978932943548152E-12</v>
      </c>
      <c r="AM180" s="62">
        <f t="shared" si="113"/>
        <v>293.3333333333353</v>
      </c>
      <c r="AN180" s="62">
        <f ca="1">AVERAGE(OFFSET($AM$3,0,0,'Données projet'!$E$10+1,1))-AVERAGE(OFFSET($H$3,0,0,'Données projet'!$E$10+1,1))</f>
        <v>187.13674266165236</v>
      </c>
      <c r="AO180" s="62">
        <f t="shared" si="144"/>
        <v>439.28159165815276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4.7662046029713308</v>
      </c>
      <c r="AV180" s="23">
        <f>EXP(-LN(2)/25)*AV179+(1-EXP(-LN(2)/25))/(LN(2)/25)*Calculateur!AQ180*Calculateur!AS180*VLOOKUP('Données projet'!$B$10,Paramètres!$A$1:$I$89,3,0)*0.475*44/12</f>
        <v>0.80043131823679081</v>
      </c>
      <c r="AW180" s="23">
        <f>EXP(-LN(2)/2)*AW179+(1-EXP(-LN(2)/2))/(LN(2)/2)*AQ180*AT180*VLOOKUP('Données projet'!$B$10,Paramètres!$A$1:$I$89,3,0)*0.475*44/12</f>
        <v>4.7902602063953233E-21</v>
      </c>
      <c r="AX180" s="23">
        <f t="shared" si="166"/>
        <v>5.5666359212081211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-5.6843418860808015E-14</v>
      </c>
      <c r="BE180" s="14">
        <f>BD180*VLOOKUP('Données projet'!$B$11,Paramètres!$A$1:$I$89,3,0)*VLOOKUP('Données projet'!$B$11,Paramètres!$A$1:$I$89,5,0)</f>
        <v>-5.1431925385259088E-14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366.86025470473652</v>
      </c>
      <c r="BJ180" s="62">
        <f t="shared" si="146"/>
        <v>513.80016421153414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0.11939016960559276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0.11939016960559276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187.13674266165236</v>
      </c>
      <c r="T181" s="62">
        <f t="shared" si="142"/>
        <v>439.28159165815276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4.6727422378048189</v>
      </c>
      <c r="AA181" s="23">
        <f>EXP(-LN(2)/25)*AA180+(1-EXP(-LN(2)/25))/(LN(2)/25)*Calculateur!V181*Calculateur!X181*VLOOKUP('Données projet'!$B$9,Paramètres!$A$1:$I$89,3,0)*0.475*44/12</f>
        <v>0.77854348174675214</v>
      </c>
      <c r="AB181" s="23">
        <f>EXP(-LN(2)/2)*AB180+(1-EXP(-LN(2)/2))/(LN(2)/2)*V181*Y181*VLOOKUP('Données projet'!$B$9,Paramètres!$A$1:$I$89,3,0)*0.475*44/12</f>
        <v>3.3872254755902041E-21</v>
      </c>
      <c r="AC181" s="24">
        <f t="shared" si="163"/>
        <v>5.4512857195515707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1.1368683772161603E-13</v>
      </c>
      <c r="AJ181" s="14">
        <f>AI181*VLOOKUP('Données projet'!$B$10,Paramètres!$A$1:$I$89,3,0)*VLOOKUP('Données projet'!$B$10,Paramètres!$A$1:$I$89,5,0)</f>
        <v>6.7984728957526396E-14</v>
      </c>
      <c r="AK181" s="14">
        <f t="shared" si="164"/>
        <v>1.0682447123141398E-12</v>
      </c>
      <c r="AL181" s="22">
        <f t="shared" si="165"/>
        <v>1.978932943548152E-12</v>
      </c>
      <c r="AM181" s="62">
        <f t="shared" si="113"/>
        <v>293.3333333333353</v>
      </c>
      <c r="AN181" s="62">
        <f ca="1">AVERAGE(OFFSET($AM$3,0,0,'Données projet'!$E$10+1,1))-AVERAGE(OFFSET($H$3,0,0,'Données projet'!$E$10+1,1))</f>
        <v>187.13674266165236</v>
      </c>
      <c r="AO181" s="62">
        <f t="shared" si="144"/>
        <v>439.28159165815276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4.6727422378048189</v>
      </c>
      <c r="AV181" s="23">
        <f>EXP(-LN(2)/25)*AV180+(1-EXP(-LN(2)/25))/(LN(2)/25)*Calculateur!AQ181*Calculateur!AS181*VLOOKUP('Données projet'!$B$10,Paramètres!$A$1:$I$89,3,0)*0.475*44/12</f>
        <v>0.77854348174675214</v>
      </c>
      <c r="AW181" s="23">
        <f>EXP(-LN(2)/2)*AW180+(1-EXP(-LN(2)/2))/(LN(2)/2)*AQ181*AT181*VLOOKUP('Données projet'!$B$10,Paramètres!$A$1:$I$89,3,0)*0.475*44/12</f>
        <v>3.3872254755902041E-21</v>
      </c>
      <c r="AX181" s="23">
        <f t="shared" si="166"/>
        <v>5.4512857195515707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-5.6843418860808015E-14</v>
      </c>
      <c r="BE181" s="14">
        <f>BD181*VLOOKUP('Données projet'!$B$11,Paramètres!$A$1:$I$89,3,0)*VLOOKUP('Données projet'!$B$11,Paramètres!$A$1:$I$89,5,0)</f>
        <v>-5.1431925385259088E-14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366.86025470473652</v>
      </c>
      <c r="BJ181" s="62">
        <f t="shared" si="146"/>
        <v>513.80016421153414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0.11704900120044009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0.11704900120044009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187.13674266165236</v>
      </c>
      <c r="T182" s="62">
        <f t="shared" si="142"/>
        <v>439.28159165815276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4.5811126126128086</v>
      </c>
      <c r="AA182" s="23">
        <f>EXP(-LN(2)/25)*AA181+(1-EXP(-LN(2)/25))/(LN(2)/25)*Calculateur!V182*Calculateur!X182*VLOOKUP('Données projet'!$B$9,Paramètres!$A$1:$I$89,3,0)*0.475*44/12</f>
        <v>0.75725416929656486</v>
      </c>
      <c r="AB182" s="23">
        <f>EXP(-LN(2)/2)*AB181+(1-EXP(-LN(2)/2))/(LN(2)/2)*V182*Y182*VLOOKUP('Données projet'!$B$9,Paramètres!$A$1:$I$89,3,0)*0.475*44/12</f>
        <v>2.395130103197662E-21</v>
      </c>
      <c r="AC182" s="24">
        <f t="shared" si="163"/>
        <v>5.3383667819093734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1.1368683772161603E-13</v>
      </c>
      <c r="AJ182" s="14">
        <f>AI182*VLOOKUP('Données projet'!$B$10,Paramètres!$A$1:$I$89,3,0)*VLOOKUP('Données projet'!$B$10,Paramètres!$A$1:$I$89,5,0)</f>
        <v>6.7984728957526396E-14</v>
      </c>
      <c r="AK182" s="14">
        <f t="shared" si="164"/>
        <v>1.0682447123141398E-12</v>
      </c>
      <c r="AL182" s="22">
        <f t="shared" si="165"/>
        <v>1.978932943548152E-12</v>
      </c>
      <c r="AM182" s="62">
        <f t="shared" si="113"/>
        <v>293.3333333333353</v>
      </c>
      <c r="AN182" s="62">
        <f ca="1">AVERAGE(OFFSET($AM$3,0,0,'Données projet'!$E$10+1,1))-AVERAGE(OFFSET($H$3,0,0,'Données projet'!$E$10+1,1))</f>
        <v>187.13674266165236</v>
      </c>
      <c r="AO182" s="62">
        <f t="shared" si="144"/>
        <v>439.28159165815276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4.5811126126128086</v>
      </c>
      <c r="AV182" s="23">
        <f>EXP(-LN(2)/25)*AV181+(1-EXP(-LN(2)/25))/(LN(2)/25)*Calculateur!AQ182*Calculateur!AS182*VLOOKUP('Données projet'!$B$10,Paramètres!$A$1:$I$89,3,0)*0.475*44/12</f>
        <v>0.75725416929656486</v>
      </c>
      <c r="AW182" s="23">
        <f>EXP(-LN(2)/2)*AW181+(1-EXP(-LN(2)/2))/(LN(2)/2)*AQ182*AT182*VLOOKUP('Données projet'!$B$10,Paramètres!$A$1:$I$89,3,0)*0.475*44/12</f>
        <v>2.395130103197662E-21</v>
      </c>
      <c r="AX182" s="23">
        <f t="shared" si="166"/>
        <v>5.3383667819093734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-5.6843418860808015E-14</v>
      </c>
      <c r="BE182" s="14">
        <f>BD182*VLOOKUP('Données projet'!$B$11,Paramètres!$A$1:$I$89,3,0)*VLOOKUP('Données projet'!$B$11,Paramètres!$A$1:$I$89,5,0)</f>
        <v>-5.1431925385259088E-14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366.86025470473652</v>
      </c>
      <c r="BJ182" s="62">
        <f t="shared" si="146"/>
        <v>513.80016421153414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0.11475374167974074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0.11475374167974074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187.13674266165236</v>
      </c>
      <c r="T183" s="62">
        <f t="shared" si="142"/>
        <v>439.28159165815276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4.4912797884822604</v>
      </c>
      <c r="AA183" s="23">
        <f>EXP(-LN(2)/25)*AA182+(1-EXP(-LN(2)/25))/(LN(2)/25)*Calculateur!V183*Calculateur!X183*VLOOKUP('Données projet'!$B$9,Paramètres!$A$1:$I$89,3,0)*0.475*44/12</f>
        <v>0.73654701421488422</v>
      </c>
      <c r="AB183" s="23">
        <f>EXP(-LN(2)/2)*AB182+(1-EXP(-LN(2)/2))/(LN(2)/2)*V183*Y183*VLOOKUP('Données projet'!$B$9,Paramètres!$A$1:$I$89,3,0)*0.475*44/12</f>
        <v>1.6936127377951022E-21</v>
      </c>
      <c r="AC183" s="24">
        <f t="shared" si="163"/>
        <v>5.2278268026971446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1.1368683772161603E-13</v>
      </c>
      <c r="AJ183" s="14">
        <f>AI183*VLOOKUP('Données projet'!$B$10,Paramètres!$A$1:$I$89,3,0)*VLOOKUP('Données projet'!$B$10,Paramètres!$A$1:$I$89,5,0)</f>
        <v>6.7984728957526396E-14</v>
      </c>
      <c r="AK183" s="14">
        <f t="shared" si="164"/>
        <v>1.0682447123141398E-12</v>
      </c>
      <c r="AL183" s="22">
        <f t="shared" si="165"/>
        <v>1.978932943548152E-12</v>
      </c>
      <c r="AM183" s="62">
        <f t="shared" si="113"/>
        <v>293.3333333333353</v>
      </c>
      <c r="AN183" s="62">
        <f ca="1">AVERAGE(OFFSET($AM$3,0,0,'Données projet'!$E$10+1,1))-AVERAGE(OFFSET($H$3,0,0,'Données projet'!$E$10+1,1))</f>
        <v>187.13674266165236</v>
      </c>
      <c r="AO183" s="62">
        <f t="shared" si="144"/>
        <v>439.28159165815276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4.4912797884822604</v>
      </c>
      <c r="AV183" s="23">
        <f>EXP(-LN(2)/25)*AV182+(1-EXP(-LN(2)/25))/(LN(2)/25)*Calculateur!AQ183*Calculateur!AS183*VLOOKUP('Données projet'!$B$10,Paramètres!$A$1:$I$89,3,0)*0.475*44/12</f>
        <v>0.73654701421488422</v>
      </c>
      <c r="AW183" s="23">
        <f>EXP(-LN(2)/2)*AW182+(1-EXP(-LN(2)/2))/(LN(2)/2)*AQ183*AT183*VLOOKUP('Données projet'!$B$10,Paramètres!$A$1:$I$89,3,0)*0.475*44/12</f>
        <v>1.6936127377951022E-21</v>
      </c>
      <c r="AX183" s="23">
        <f t="shared" si="166"/>
        <v>5.2278268026971446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-5.6843418860808015E-14</v>
      </c>
      <c r="BE183" s="14">
        <f>BD183*VLOOKUP('Données projet'!$B$11,Paramètres!$A$1:$I$89,3,0)*VLOOKUP('Données projet'!$B$11,Paramètres!$A$1:$I$89,5,0)</f>
        <v>-5.1431925385259088E-14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366.86025470473652</v>
      </c>
      <c r="BJ183" s="62">
        <f t="shared" si="146"/>
        <v>513.80016421153414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0.11250349079827222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0.11250349079827222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187.13674266165236</v>
      </c>
      <c r="T184" s="62">
        <f t="shared" si="142"/>
        <v>439.28159165815276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4.4032085312403</v>
      </c>
      <c r="AA184" s="23">
        <f>EXP(-LN(2)/25)*AA183+(1-EXP(-LN(2)/25))/(LN(2)/25)*Calculateur!V184*Calculateur!X184*VLOOKUP('Données projet'!$B$9,Paramètres!$A$1:$I$89,3,0)*0.475*44/12</f>
        <v>0.7164060973778541</v>
      </c>
      <c r="AB184" s="23">
        <f>EXP(-LN(2)/2)*AB183+(1-EXP(-LN(2)/2))/(LN(2)/2)*V184*Y184*VLOOKUP('Données projet'!$B$9,Paramètres!$A$1:$I$89,3,0)*0.475*44/12</f>
        <v>1.1975650515988312E-21</v>
      </c>
      <c r="AC184" s="24">
        <f t="shared" si="163"/>
        <v>5.1196146286181543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1.1368683772161603E-13</v>
      </c>
      <c r="AJ184" s="14">
        <f>AI184*VLOOKUP('Données projet'!$B$10,Paramètres!$A$1:$I$89,3,0)*VLOOKUP('Données projet'!$B$10,Paramètres!$A$1:$I$89,5,0)</f>
        <v>6.7984728957526396E-14</v>
      </c>
      <c r="AK184" s="14">
        <f t="shared" si="164"/>
        <v>1.0682447123141398E-12</v>
      </c>
      <c r="AL184" s="22">
        <f t="shared" si="165"/>
        <v>1.978932943548152E-12</v>
      </c>
      <c r="AM184" s="62">
        <f t="shared" si="113"/>
        <v>293.3333333333353</v>
      </c>
      <c r="AN184" s="62">
        <f ca="1">AVERAGE(OFFSET($AM$3,0,0,'Données projet'!$E$10+1,1))-AVERAGE(OFFSET($H$3,0,0,'Données projet'!$E$10+1,1))</f>
        <v>187.13674266165236</v>
      </c>
      <c r="AO184" s="62">
        <f t="shared" si="144"/>
        <v>439.28159165815276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4.4032085312403</v>
      </c>
      <c r="AV184" s="23">
        <f>EXP(-LN(2)/25)*AV183+(1-EXP(-LN(2)/25))/(LN(2)/25)*Calculateur!AQ184*Calculateur!AS184*VLOOKUP('Données projet'!$B$10,Paramètres!$A$1:$I$89,3,0)*0.475*44/12</f>
        <v>0.7164060973778541</v>
      </c>
      <c r="AW184" s="23">
        <f>EXP(-LN(2)/2)*AW183+(1-EXP(-LN(2)/2))/(LN(2)/2)*AQ184*AT184*VLOOKUP('Données projet'!$B$10,Paramètres!$A$1:$I$89,3,0)*0.475*44/12</f>
        <v>1.1975650515988312E-21</v>
      </c>
      <c r="AX184" s="23">
        <f t="shared" si="166"/>
        <v>5.1196146286181543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-5.6843418860808015E-14</v>
      </c>
      <c r="BE184" s="14">
        <f>BD184*VLOOKUP('Données projet'!$B$11,Paramètres!$A$1:$I$89,3,0)*VLOOKUP('Données projet'!$B$11,Paramètres!$A$1:$I$89,5,0)</f>
        <v>-5.1431925385259088E-14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366.86025470473652</v>
      </c>
      <c r="BJ184" s="62">
        <f t="shared" si="146"/>
        <v>513.80016421153414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0.11029736596407179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0.11029736596407179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187.13674266165236</v>
      </c>
      <c r="T185" s="62">
        <f t="shared" si="142"/>
        <v>439.28159165815276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4.3168642976346918</v>
      </c>
      <c r="AA185" s="23">
        <f>EXP(-LN(2)/25)*AA184+(1-EXP(-LN(2)/25))/(LN(2)/25)*Calculateur!V185*Calculateur!X185*VLOOKUP('Données projet'!$B$9,Paramètres!$A$1:$I$89,3,0)*0.475*44/12</f>
        <v>0.69681593497089733</v>
      </c>
      <c r="AB185" s="23">
        <f>EXP(-LN(2)/2)*AB184+(1-EXP(-LN(2)/2))/(LN(2)/2)*V185*Y185*VLOOKUP('Données projet'!$B$9,Paramètres!$A$1:$I$89,3,0)*0.475*44/12</f>
        <v>8.4680636889755131E-22</v>
      </c>
      <c r="AC185" s="24">
        <f t="shared" si="163"/>
        <v>5.0136802326055889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1.1368683772161603E-13</v>
      </c>
      <c r="AJ185" s="14">
        <f>AI185*VLOOKUP('Données projet'!$B$10,Paramètres!$A$1:$I$89,3,0)*VLOOKUP('Données projet'!$B$10,Paramètres!$A$1:$I$89,5,0)</f>
        <v>6.7984728957526396E-14</v>
      </c>
      <c r="AK185" s="14">
        <f t="shared" si="164"/>
        <v>1.0682447123141398E-12</v>
      </c>
      <c r="AL185" s="22">
        <f t="shared" si="165"/>
        <v>1.978932943548152E-12</v>
      </c>
      <c r="AM185" s="62">
        <f t="shared" si="113"/>
        <v>293.3333333333353</v>
      </c>
      <c r="AN185" s="62">
        <f ca="1">AVERAGE(OFFSET($AM$3,0,0,'Données projet'!$E$10+1,1))-AVERAGE(OFFSET($H$3,0,0,'Données projet'!$E$10+1,1))</f>
        <v>187.13674266165236</v>
      </c>
      <c r="AO185" s="62">
        <f t="shared" si="144"/>
        <v>439.28159165815276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4.3168642976346918</v>
      </c>
      <c r="AV185" s="23">
        <f>EXP(-LN(2)/25)*AV184+(1-EXP(-LN(2)/25))/(LN(2)/25)*Calculateur!AQ185*Calculateur!AS185*VLOOKUP('Données projet'!$B$10,Paramètres!$A$1:$I$89,3,0)*0.475*44/12</f>
        <v>0.69681593497089733</v>
      </c>
      <c r="AW185" s="23">
        <f>EXP(-LN(2)/2)*AW184+(1-EXP(-LN(2)/2))/(LN(2)/2)*AQ185*AT185*VLOOKUP('Données projet'!$B$10,Paramètres!$A$1:$I$89,3,0)*0.475*44/12</f>
        <v>8.4680636889755131E-22</v>
      </c>
      <c r="AX185" s="23">
        <f t="shared" si="166"/>
        <v>5.0136802326055889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-5.6843418860808015E-14</v>
      </c>
      <c r="BE185" s="14">
        <f>BD185*VLOOKUP('Données projet'!$B$11,Paramètres!$A$1:$I$89,3,0)*VLOOKUP('Données projet'!$B$11,Paramètres!$A$1:$I$89,5,0)</f>
        <v>-5.1431925385259088E-14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366.86025470473652</v>
      </c>
      <c r="BJ185" s="62">
        <f t="shared" si="146"/>
        <v>513.80016421153414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0.10813450189226675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0.10813450189226675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187.13674266165236</v>
      </c>
      <c r="T186" s="62">
        <f t="shared" si="142"/>
        <v>439.28159165815276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4.2322132217853072</v>
      </c>
      <c r="AA186" s="23">
        <f>EXP(-LN(2)/25)*AA185+(1-EXP(-LN(2)/25))/(LN(2)/25)*Calculateur!V186*Calculateur!X186*VLOOKUP('Données projet'!$B$9,Paramètres!$A$1:$I$89,3,0)*0.475*44/12</f>
        <v>0.67776146658516068</v>
      </c>
      <c r="AB186" s="23">
        <f>EXP(-LN(2)/2)*AB185+(1-EXP(-LN(2)/2))/(LN(2)/2)*V186*Y186*VLOOKUP('Données projet'!$B$9,Paramètres!$A$1:$I$89,3,0)*0.475*44/12</f>
        <v>5.9878252579941569E-22</v>
      </c>
      <c r="AC186" s="24">
        <f t="shared" si="163"/>
        <v>4.9099746883704682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1.1368683772161603E-13</v>
      </c>
      <c r="AJ186" s="14">
        <f>AI186*VLOOKUP('Données projet'!$B$10,Paramètres!$A$1:$I$89,3,0)*VLOOKUP('Données projet'!$B$10,Paramètres!$A$1:$I$89,5,0)</f>
        <v>6.7984728957526396E-14</v>
      </c>
      <c r="AK186" s="14">
        <f t="shared" si="164"/>
        <v>1.0682447123141398E-12</v>
      </c>
      <c r="AL186" s="22">
        <f t="shared" si="165"/>
        <v>1.978932943548152E-12</v>
      </c>
      <c r="AM186" s="62">
        <f t="shared" si="113"/>
        <v>293.3333333333353</v>
      </c>
      <c r="AN186" s="62">
        <f ca="1">AVERAGE(OFFSET($AM$3,0,0,'Données projet'!$E$10+1,1))-AVERAGE(OFFSET($H$3,0,0,'Données projet'!$E$10+1,1))</f>
        <v>187.13674266165236</v>
      </c>
      <c r="AO186" s="62">
        <f t="shared" si="144"/>
        <v>439.28159165815276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4.2322132217853072</v>
      </c>
      <c r="AV186" s="23">
        <f>EXP(-LN(2)/25)*AV185+(1-EXP(-LN(2)/25))/(LN(2)/25)*Calculateur!AQ186*Calculateur!AS186*VLOOKUP('Données projet'!$B$10,Paramètres!$A$1:$I$89,3,0)*0.475*44/12</f>
        <v>0.67776146658516068</v>
      </c>
      <c r="AW186" s="23">
        <f>EXP(-LN(2)/2)*AW185+(1-EXP(-LN(2)/2))/(LN(2)/2)*AQ186*AT186*VLOOKUP('Données projet'!$B$10,Paramètres!$A$1:$I$89,3,0)*0.475*44/12</f>
        <v>5.9878252579941569E-22</v>
      </c>
      <c r="AX186" s="23">
        <f t="shared" si="166"/>
        <v>4.9099746883704682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-5.6843418860808015E-14</v>
      </c>
      <c r="BE186" s="14">
        <f>BD186*VLOOKUP('Données projet'!$B$11,Paramètres!$A$1:$I$89,3,0)*VLOOKUP('Données projet'!$B$11,Paramètres!$A$1:$I$89,5,0)</f>
        <v>-5.1431925385259088E-14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366.86025470473652</v>
      </c>
      <c r="BJ186" s="62">
        <f t="shared" si="146"/>
        <v>513.80016421153414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0.10601405026569299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0.10601405026569299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187.13674266165236</v>
      </c>
      <c r="T187" s="62">
        <f t="shared" si="142"/>
        <v>439.28159165815276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4.1492221019012714</v>
      </c>
      <c r="AA187" s="23">
        <f>EXP(-LN(2)/25)*AA186+(1-EXP(-LN(2)/25))/(LN(2)/25)*Calculateur!V187*Calculateur!X187*VLOOKUP('Données projet'!$B$9,Paramètres!$A$1:$I$89,3,0)*0.475*44/12</f>
        <v>0.65922804363946297</v>
      </c>
      <c r="AB187" s="23">
        <f>EXP(-LN(2)/2)*AB186+(1-EXP(-LN(2)/2))/(LN(2)/2)*V187*Y187*VLOOKUP('Données projet'!$B$9,Paramètres!$A$1:$I$89,3,0)*0.475*44/12</f>
        <v>4.234031844487757E-22</v>
      </c>
      <c r="AC187" s="24">
        <f t="shared" si="163"/>
        <v>4.8084501455407347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1.1368683772161603E-13</v>
      </c>
      <c r="AJ187" s="14">
        <f>AI187*VLOOKUP('Données projet'!$B$10,Paramètres!$A$1:$I$89,3,0)*VLOOKUP('Données projet'!$B$10,Paramètres!$A$1:$I$89,5,0)</f>
        <v>6.7984728957526396E-14</v>
      </c>
      <c r="AK187" s="14">
        <f t="shared" si="164"/>
        <v>1.0682447123141398E-12</v>
      </c>
      <c r="AL187" s="22">
        <f t="shared" si="165"/>
        <v>1.978932943548152E-12</v>
      </c>
      <c r="AM187" s="62">
        <f t="shared" si="113"/>
        <v>293.3333333333353</v>
      </c>
      <c r="AN187" s="62">
        <f ca="1">AVERAGE(OFFSET($AM$3,0,0,'Données projet'!$E$10+1,1))-AVERAGE(OFFSET($H$3,0,0,'Données projet'!$E$10+1,1))</f>
        <v>187.13674266165236</v>
      </c>
      <c r="AO187" s="62">
        <f t="shared" si="144"/>
        <v>439.28159165815276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4.1492221019012714</v>
      </c>
      <c r="AV187" s="23">
        <f>EXP(-LN(2)/25)*AV186+(1-EXP(-LN(2)/25))/(LN(2)/25)*Calculateur!AQ187*Calculateur!AS187*VLOOKUP('Données projet'!$B$10,Paramètres!$A$1:$I$89,3,0)*0.475*44/12</f>
        <v>0.65922804363946297</v>
      </c>
      <c r="AW187" s="23">
        <f>EXP(-LN(2)/2)*AW186+(1-EXP(-LN(2)/2))/(LN(2)/2)*AQ187*AT187*VLOOKUP('Données projet'!$B$10,Paramètres!$A$1:$I$89,3,0)*0.475*44/12</f>
        <v>4.234031844487757E-22</v>
      </c>
      <c r="AX187" s="23">
        <f t="shared" si="166"/>
        <v>4.8084501455407347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-5.6843418860808015E-14</v>
      </c>
      <c r="BE187" s="14">
        <f>BD187*VLOOKUP('Données projet'!$B$11,Paramètres!$A$1:$I$89,3,0)*VLOOKUP('Données projet'!$B$11,Paramètres!$A$1:$I$89,5,0)</f>
        <v>-5.1431925385259088E-14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366.86025470473652</v>
      </c>
      <c r="BJ187" s="62">
        <f t="shared" si="146"/>
        <v>513.80016421153414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0.10393517940216855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0.10393517940216855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187.13674266165236</v>
      </c>
      <c r="T188" s="62">
        <f t="shared" si="142"/>
        <v>439.28159165815276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4.0678583872585765</v>
      </c>
      <c r="AA188" s="23">
        <f>EXP(-LN(2)/25)*AA187+(1-EXP(-LN(2)/25))/(LN(2)/25)*Calculateur!V188*Calculateur!X188*VLOOKUP('Données projet'!$B$9,Paramètres!$A$1:$I$89,3,0)*0.475*44/12</f>
        <v>0.64120141811884568</v>
      </c>
      <c r="AB188" s="23">
        <f>EXP(-LN(2)/2)*AB187+(1-EXP(-LN(2)/2))/(LN(2)/2)*V188*Y188*VLOOKUP('Données projet'!$B$9,Paramètres!$A$1:$I$89,3,0)*0.475*44/12</f>
        <v>2.9939126289970789E-22</v>
      </c>
      <c r="AC188" s="24">
        <f t="shared" si="163"/>
        <v>4.7090598053774224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1.1368683772161603E-13</v>
      </c>
      <c r="AJ188" s="14">
        <f>AI188*VLOOKUP('Données projet'!$B$10,Paramètres!$A$1:$I$89,3,0)*VLOOKUP('Données projet'!$B$10,Paramètres!$A$1:$I$89,5,0)</f>
        <v>6.7984728957526396E-14</v>
      </c>
      <c r="AK188" s="14">
        <f t="shared" si="164"/>
        <v>1.0682447123141398E-12</v>
      </c>
      <c r="AL188" s="22">
        <f t="shared" si="165"/>
        <v>1.978932943548152E-12</v>
      </c>
      <c r="AM188" s="62">
        <f t="shared" si="113"/>
        <v>293.3333333333353</v>
      </c>
      <c r="AN188" s="62">
        <f ca="1">AVERAGE(OFFSET($AM$3,0,0,'Données projet'!$E$10+1,1))-AVERAGE(OFFSET($H$3,0,0,'Données projet'!$E$10+1,1))</f>
        <v>187.13674266165236</v>
      </c>
      <c r="AO188" s="62">
        <f t="shared" si="144"/>
        <v>439.28159165815276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4.0678583872585765</v>
      </c>
      <c r="AV188" s="23">
        <f>EXP(-LN(2)/25)*AV187+(1-EXP(-LN(2)/25))/(LN(2)/25)*Calculateur!AQ188*Calculateur!AS188*VLOOKUP('Données projet'!$B$10,Paramètres!$A$1:$I$89,3,0)*0.475*44/12</f>
        <v>0.64120141811884568</v>
      </c>
      <c r="AW188" s="23">
        <f>EXP(-LN(2)/2)*AW187+(1-EXP(-LN(2)/2))/(LN(2)/2)*AQ188*AT188*VLOOKUP('Données projet'!$B$10,Paramètres!$A$1:$I$89,3,0)*0.475*44/12</f>
        <v>2.9939126289970789E-22</v>
      </c>
      <c r="AX188" s="23">
        <f t="shared" si="166"/>
        <v>4.7090598053774224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-5.6843418860808015E-14</v>
      </c>
      <c r="BE188" s="14">
        <f>BD188*VLOOKUP('Données projet'!$B$11,Paramètres!$A$1:$I$89,3,0)*VLOOKUP('Données projet'!$B$11,Paramètres!$A$1:$I$89,5,0)</f>
        <v>-5.1431925385259088E-14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366.86025470473652</v>
      </c>
      <c r="BJ188" s="62">
        <f t="shared" si="146"/>
        <v>513.80016421153414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0.10189707392829181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0.10189707392829181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187.13674266165236</v>
      </c>
      <c r="T189" s="62">
        <f t="shared" si="142"/>
        <v>439.28159165815276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3.9880901654330589</v>
      </c>
      <c r="AA189" s="23">
        <f>EXP(-LN(2)/25)*AA188+(1-EXP(-LN(2)/25))/(LN(2)/25)*Calculateur!V189*Calculateur!X189*VLOOKUP('Données projet'!$B$9,Paramètres!$A$1:$I$89,3,0)*0.475*44/12</f>
        <v>0.6236677316210687</v>
      </c>
      <c r="AB189" s="23">
        <f>EXP(-LN(2)/2)*AB188+(1-EXP(-LN(2)/2))/(LN(2)/2)*V189*Y189*VLOOKUP('Données projet'!$B$9,Paramètres!$A$1:$I$89,3,0)*0.475*44/12</f>
        <v>2.117015922243879E-22</v>
      </c>
      <c r="AC189" s="24">
        <f t="shared" si="163"/>
        <v>4.6117578970541278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1.1368683772161603E-13</v>
      </c>
      <c r="AJ189" s="14">
        <f>AI189*VLOOKUP('Données projet'!$B$10,Paramètres!$A$1:$I$89,3,0)*VLOOKUP('Données projet'!$B$10,Paramètres!$A$1:$I$89,5,0)</f>
        <v>6.7984728957526396E-14</v>
      </c>
      <c r="AK189" s="14">
        <f t="shared" si="164"/>
        <v>1.0682447123141398E-12</v>
      </c>
      <c r="AL189" s="22">
        <f t="shared" si="165"/>
        <v>1.978932943548152E-12</v>
      </c>
      <c r="AM189" s="62">
        <f t="shared" si="113"/>
        <v>293.3333333333353</v>
      </c>
      <c r="AN189" s="62">
        <f ca="1">AVERAGE(OFFSET($AM$3,0,0,'Données projet'!$E$10+1,1))-AVERAGE(OFFSET($H$3,0,0,'Données projet'!$E$10+1,1))</f>
        <v>187.13674266165236</v>
      </c>
      <c r="AO189" s="62">
        <f t="shared" si="144"/>
        <v>439.28159165815276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3.9880901654330589</v>
      </c>
      <c r="AV189" s="23">
        <f>EXP(-LN(2)/25)*AV188+(1-EXP(-LN(2)/25))/(LN(2)/25)*Calculateur!AQ189*Calculateur!AS189*VLOOKUP('Données projet'!$B$10,Paramètres!$A$1:$I$89,3,0)*0.475*44/12</f>
        <v>0.6236677316210687</v>
      </c>
      <c r="AW189" s="23">
        <f>EXP(-LN(2)/2)*AW188+(1-EXP(-LN(2)/2))/(LN(2)/2)*AQ189*AT189*VLOOKUP('Données projet'!$B$10,Paramètres!$A$1:$I$89,3,0)*0.475*44/12</f>
        <v>2.117015922243879E-22</v>
      </c>
      <c r="AX189" s="23">
        <f t="shared" si="166"/>
        <v>4.6117578970541278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-5.6843418860808015E-14</v>
      </c>
      <c r="BE189" s="14">
        <f>BD189*VLOOKUP('Données projet'!$B$11,Paramètres!$A$1:$I$89,3,0)*VLOOKUP('Données projet'!$B$11,Paramètres!$A$1:$I$89,5,0)</f>
        <v>-5.1431925385259088E-14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366.86025470473652</v>
      </c>
      <c r="BJ189" s="62">
        <f t="shared" si="146"/>
        <v>513.80016421153414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9.9898934459636199E-2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9.9898934459636199E-2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187.13674266165236</v>
      </c>
      <c r="T190" s="62">
        <f t="shared" si="142"/>
        <v>439.28159165815276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3.9098861497837287</v>
      </c>
      <c r="AA190" s="23">
        <f>EXP(-LN(2)/25)*AA189+(1-EXP(-LN(2)/25))/(LN(2)/25)*Calculateur!V190*Calculateur!X190*VLOOKUP('Données projet'!$B$9,Paramètres!$A$1:$I$89,3,0)*0.475*44/12</f>
        <v>0.60661350470262998</v>
      </c>
      <c r="AB190" s="23">
        <f>EXP(-LN(2)/2)*AB189+(1-EXP(-LN(2)/2))/(LN(2)/2)*V190*Y190*VLOOKUP('Données projet'!$B$9,Paramètres!$A$1:$I$89,3,0)*0.475*44/12</f>
        <v>1.4969563144985397E-22</v>
      </c>
      <c r="AC190" s="24">
        <f t="shared" si="163"/>
        <v>4.5164996544863589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1.1368683772161603E-13</v>
      </c>
      <c r="AJ190" s="14">
        <f>AI190*VLOOKUP('Données projet'!$B$10,Paramètres!$A$1:$I$89,3,0)*VLOOKUP('Données projet'!$B$10,Paramètres!$A$1:$I$89,5,0)</f>
        <v>6.7984728957526396E-14</v>
      </c>
      <c r="AK190" s="14">
        <f t="shared" si="164"/>
        <v>1.0682447123141398E-12</v>
      </c>
      <c r="AL190" s="22">
        <f t="shared" si="165"/>
        <v>1.978932943548152E-12</v>
      </c>
      <c r="AM190" s="62">
        <f t="shared" si="113"/>
        <v>293.3333333333353</v>
      </c>
      <c r="AN190" s="62">
        <f ca="1">AVERAGE(OFFSET($AM$3,0,0,'Données projet'!$E$10+1,1))-AVERAGE(OFFSET($H$3,0,0,'Données projet'!$E$10+1,1))</f>
        <v>187.13674266165236</v>
      </c>
      <c r="AO190" s="62">
        <f t="shared" si="144"/>
        <v>439.28159165815276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3.9098861497837287</v>
      </c>
      <c r="AV190" s="23">
        <f>EXP(-LN(2)/25)*AV189+(1-EXP(-LN(2)/25))/(LN(2)/25)*Calculateur!AQ190*Calculateur!AS190*VLOOKUP('Données projet'!$B$10,Paramètres!$A$1:$I$89,3,0)*0.475*44/12</f>
        <v>0.60661350470262998</v>
      </c>
      <c r="AW190" s="23">
        <f>EXP(-LN(2)/2)*AW189+(1-EXP(-LN(2)/2))/(LN(2)/2)*AQ190*AT190*VLOOKUP('Données projet'!$B$10,Paramètres!$A$1:$I$89,3,0)*0.475*44/12</f>
        <v>1.4969563144985397E-22</v>
      </c>
      <c r="AX190" s="23">
        <f t="shared" si="166"/>
        <v>4.5164996544863589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-5.6843418860808015E-14</v>
      </c>
      <c r="BE190" s="14">
        <f>BD190*VLOOKUP('Données projet'!$B$11,Paramètres!$A$1:$I$89,3,0)*VLOOKUP('Données projet'!$B$11,Paramètres!$A$1:$I$89,5,0)</f>
        <v>-5.1431925385259088E-14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366.86025470473652</v>
      </c>
      <c r="BJ190" s="62">
        <f t="shared" si="146"/>
        <v>513.80016421153414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9.7939977287216179E-2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9.7939977287216179E-2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187.13674266165236</v>
      </c>
      <c r="T191" s="62">
        <f t="shared" si="142"/>
        <v>439.28159165815276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3.8332156671815421</v>
      </c>
      <c r="AA191" s="23">
        <f>EXP(-LN(2)/25)*AA190+(1-EXP(-LN(2)/25))/(LN(2)/25)*Calculateur!V191*Calculateur!X191*VLOOKUP('Données projet'!$B$9,Paramètres!$A$1:$I$89,3,0)*0.475*44/12</f>
        <v>0.59002562651611878</v>
      </c>
      <c r="AB191" s="23">
        <f>EXP(-LN(2)/2)*AB190+(1-EXP(-LN(2)/2))/(LN(2)/2)*V191*Y191*VLOOKUP('Données projet'!$B$9,Paramètres!$A$1:$I$89,3,0)*0.475*44/12</f>
        <v>1.0585079611219396E-22</v>
      </c>
      <c r="AC191" s="24">
        <f t="shared" si="163"/>
        <v>4.4232412936976608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1.1368683772161603E-13</v>
      </c>
      <c r="AJ191" s="14">
        <f>AI191*VLOOKUP('Données projet'!$B$10,Paramètres!$A$1:$I$89,3,0)*VLOOKUP('Données projet'!$B$10,Paramètres!$A$1:$I$89,5,0)</f>
        <v>6.7984728957526396E-14</v>
      </c>
      <c r="AK191" s="14">
        <f t="shared" si="164"/>
        <v>1.0682447123141398E-12</v>
      </c>
      <c r="AL191" s="22">
        <f t="shared" si="165"/>
        <v>1.978932943548152E-12</v>
      </c>
      <c r="AM191" s="62">
        <f t="shared" si="113"/>
        <v>293.3333333333353</v>
      </c>
      <c r="AN191" s="62">
        <f ca="1">AVERAGE(OFFSET($AM$3,0,0,'Données projet'!$E$10+1,1))-AVERAGE(OFFSET($H$3,0,0,'Données projet'!$E$10+1,1))</f>
        <v>187.13674266165236</v>
      </c>
      <c r="AO191" s="62">
        <f t="shared" si="144"/>
        <v>439.28159165815276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3.8332156671815421</v>
      </c>
      <c r="AV191" s="23">
        <f>EXP(-LN(2)/25)*AV190+(1-EXP(-LN(2)/25))/(LN(2)/25)*Calculateur!AQ191*Calculateur!AS191*VLOOKUP('Données projet'!$B$10,Paramètres!$A$1:$I$89,3,0)*0.475*44/12</f>
        <v>0.59002562651611878</v>
      </c>
      <c r="AW191" s="23">
        <f>EXP(-LN(2)/2)*AW190+(1-EXP(-LN(2)/2))/(LN(2)/2)*AQ191*AT191*VLOOKUP('Données projet'!$B$10,Paramètres!$A$1:$I$89,3,0)*0.475*44/12</f>
        <v>1.0585079611219396E-22</v>
      </c>
      <c r="AX191" s="23">
        <f t="shared" si="166"/>
        <v>4.4232412936976608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-5.6843418860808015E-14</v>
      </c>
      <c r="BE191" s="14">
        <f>BD191*VLOOKUP('Données projet'!$B$11,Paramètres!$A$1:$I$89,3,0)*VLOOKUP('Données projet'!$B$11,Paramètres!$A$1:$I$89,5,0)</f>
        <v>-5.1431925385259088E-14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366.86025470473652</v>
      </c>
      <c r="BJ191" s="62">
        <f t="shared" si="146"/>
        <v>513.80016421153414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9.6019434070101425E-2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9.6019434070101425E-2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187.13674266165236</v>
      </c>
      <c r="T192" s="62">
        <f t="shared" si="142"/>
        <v>439.28159165815276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3.7580486459788078</v>
      </c>
      <c r="AA192" s="23">
        <f>EXP(-LN(2)/25)*AA191+(1-EXP(-LN(2)/25))/(LN(2)/25)*Calculateur!V192*Calculateur!X192*VLOOKUP('Données projet'!$B$9,Paramètres!$A$1:$I$89,3,0)*0.475*44/12</f>
        <v>0.57389134473093639</v>
      </c>
      <c r="AB192" s="23">
        <f>EXP(-LN(2)/2)*AB191+(1-EXP(-LN(2)/2))/(LN(2)/2)*V192*Y192*VLOOKUP('Données projet'!$B$9,Paramètres!$A$1:$I$89,3,0)*0.475*44/12</f>
        <v>7.4847815724926997E-23</v>
      </c>
      <c r="AC192" s="24">
        <f t="shared" si="163"/>
        <v>4.3319399907097438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1.1368683772161603E-13</v>
      </c>
      <c r="AJ192" s="14">
        <f>AI192*VLOOKUP('Données projet'!$B$10,Paramètres!$A$1:$I$89,3,0)*VLOOKUP('Données projet'!$B$10,Paramètres!$A$1:$I$89,5,0)</f>
        <v>6.7984728957526396E-14</v>
      </c>
      <c r="AK192" s="14">
        <f t="shared" si="164"/>
        <v>1.0682447123141398E-12</v>
      </c>
      <c r="AL192" s="22">
        <f t="shared" si="165"/>
        <v>1.978932943548152E-12</v>
      </c>
      <c r="AM192" s="62">
        <f t="shared" si="113"/>
        <v>293.3333333333353</v>
      </c>
      <c r="AN192" s="62">
        <f ca="1">AVERAGE(OFFSET($AM$3,0,0,'Données projet'!$E$10+1,1))-AVERAGE(OFFSET($H$3,0,0,'Données projet'!$E$10+1,1))</f>
        <v>187.13674266165236</v>
      </c>
      <c r="AO192" s="62">
        <f t="shared" si="144"/>
        <v>439.28159165815276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3.7580486459788078</v>
      </c>
      <c r="AV192" s="23">
        <f>EXP(-LN(2)/25)*AV191+(1-EXP(-LN(2)/25))/(LN(2)/25)*Calculateur!AQ192*Calculateur!AS192*VLOOKUP('Données projet'!$B$10,Paramètres!$A$1:$I$89,3,0)*0.475*44/12</f>
        <v>0.57389134473093639</v>
      </c>
      <c r="AW192" s="23">
        <f>EXP(-LN(2)/2)*AW191+(1-EXP(-LN(2)/2))/(LN(2)/2)*AQ192*AT192*VLOOKUP('Données projet'!$B$10,Paramètres!$A$1:$I$89,3,0)*0.475*44/12</f>
        <v>7.4847815724926997E-23</v>
      </c>
      <c r="AX192" s="23">
        <f t="shared" si="166"/>
        <v>4.3319399907097438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-5.6843418860808015E-14</v>
      </c>
      <c r="BE192" s="14">
        <f>BD192*VLOOKUP('Données projet'!$B$11,Paramètres!$A$1:$I$89,3,0)*VLOOKUP('Données projet'!$B$11,Paramètres!$A$1:$I$89,5,0)</f>
        <v>-5.1431925385259088E-14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366.86025470473652</v>
      </c>
      <c r="BJ192" s="62">
        <f t="shared" si="146"/>
        <v>513.80016421153414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9.4136551534058602E-2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9.4136551534058602E-2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187.13674266165236</v>
      </c>
      <c r="T193" s="62">
        <f t="shared" si="142"/>
        <v>439.28159165815276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3.6843556042145034</v>
      </c>
      <c r="AA193" s="23">
        <f>EXP(-LN(2)/25)*AA192+(1-EXP(-LN(2)/25))/(LN(2)/25)*Calculateur!V193*Calculateur!X193*VLOOKUP('Données projet'!$B$9,Paramètres!$A$1:$I$89,3,0)*0.475*44/12</f>
        <v>0.55819825572963477</v>
      </c>
      <c r="AB193" s="23">
        <f>EXP(-LN(2)/2)*AB192+(1-EXP(-LN(2)/2))/(LN(2)/2)*V193*Y193*VLOOKUP('Données projet'!$B$9,Paramètres!$A$1:$I$89,3,0)*0.475*44/12</f>
        <v>5.2925398056096986E-23</v>
      </c>
      <c r="AC193" s="24">
        <f t="shared" si="163"/>
        <v>4.2425538599441381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1.1368683772161603E-13</v>
      </c>
      <c r="AJ193" s="14">
        <f>AI193*VLOOKUP('Données projet'!$B$10,Paramètres!$A$1:$I$89,3,0)*VLOOKUP('Données projet'!$B$10,Paramètres!$A$1:$I$89,5,0)</f>
        <v>6.7984728957526396E-14</v>
      </c>
      <c r="AK193" s="14">
        <f t="shared" si="164"/>
        <v>1.0682447123141398E-12</v>
      </c>
      <c r="AL193" s="22">
        <f t="shared" si="165"/>
        <v>1.978932943548152E-12</v>
      </c>
      <c r="AM193" s="62">
        <f t="shared" si="113"/>
        <v>293.3333333333353</v>
      </c>
      <c r="AN193" s="62">
        <f ca="1">AVERAGE(OFFSET($AM$3,0,0,'Données projet'!$E$10+1,1))-AVERAGE(OFFSET($H$3,0,0,'Données projet'!$E$10+1,1))</f>
        <v>187.13674266165236</v>
      </c>
      <c r="AO193" s="62">
        <f t="shared" si="144"/>
        <v>439.28159165815276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3.6843556042145034</v>
      </c>
      <c r="AV193" s="23">
        <f>EXP(-LN(2)/25)*AV192+(1-EXP(-LN(2)/25))/(LN(2)/25)*Calculateur!AQ193*Calculateur!AS193*VLOOKUP('Données projet'!$B$10,Paramètres!$A$1:$I$89,3,0)*0.475*44/12</f>
        <v>0.55819825572963477</v>
      </c>
      <c r="AW193" s="23">
        <f>EXP(-LN(2)/2)*AW192+(1-EXP(-LN(2)/2))/(LN(2)/2)*AQ193*AT193*VLOOKUP('Données projet'!$B$10,Paramètres!$A$1:$I$89,3,0)*0.475*44/12</f>
        <v>5.2925398056096986E-23</v>
      </c>
      <c r="AX193" s="23">
        <f t="shared" si="166"/>
        <v>4.2425538599441381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-5.6843418860808015E-14</v>
      </c>
      <c r="BE193" s="14">
        <f>BD193*VLOOKUP('Données projet'!$B$11,Paramètres!$A$1:$I$89,3,0)*VLOOKUP('Données projet'!$B$11,Paramètres!$A$1:$I$89,5,0)</f>
        <v>-5.1431925385259088E-14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366.86025470473652</v>
      </c>
      <c r="BJ193" s="62">
        <f t="shared" si="146"/>
        <v>513.80016421153414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9.2290591176102624E-2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9.2290591176102624E-2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187.13674266165236</v>
      </c>
      <c r="T194" s="62">
        <f t="shared" si="142"/>
        <v>439.28159165815276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3.6121076380508796</v>
      </c>
      <c r="AA194" s="23">
        <f>EXP(-LN(2)/25)*AA193+(1-EXP(-LN(2)/25))/(LN(2)/25)*Calculateur!V194*Calculateur!X194*VLOOKUP('Données projet'!$B$9,Paramètres!$A$1:$I$89,3,0)*0.475*44/12</f>
        <v>0.54293429507233737</v>
      </c>
      <c r="AB194" s="23">
        <f>EXP(-LN(2)/2)*AB193+(1-EXP(-LN(2)/2))/(LN(2)/2)*V194*Y194*VLOOKUP('Données projet'!$B$9,Paramètres!$A$1:$I$89,3,0)*0.475*44/12</f>
        <v>3.7423907862463504E-23</v>
      </c>
      <c r="AC194" s="24">
        <f t="shared" si="163"/>
        <v>4.1550419331232167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1.1368683772161603E-13</v>
      </c>
      <c r="AJ194" s="14">
        <f>AI194*VLOOKUP('Données projet'!$B$10,Paramètres!$A$1:$I$89,3,0)*VLOOKUP('Données projet'!$B$10,Paramètres!$A$1:$I$89,5,0)</f>
        <v>6.7984728957526396E-14</v>
      </c>
      <c r="AK194" s="14">
        <f t="shared" si="164"/>
        <v>1.0682447123141398E-12</v>
      </c>
      <c r="AL194" s="22">
        <f t="shared" si="165"/>
        <v>1.978932943548152E-12</v>
      </c>
      <c r="AM194" s="62">
        <f t="shared" si="113"/>
        <v>293.3333333333353</v>
      </c>
      <c r="AN194" s="62">
        <f ca="1">AVERAGE(OFFSET($AM$3,0,0,'Données projet'!$E$10+1,1))-AVERAGE(OFFSET($H$3,0,0,'Données projet'!$E$10+1,1))</f>
        <v>187.13674266165236</v>
      </c>
      <c r="AO194" s="62">
        <f t="shared" si="144"/>
        <v>439.28159165815276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3.6121076380508796</v>
      </c>
      <c r="AV194" s="23">
        <f>EXP(-LN(2)/25)*AV193+(1-EXP(-LN(2)/25))/(LN(2)/25)*Calculateur!AQ194*Calculateur!AS194*VLOOKUP('Données projet'!$B$10,Paramètres!$A$1:$I$89,3,0)*0.475*44/12</f>
        <v>0.54293429507233737</v>
      </c>
      <c r="AW194" s="23">
        <f>EXP(-LN(2)/2)*AW193+(1-EXP(-LN(2)/2))/(LN(2)/2)*AQ194*AT194*VLOOKUP('Données projet'!$B$10,Paramètres!$A$1:$I$89,3,0)*0.475*44/12</f>
        <v>3.7423907862463504E-23</v>
      </c>
      <c r="AX194" s="23">
        <f t="shared" si="166"/>
        <v>4.1550419331232167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-5.6843418860808015E-14</v>
      </c>
      <c r="BE194" s="14">
        <f>BD194*VLOOKUP('Données projet'!$B$11,Paramètres!$A$1:$I$89,3,0)*VLOOKUP('Données projet'!$B$11,Paramètres!$A$1:$I$89,5,0)</f>
        <v>-5.1431925385259088E-14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366.86025470473652</v>
      </c>
      <c r="BJ194" s="62">
        <f t="shared" si="146"/>
        <v>513.80016421153414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9.0480828974841526E-2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9.0480828974841526E-2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187.13674266165236</v>
      </c>
      <c r="T195" s="62">
        <f t="shared" si="142"/>
        <v>439.28159165815276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3.5412764104368164</v>
      </c>
      <c r="AA195" s="23">
        <f>EXP(-LN(2)/25)*AA194+(1-EXP(-LN(2)/25))/(LN(2)/25)*Calculateur!V195*Calculateur!X195*VLOOKUP('Données projet'!$B$9,Paramètres!$A$1:$I$89,3,0)*0.475*44/12</f>
        <v>0.52808772822191064</v>
      </c>
      <c r="AB195" s="23">
        <f>EXP(-LN(2)/2)*AB194+(1-EXP(-LN(2)/2))/(LN(2)/2)*V195*Y195*VLOOKUP('Données projet'!$B$9,Paramètres!$A$1:$I$89,3,0)*0.475*44/12</f>
        <v>2.6462699028048499E-23</v>
      </c>
      <c r="AC195" s="24">
        <f t="shared" si="163"/>
        <v>4.0693641386587274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1.1368683772161603E-13</v>
      </c>
      <c r="AJ195" s="14">
        <f>AI195*VLOOKUP('Données projet'!$B$10,Paramètres!$A$1:$I$89,3,0)*VLOOKUP('Données projet'!$B$10,Paramètres!$A$1:$I$89,5,0)</f>
        <v>6.7984728957526396E-14</v>
      </c>
      <c r="AK195" s="14">
        <f t="shared" si="164"/>
        <v>1.0682447123141398E-12</v>
      </c>
      <c r="AL195" s="22">
        <f t="shared" si="165"/>
        <v>1.978932943548152E-12</v>
      </c>
      <c r="AM195" s="62">
        <f t="shared" si="113"/>
        <v>293.3333333333353</v>
      </c>
      <c r="AN195" s="62">
        <f ca="1">AVERAGE(OFFSET($AM$3,0,0,'Données projet'!$E$10+1,1))-AVERAGE(OFFSET($H$3,0,0,'Données projet'!$E$10+1,1))</f>
        <v>187.13674266165236</v>
      </c>
      <c r="AO195" s="62">
        <f t="shared" si="144"/>
        <v>439.28159165815276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3.5412764104368164</v>
      </c>
      <c r="AV195" s="23">
        <f>EXP(-LN(2)/25)*AV194+(1-EXP(-LN(2)/25))/(LN(2)/25)*Calculateur!AQ195*Calculateur!AS195*VLOOKUP('Données projet'!$B$10,Paramètres!$A$1:$I$89,3,0)*0.475*44/12</f>
        <v>0.52808772822191064</v>
      </c>
      <c r="AW195" s="23">
        <f>EXP(-LN(2)/2)*AW194+(1-EXP(-LN(2)/2))/(LN(2)/2)*AQ195*AT195*VLOOKUP('Données projet'!$B$10,Paramètres!$A$1:$I$89,3,0)*0.475*44/12</f>
        <v>2.6462699028048499E-23</v>
      </c>
      <c r="AX195" s="23">
        <f t="shared" si="166"/>
        <v>4.0693641386587274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-5.6843418860808015E-14</v>
      </c>
      <c r="BE195" s="14">
        <f>BD195*VLOOKUP('Données projet'!$B$11,Paramètres!$A$1:$I$89,3,0)*VLOOKUP('Données projet'!$B$11,Paramètres!$A$1:$I$89,5,0)</f>
        <v>-5.1431925385259088E-14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366.86025470473652</v>
      </c>
      <c r="BJ195" s="62">
        <f t="shared" si="146"/>
        <v>513.80016421153414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8.8706555106501217E-2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8.8706555106501217E-2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187.13674266165236</v>
      </c>
      <c r="T196" s="62">
        <f t="shared" si="142"/>
        <v>439.28159165815276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3.471834139993482</v>
      </c>
      <c r="AA196" s="23">
        <f>EXP(-LN(2)/25)*AA195+(1-EXP(-LN(2)/25))/(LN(2)/25)*Calculateur!V196*Calculateur!X196*VLOOKUP('Données projet'!$B$9,Paramètres!$A$1:$I$89,3,0)*0.475*44/12</f>
        <v>0.51364714152275581</v>
      </c>
      <c r="AB196" s="23">
        <f>EXP(-LN(2)/2)*AB195+(1-EXP(-LN(2)/2))/(LN(2)/2)*V196*Y196*VLOOKUP('Données projet'!$B$9,Paramètres!$A$1:$I$89,3,0)*0.475*44/12</f>
        <v>1.8711953931231755E-23</v>
      </c>
      <c r="AC196" s="24">
        <f t="shared" si="163"/>
        <v>3.9854812815162379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1.1368683772161603E-13</v>
      </c>
      <c r="AJ196" s="14">
        <f>AI196*VLOOKUP('Données projet'!$B$10,Paramètres!$A$1:$I$89,3,0)*VLOOKUP('Données projet'!$B$10,Paramètres!$A$1:$I$89,5,0)</f>
        <v>6.7984728957526396E-14</v>
      </c>
      <c r="AK196" s="14">
        <f t="shared" si="164"/>
        <v>1.0682447123141398E-12</v>
      </c>
      <c r="AL196" s="22">
        <f t="shared" si="165"/>
        <v>1.978932943548152E-12</v>
      </c>
      <c r="AM196" s="62">
        <f t="shared" ref="AM196:AM203" si="193">AL196+(AD196+AE196)*44/12</f>
        <v>293.3333333333353</v>
      </c>
      <c r="AN196" s="62">
        <f ca="1">AVERAGE(OFFSET($AM$3,0,0,'Données projet'!$E$10+1,1))-AVERAGE(OFFSET($H$3,0,0,'Données projet'!$E$10+1,1))</f>
        <v>187.13674266165236</v>
      </c>
      <c r="AO196" s="62">
        <f t="shared" si="144"/>
        <v>439.28159165815276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3.471834139993482</v>
      </c>
      <c r="AV196" s="23">
        <f>EXP(-LN(2)/25)*AV195+(1-EXP(-LN(2)/25))/(LN(2)/25)*Calculateur!AQ196*Calculateur!AS196*VLOOKUP('Données projet'!$B$10,Paramètres!$A$1:$I$89,3,0)*0.475*44/12</f>
        <v>0.51364714152275581</v>
      </c>
      <c r="AW196" s="23">
        <f>EXP(-LN(2)/2)*AW195+(1-EXP(-LN(2)/2))/(LN(2)/2)*AQ196*AT196*VLOOKUP('Données projet'!$B$10,Paramètres!$A$1:$I$89,3,0)*0.475*44/12</f>
        <v>1.8711953931231755E-23</v>
      </c>
      <c r="AX196" s="23">
        <f t="shared" si="166"/>
        <v>3.9854812815162379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-5.6843418860808015E-14</v>
      </c>
      <c r="BE196" s="14">
        <f>BD196*VLOOKUP('Données projet'!$B$11,Paramètres!$A$1:$I$89,3,0)*VLOOKUP('Données projet'!$B$11,Paramètres!$A$1:$I$89,5,0)</f>
        <v>-5.1431925385259088E-14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366.86025470473652</v>
      </c>
      <c r="BJ196" s="62">
        <f t="shared" si="146"/>
        <v>513.80016421153414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8.696707366651886E-2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8.696707366651886E-2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187.13674266165236</v>
      </c>
      <c r="T197" s="62">
        <f t="shared" ref="T197:T203" si="204">$T$3</f>
        <v>439.28159165815276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3.4037535901179385</v>
      </c>
      <c r="AA197" s="23">
        <f>EXP(-LN(2)/25)*AA196+(1-EXP(-LN(2)/25))/(LN(2)/25)*Calculateur!V197*Calculateur!X197*VLOOKUP('Données projet'!$B$9,Paramètres!$A$1:$I$89,3,0)*0.475*44/12</f>
        <v>0.49960143342628682</v>
      </c>
      <c r="AB197" s="23">
        <f>EXP(-LN(2)/2)*AB196+(1-EXP(-LN(2)/2))/(LN(2)/2)*V197*Y197*VLOOKUP('Données projet'!$B$9,Paramètres!$A$1:$I$89,3,0)*0.475*44/12</f>
        <v>1.3231349514024251E-23</v>
      </c>
      <c r="AC197" s="24">
        <f t="shared" si="163"/>
        <v>3.9033550235442256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1.1368683772161603E-13</v>
      </c>
      <c r="AJ197" s="14">
        <f>AI197*VLOOKUP('Données projet'!$B$10,Paramètres!$A$1:$I$89,3,0)*VLOOKUP('Données projet'!$B$10,Paramètres!$A$1:$I$89,5,0)</f>
        <v>6.7984728957526396E-14</v>
      </c>
      <c r="AK197" s="14">
        <f t="shared" si="164"/>
        <v>1.0682447123141398E-12</v>
      </c>
      <c r="AL197" s="22">
        <f t="shared" si="165"/>
        <v>1.978932943548152E-12</v>
      </c>
      <c r="AM197" s="62">
        <f t="shared" si="193"/>
        <v>293.3333333333353</v>
      </c>
      <c r="AN197" s="62">
        <f ca="1">AVERAGE(OFFSET($AM$3,0,0,'Données projet'!$E$10+1,1))-AVERAGE(OFFSET($H$3,0,0,'Données projet'!$E$10+1,1))</f>
        <v>187.13674266165236</v>
      </c>
      <c r="AO197" s="62">
        <f t="shared" ref="AO197:AO203" si="205">$AO$3</f>
        <v>439.28159165815276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3.4037535901179385</v>
      </c>
      <c r="AV197" s="23">
        <f>EXP(-LN(2)/25)*AV196+(1-EXP(-LN(2)/25))/(LN(2)/25)*Calculateur!AQ197*Calculateur!AS197*VLOOKUP('Données projet'!$B$10,Paramètres!$A$1:$I$89,3,0)*0.475*44/12</f>
        <v>0.49960143342628682</v>
      </c>
      <c r="AW197" s="23">
        <f>EXP(-LN(2)/2)*AW196+(1-EXP(-LN(2)/2))/(LN(2)/2)*AQ197*AT197*VLOOKUP('Données projet'!$B$10,Paramètres!$A$1:$I$89,3,0)*0.475*44/12</f>
        <v>1.3231349514024251E-23</v>
      </c>
      <c r="AX197" s="23">
        <f t="shared" si="166"/>
        <v>3.9033550235442256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-5.6843418860808015E-14</v>
      </c>
      <c r="BE197" s="14">
        <f>BD197*VLOOKUP('Données projet'!$B$11,Paramètres!$A$1:$I$89,3,0)*VLOOKUP('Données projet'!$B$11,Paramètres!$A$1:$I$89,5,0)</f>
        <v>-5.1431925385259088E-14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366.86025470473652</v>
      </c>
      <c r="BJ197" s="62">
        <f t="shared" ref="BJ197:BJ203" si="206">$BJ$3</f>
        <v>513.80016421153414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8.526170239659564E-2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8.526170239659564E-2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187.13674266165236</v>
      </c>
      <c r="T198" s="62">
        <f t="shared" si="204"/>
        <v>439.28159165815276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3.3370080583004196</v>
      </c>
      <c r="AA198" s="23">
        <f>EXP(-LN(2)/25)*AA197+(1-EXP(-LN(2)/25))/(LN(2)/25)*Calculateur!V198*Calculateur!X198*VLOOKUP('Données projet'!$B$9,Paramètres!$A$1:$I$89,3,0)*0.475*44/12</f>
        <v>0.4859398059563475</v>
      </c>
      <c r="AB198" s="23">
        <f>EXP(-LN(2)/2)*AB197+(1-EXP(-LN(2)/2))/(LN(2)/2)*V198*Y198*VLOOKUP('Données projet'!$B$9,Paramètres!$A$1:$I$89,3,0)*0.475*44/12</f>
        <v>9.355976965615879E-24</v>
      </c>
      <c r="AC198" s="24">
        <f t="shared" si="163"/>
        <v>3.8229478642567671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1.1368683772161603E-13</v>
      </c>
      <c r="AJ198" s="14">
        <f>AI198*VLOOKUP('Données projet'!$B$10,Paramètres!$A$1:$I$89,3,0)*VLOOKUP('Données projet'!$B$10,Paramètres!$A$1:$I$89,5,0)</f>
        <v>6.7984728957526396E-14</v>
      </c>
      <c r="AK198" s="14">
        <f t="shared" si="164"/>
        <v>1.0682447123141398E-12</v>
      </c>
      <c r="AL198" s="22">
        <f t="shared" si="165"/>
        <v>1.978932943548152E-12</v>
      </c>
      <c r="AM198" s="62">
        <f t="shared" si="193"/>
        <v>293.3333333333353</v>
      </c>
      <c r="AN198" s="62">
        <f ca="1">AVERAGE(OFFSET($AM$3,0,0,'Données projet'!$E$10+1,1))-AVERAGE(OFFSET($H$3,0,0,'Données projet'!$E$10+1,1))</f>
        <v>187.13674266165236</v>
      </c>
      <c r="AO198" s="62">
        <f t="shared" si="205"/>
        <v>439.28159165815276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3.3370080583004196</v>
      </c>
      <c r="AV198" s="23">
        <f>EXP(-LN(2)/25)*AV197+(1-EXP(-LN(2)/25))/(LN(2)/25)*Calculateur!AQ198*Calculateur!AS198*VLOOKUP('Données projet'!$B$10,Paramètres!$A$1:$I$89,3,0)*0.475*44/12</f>
        <v>0.4859398059563475</v>
      </c>
      <c r="AW198" s="23">
        <f>EXP(-LN(2)/2)*AW197+(1-EXP(-LN(2)/2))/(LN(2)/2)*AQ198*AT198*VLOOKUP('Données projet'!$B$10,Paramètres!$A$1:$I$89,3,0)*0.475*44/12</f>
        <v>9.355976965615879E-24</v>
      </c>
      <c r="AX198" s="23">
        <f t="shared" si="166"/>
        <v>3.8229478642567671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-5.6843418860808015E-14</v>
      </c>
      <c r="BE198" s="14">
        <f>BD198*VLOOKUP('Données projet'!$B$11,Paramètres!$A$1:$I$89,3,0)*VLOOKUP('Données projet'!$B$11,Paramètres!$A$1:$I$89,5,0)</f>
        <v>-5.1431925385259088E-14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366.86025470473652</v>
      </c>
      <c r="BJ198" s="62">
        <f t="shared" si="206"/>
        <v>513.80016421153414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8.3589772417101846E-2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8.3589772417101846E-2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187.13674266165236</v>
      </c>
      <c r="T199" s="62">
        <f t="shared" si="204"/>
        <v>439.28159165815276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3.2715713656510874</v>
      </c>
      <c r="AA199" s="23">
        <f>EXP(-LN(2)/25)*AA198+(1-EXP(-LN(2)/25))/(LN(2)/25)*Calculateur!V199*Calculateur!X199*VLOOKUP('Données projet'!$B$9,Paramètres!$A$1:$I$89,3,0)*0.475*44/12</f>
        <v>0.47265175640800744</v>
      </c>
      <c r="AB199" s="23">
        <f>EXP(-LN(2)/2)*AB198+(1-EXP(-LN(2)/2))/(LN(2)/2)*V199*Y199*VLOOKUP('Données projet'!$B$9,Paramètres!$A$1:$I$89,3,0)*0.475*44/12</f>
        <v>6.615674757012127E-24</v>
      </c>
      <c r="AC199" s="24">
        <f t="shared" si="163"/>
        <v>3.7442231220590947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1.1368683772161603E-13</v>
      </c>
      <c r="AJ199" s="14">
        <f>AI199*VLOOKUP('Données projet'!$B$10,Paramètres!$A$1:$I$89,3,0)*VLOOKUP('Données projet'!$B$10,Paramètres!$A$1:$I$89,5,0)</f>
        <v>6.7984728957526396E-14</v>
      </c>
      <c r="AK199" s="14">
        <f t="shared" si="164"/>
        <v>1.0682447123141398E-12</v>
      </c>
      <c r="AL199" s="22">
        <f t="shared" si="165"/>
        <v>1.978932943548152E-12</v>
      </c>
      <c r="AM199" s="62">
        <f t="shared" si="193"/>
        <v>293.3333333333353</v>
      </c>
      <c r="AN199" s="62">
        <f ca="1">AVERAGE(OFFSET($AM$3,0,0,'Données projet'!$E$10+1,1))-AVERAGE(OFFSET($H$3,0,0,'Données projet'!$E$10+1,1))</f>
        <v>187.13674266165236</v>
      </c>
      <c r="AO199" s="62">
        <f t="shared" si="205"/>
        <v>439.28159165815276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3.2715713656510874</v>
      </c>
      <c r="AV199" s="23">
        <f>EXP(-LN(2)/25)*AV198+(1-EXP(-LN(2)/25))/(LN(2)/25)*Calculateur!AQ199*Calculateur!AS199*VLOOKUP('Données projet'!$B$10,Paramètres!$A$1:$I$89,3,0)*0.475*44/12</f>
        <v>0.47265175640800744</v>
      </c>
      <c r="AW199" s="23">
        <f>EXP(-LN(2)/2)*AW198+(1-EXP(-LN(2)/2))/(LN(2)/2)*AQ199*AT199*VLOOKUP('Données projet'!$B$10,Paramètres!$A$1:$I$89,3,0)*0.475*44/12</f>
        <v>6.615674757012127E-24</v>
      </c>
      <c r="AX199" s="23">
        <f t="shared" si="166"/>
        <v>3.7442231220590947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-5.6843418860808015E-14</v>
      </c>
      <c r="BE199" s="14">
        <f>BD199*VLOOKUP('Données projet'!$B$11,Paramètres!$A$1:$I$89,3,0)*VLOOKUP('Données projet'!$B$11,Paramètres!$A$1:$I$89,5,0)</f>
        <v>-5.1431925385259088E-14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366.86025470473652</v>
      </c>
      <c r="BJ199" s="62">
        <f t="shared" si="206"/>
        <v>513.80016421153414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8.1950627964729336E-2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8.1950627964729336E-2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187.13674266165236</v>
      </c>
      <c r="T200" s="62">
        <f t="shared" si="204"/>
        <v>439.28159165815276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3.207417846632167</v>
      </c>
      <c r="AA200" s="23">
        <f>EXP(-LN(2)/25)*AA199+(1-EXP(-LN(2)/25))/(LN(2)/25)*Calculateur!V200*Calculateur!X200*VLOOKUP('Données projet'!$B$9,Paramètres!$A$1:$I$89,3,0)*0.475*44/12</f>
        <v>0.45972706927335488</v>
      </c>
      <c r="AB200" s="23">
        <f>EXP(-LN(2)/2)*AB199+(1-EXP(-LN(2)/2))/(LN(2)/2)*V200*Y200*VLOOKUP('Données projet'!$B$9,Paramètres!$A$1:$I$89,3,0)*0.475*44/12</f>
        <v>4.6779884828079402E-24</v>
      </c>
      <c r="AC200" s="24">
        <f t="shared" si="163"/>
        <v>3.6671449159055221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1.1368683772161603E-13</v>
      </c>
      <c r="AJ200" s="14">
        <f>AI200*VLOOKUP('Données projet'!$B$10,Paramètres!$A$1:$I$89,3,0)*VLOOKUP('Données projet'!$B$10,Paramètres!$A$1:$I$89,5,0)</f>
        <v>6.7984728957526396E-14</v>
      </c>
      <c r="AK200" s="14">
        <f t="shared" si="164"/>
        <v>1.0682447123141398E-12</v>
      </c>
      <c r="AL200" s="22">
        <f t="shared" si="165"/>
        <v>1.978932943548152E-12</v>
      </c>
      <c r="AM200" s="62">
        <f t="shared" si="193"/>
        <v>293.3333333333353</v>
      </c>
      <c r="AN200" s="62">
        <f ca="1">AVERAGE(OFFSET($AM$3,0,0,'Données projet'!$E$10+1,1))-AVERAGE(OFFSET($H$3,0,0,'Données projet'!$E$10+1,1))</f>
        <v>187.13674266165236</v>
      </c>
      <c r="AO200" s="62">
        <f t="shared" si="205"/>
        <v>439.28159165815276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3.207417846632167</v>
      </c>
      <c r="AV200" s="23">
        <f>EXP(-LN(2)/25)*AV199+(1-EXP(-LN(2)/25))/(LN(2)/25)*Calculateur!AQ200*Calculateur!AS200*VLOOKUP('Données projet'!$B$10,Paramètres!$A$1:$I$89,3,0)*0.475*44/12</f>
        <v>0.45972706927335488</v>
      </c>
      <c r="AW200" s="23">
        <f>EXP(-LN(2)/2)*AW199+(1-EXP(-LN(2)/2))/(LN(2)/2)*AQ200*AT200*VLOOKUP('Données projet'!$B$10,Paramètres!$A$1:$I$89,3,0)*0.475*44/12</f>
        <v>4.6779884828079402E-24</v>
      </c>
      <c r="AX200" s="23">
        <f t="shared" si="166"/>
        <v>3.6671449159055221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-5.6843418860808015E-14</v>
      </c>
      <c r="BE200" s="14">
        <f>BD200*VLOOKUP('Données projet'!$B$11,Paramètres!$A$1:$I$89,3,0)*VLOOKUP('Données projet'!$B$11,Paramètres!$A$1:$I$89,5,0)</f>
        <v>-5.1431925385259088E-14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366.86025470473652</v>
      </c>
      <c r="BJ200" s="62">
        <f t="shared" si="206"/>
        <v>513.80016421153414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8.0343626135288448E-2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8.0343626135288448E-2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187.13674266165236</v>
      </c>
      <c r="T201" s="62">
        <f t="shared" si="204"/>
        <v>439.28159165815276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3.144522338991425</v>
      </c>
      <c r="AA201" s="23">
        <f>EXP(-LN(2)/25)*AA200+(1-EXP(-LN(2)/25))/(LN(2)/25)*Calculateur!V201*Calculateur!X201*VLOOKUP('Données projet'!$B$9,Paramètres!$A$1:$I$89,3,0)*0.475*44/12</f>
        <v>0.44715580838807917</v>
      </c>
      <c r="AB201" s="23">
        <f>EXP(-LN(2)/2)*AB200+(1-EXP(-LN(2)/2))/(LN(2)/2)*V201*Y201*VLOOKUP('Données projet'!$B$9,Paramètres!$A$1:$I$89,3,0)*0.475*44/12</f>
        <v>3.3078373785060639E-24</v>
      </c>
      <c r="AC201" s="24">
        <f t="shared" si="163"/>
        <v>3.5916781473795041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1.1368683772161603E-13</v>
      </c>
      <c r="AJ201" s="14">
        <f>AI201*VLOOKUP('Données projet'!$B$10,Paramètres!$A$1:$I$89,3,0)*VLOOKUP('Données projet'!$B$10,Paramètres!$A$1:$I$89,5,0)</f>
        <v>6.7984728957526396E-14</v>
      </c>
      <c r="AK201" s="14">
        <f t="shared" si="164"/>
        <v>1.0682447123141398E-12</v>
      </c>
      <c r="AL201" s="22">
        <f t="shared" si="165"/>
        <v>1.978932943548152E-12</v>
      </c>
      <c r="AM201" s="62">
        <f t="shared" si="193"/>
        <v>293.3333333333353</v>
      </c>
      <c r="AN201" s="62">
        <f ca="1">AVERAGE(OFFSET($AM$3,0,0,'Données projet'!$E$10+1,1))-AVERAGE(OFFSET($H$3,0,0,'Données projet'!$E$10+1,1))</f>
        <v>187.13674266165236</v>
      </c>
      <c r="AO201" s="62">
        <f t="shared" si="205"/>
        <v>439.28159165815276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3.144522338991425</v>
      </c>
      <c r="AV201" s="23">
        <f>EXP(-LN(2)/25)*AV200+(1-EXP(-LN(2)/25))/(LN(2)/25)*Calculateur!AQ201*Calculateur!AS201*VLOOKUP('Données projet'!$B$10,Paramètres!$A$1:$I$89,3,0)*0.475*44/12</f>
        <v>0.44715580838807917</v>
      </c>
      <c r="AW201" s="23">
        <f>EXP(-LN(2)/2)*AW200+(1-EXP(-LN(2)/2))/(LN(2)/2)*AQ201*AT201*VLOOKUP('Données projet'!$B$10,Paramètres!$A$1:$I$89,3,0)*0.475*44/12</f>
        <v>3.3078373785060639E-24</v>
      </c>
      <c r="AX201" s="23">
        <f t="shared" si="166"/>
        <v>3.5916781473795041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-5.6843418860808015E-14</v>
      </c>
      <c r="BE201" s="14">
        <f>BD201*VLOOKUP('Données projet'!$B$11,Paramètres!$A$1:$I$89,3,0)*VLOOKUP('Données projet'!$B$11,Paramètres!$A$1:$I$89,5,0)</f>
        <v>-5.1431925385259088E-14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366.86025470473652</v>
      </c>
      <c r="BJ201" s="62">
        <f t="shared" si="206"/>
        <v>513.80016421153414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7.8768136631548566E-2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7.8768136631548566E-2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187.13674266165236</v>
      </c>
      <c r="T202" s="62">
        <f t="shared" si="204"/>
        <v>439.28159165815276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3.0828601738930463</v>
      </c>
      <c r="AA202" s="23">
        <f>EXP(-LN(2)/25)*AA201+(1-EXP(-LN(2)/25))/(LN(2)/25)*Calculateur!V202*Calculateur!X202*VLOOKUP('Données projet'!$B$9,Paramètres!$A$1:$I$89,3,0)*0.475*44/12</f>
        <v>0.43492830929280518</v>
      </c>
      <c r="AB202" s="23">
        <f>EXP(-LN(2)/2)*AB201+(1-EXP(-LN(2)/2))/(LN(2)/2)*V202*Y202*VLOOKUP('Données projet'!$B$9,Paramètres!$A$1:$I$89,3,0)*0.475*44/12</f>
        <v>2.3389942414039705E-24</v>
      </c>
      <c r="AC202" s="24">
        <f t="shared" si="163"/>
        <v>3.5177884831858517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1.1368683772161603E-13</v>
      </c>
      <c r="AJ202" s="14">
        <f>AI202*VLOOKUP('Données projet'!$B$10,Paramètres!$A$1:$I$89,3,0)*VLOOKUP('Données projet'!$B$10,Paramètres!$A$1:$I$89,5,0)</f>
        <v>6.7984728957526396E-14</v>
      </c>
      <c r="AK202" s="14">
        <f t="shared" si="164"/>
        <v>1.0682447123141398E-12</v>
      </c>
      <c r="AL202" s="22">
        <f t="shared" si="165"/>
        <v>1.978932943548152E-12</v>
      </c>
      <c r="AM202" s="62">
        <f t="shared" si="193"/>
        <v>293.3333333333353</v>
      </c>
      <c r="AN202" s="62">
        <f ca="1">AVERAGE(OFFSET($AM$3,0,0,'Données projet'!$E$10+1,1))-AVERAGE(OFFSET($H$3,0,0,'Données projet'!$E$10+1,1))</f>
        <v>187.13674266165236</v>
      </c>
      <c r="AO202" s="62">
        <f t="shared" si="205"/>
        <v>439.28159165815276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3.0828601738930463</v>
      </c>
      <c r="AV202" s="23">
        <f>EXP(-LN(2)/25)*AV201+(1-EXP(-LN(2)/25))/(LN(2)/25)*Calculateur!AQ202*Calculateur!AS202*VLOOKUP('Données projet'!$B$10,Paramètres!$A$1:$I$89,3,0)*0.475*44/12</f>
        <v>0.43492830929280518</v>
      </c>
      <c r="AW202" s="23">
        <f>EXP(-LN(2)/2)*AW201+(1-EXP(-LN(2)/2))/(LN(2)/2)*AQ202*AT202*VLOOKUP('Données projet'!$B$10,Paramètres!$A$1:$I$89,3,0)*0.475*44/12</f>
        <v>2.3389942414039705E-24</v>
      </c>
      <c r="AX202" s="23">
        <f t="shared" si="166"/>
        <v>3.5177884831858517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-5.6843418860808015E-14</v>
      </c>
      <c r="BE202" s="14">
        <f>BD202*VLOOKUP('Données projet'!$B$11,Paramètres!$A$1:$I$89,3,0)*VLOOKUP('Données projet'!$B$11,Paramètres!$A$1:$I$89,5,0)</f>
        <v>-5.1431925385259088E-14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366.86025470473652</v>
      </c>
      <c r="BJ202" s="62">
        <f t="shared" si="206"/>
        <v>513.80016421153414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7.7223541516023314E-2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7.7223541516023314E-2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187.13674266165236</v>
      </c>
      <c r="T203" s="62">
        <f t="shared" si="204"/>
        <v>439.28159165815276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3.0224071662420395</v>
      </c>
      <c r="AA203" s="23">
        <f>EXP(-LN(2)/25)*AA202+(1-EXP(-LN(2)/25))/(LN(2)/25)*Calculateur!V203*Calculateur!X203*VLOOKUP('Données projet'!$B$9,Paramètres!$A$1:$I$89,3,0)*0.475*44/12</f>
        <v>0.42303517180330769</v>
      </c>
      <c r="AB203" s="23">
        <f>EXP(-LN(2)/2)*AB202+(1-EXP(-LN(2)/2))/(LN(2)/2)*V203*Y203*VLOOKUP('Données projet'!$B$9,Paramètres!$A$1:$I$89,3,0)*0.475*44/12</f>
        <v>1.6539186892530321E-24</v>
      </c>
      <c r="AC203" s="24">
        <f t="shared" si="163"/>
        <v>3.4454423380453472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1.1368683772161603E-13</v>
      </c>
      <c r="AJ203" s="14">
        <f>AI203*VLOOKUP('Données projet'!$B$10,Paramètres!$A$1:$I$89,3,0)*VLOOKUP('Données projet'!$B$10,Paramètres!$A$1:$I$89,5,0)</f>
        <v>6.7984728957526396E-14</v>
      </c>
      <c r="AK203" s="14">
        <f t="shared" si="164"/>
        <v>1.0682447123141398E-12</v>
      </c>
      <c r="AL203" s="22">
        <f t="shared" si="165"/>
        <v>1.978932943548152E-12</v>
      </c>
      <c r="AM203" s="62">
        <f t="shared" si="193"/>
        <v>293.3333333333353</v>
      </c>
      <c r="AN203" s="62">
        <f ca="1">AVERAGE(OFFSET($AM$3,0,0,'Données projet'!$E$10+1,1))-AVERAGE(OFFSET($H$3,0,0,'Données projet'!$E$10+1,1))</f>
        <v>187.13674266165236</v>
      </c>
      <c r="AO203" s="62">
        <f t="shared" si="205"/>
        <v>439.28159165815276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3.0224071662420395</v>
      </c>
      <c r="AV203" s="23">
        <f>EXP(-LN(2)/25)*AV202+(1-EXP(-LN(2)/25))/(LN(2)/25)*Calculateur!AQ203*Calculateur!AS203*VLOOKUP('Données projet'!$B$10,Paramètres!$A$1:$I$89,3,0)*0.475*44/12</f>
        <v>0.42303517180330769</v>
      </c>
      <c r="AW203" s="23">
        <f>EXP(-LN(2)/2)*AW202+(1-EXP(-LN(2)/2))/(LN(2)/2)*AQ203*AT203*VLOOKUP('Données projet'!$B$10,Paramètres!$A$1:$I$89,3,0)*0.475*44/12</f>
        <v>1.6539186892530321E-24</v>
      </c>
      <c r="AX203" s="23">
        <f t="shared" si="166"/>
        <v>3.4454423380453472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-5.6843418860808015E-14</v>
      </c>
      <c r="BE203" s="14">
        <f>BD203*VLOOKUP('Données projet'!$B$11,Paramètres!$A$1:$I$89,3,0)*VLOOKUP('Données projet'!$B$11,Paramètres!$A$1:$I$89,5,0)</f>
        <v>-5.1431925385259088E-14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366.86025470473652</v>
      </c>
      <c r="BJ203" s="62">
        <f t="shared" si="206"/>
        <v>513.80016421153414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7.5709234968603517E-2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7.5709234968603517E-2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1.4749438547769935</v>
      </c>
      <c r="BA205" s="88">
        <f>EXP(LN('Données projet'!B88)/'Données projet'!A88)</f>
        <v>2.0243974584998852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C1" workbookViewId="0">
      <selection activeCell="I28" sqref="I2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2.7846000000000002</v>
      </c>
      <c r="C6" s="156">
        <f ca="1">IF(OR('Données projet'!B9="",'Données projet'!C9="",'Données projet'!C9=0%),0,Calculateur!S3)</f>
        <v>187.13674266165236</v>
      </c>
      <c r="D6" s="156">
        <f>IF(OR('Données projet'!B9="",'Données projet'!C9="",'Données projet'!C9=0%),0,Calculateur!T3)</f>
        <v>439.28159165815276</v>
      </c>
      <c r="E6" s="156">
        <f ca="1">MIN(C6,D6)</f>
        <v>187.13674266165236</v>
      </c>
      <c r="F6" s="156">
        <f ca="1">E6*B6</f>
        <v>521.10097361563726</v>
      </c>
      <c r="G6" s="156">
        <f ca="1">F6*(100%-'Données projet'!$C$24)*(100%-'Données projet'!$C$25)*(100%-'Données projet'!$C$26)*(100%-'Données projet'!$C$27)</f>
        <v>356.43306595309593</v>
      </c>
      <c r="H6" s="157">
        <f>IF(OR('Données projet'!B9="",'Données projet'!C9="",'Données projet'!C9=0%),0,AVERAGE(Calculateur!$AC$3:$AC$33)*B6)</f>
        <v>48.19567668405783</v>
      </c>
      <c r="I6" s="158">
        <f>H6*(100%-'Données projet'!$C$24)*(100%-'Données projet'!$C$25)*(100%-'Données projet'!$C$26)*(100%-'Données projet'!$C$27)</f>
        <v>32.965842851895559</v>
      </c>
      <c r="J6" s="159">
        <f>IF(OR('Données projet'!B9="",'Données projet'!C9="",'Données projet'!C9=0%),0,SUM(Calculateur!$V$3:$V$33)*VLOOKUP('Données projet'!$B$9,Paramètres!$A$1:$I$89,9,0)*B6)</f>
        <v>726.16798799999992</v>
      </c>
      <c r="K6" s="160">
        <f>J6*(100%-'Données projet'!$C$24)*(100%-'Données projet'!$C$25)*(100%-'Données projet'!$C$26)*(100%-'Données projet'!$C$27)</f>
        <v>496.69890379199995</v>
      </c>
      <c r="L6" s="161">
        <f ca="1">G6+I6+K6</f>
        <v>886.09781259699139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Pin taeda</v>
      </c>
      <c r="B7" s="163">
        <f>'Données projet'!D10</f>
        <v>4.0130999999999997</v>
      </c>
      <c r="C7" s="156">
        <f ca="1">IF(OR('Données projet'!B10="",'Données projet'!C10="",'Données projet'!C10=0%),0,Calculateur!AN3)</f>
        <v>187.13674266165236</v>
      </c>
      <c r="D7" s="156">
        <f>IF(OR('Données projet'!B10="",'Données projet'!C10="",'Données projet'!C10=0%),0,Calculateur!AO3)</f>
        <v>439.28159165815276</v>
      </c>
      <c r="E7" s="156">
        <f t="shared" ref="E7:E15" ca="1" si="0">MIN(C7,D7)</f>
        <v>187.13674266165236</v>
      </c>
      <c r="F7" s="156">
        <f t="shared" ref="F7:F15" ca="1" si="1">E7*B7</f>
        <v>750.99846197547708</v>
      </c>
      <c r="G7" s="156">
        <f ca="1">F7*(100%-'Données projet'!$C$24)*(100%-'Données projet'!$C$25)*(100%-'Données projet'!$C$26)*(100%-'Données projet'!$C$27)</f>
        <v>513.68294799122623</v>
      </c>
      <c r="H7" s="164">
        <f>IF(OR('Données projet'!B10="",'Données projet'!C10="",'Données projet'!C10=0%),0,AVERAGE(Calculateur!$AX$3:$AX$33)*B7)</f>
        <v>69.458475221142152</v>
      </c>
      <c r="I7" s="158">
        <f>H7*(100%-'Données projet'!$C$24)*(100%-'Données projet'!$C$25)*(100%-'Données projet'!$C$26)*(100%-'Données projet'!$C$27)</f>
        <v>47.509597051261238</v>
      </c>
      <c r="J7" s="159">
        <f>IF(OR('Données projet'!B10="",'Données projet'!C10="",'Données projet'!C10=0%),0,SUM(Calculateur!$AQ$3:$AQ$33)*VLOOKUP('Données projet'!$B$10,Paramètres!$A$1:$I$89,9,0)*B7)</f>
        <v>762.72978599999999</v>
      </c>
      <c r="K7" s="160">
        <f>J7*(100%-'Données projet'!$C$24)*(100%-'Données projet'!$C$25)*(100%-'Données projet'!$C$26)*(100%-'Données projet'!$C$27)</f>
        <v>521.70717362400001</v>
      </c>
      <c r="L7" s="161">
        <f t="shared" ref="L7:L15" ca="1" si="2">G7+I7+K7</f>
        <v>1082.8997186664874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Robinier faux-acacia</v>
      </c>
      <c r="B8" s="163">
        <f>'Données projet'!D11</f>
        <v>1.3923000000000001</v>
      </c>
      <c r="C8" s="156">
        <f ca="1">IF(OR('Données projet'!B11="",'Données projet'!C11="",'Données projet'!C11=0%),0,Calculateur!BI3)</f>
        <v>366.86025470473652</v>
      </c>
      <c r="D8" s="156">
        <f>IF(OR('Données projet'!B11="",'Données projet'!C11="",'Données projet'!C11=0%),0,Calculateur!BJ3)</f>
        <v>513.80016421153414</v>
      </c>
      <c r="E8" s="156">
        <f t="shared" ca="1" si="0"/>
        <v>366.86025470473652</v>
      </c>
      <c r="F8" s="156">
        <f t="shared" ca="1" si="1"/>
        <v>510.77953262540467</v>
      </c>
      <c r="G8" s="156">
        <f ca="1">F8*(100%-'Données projet'!$C$24)*(100%-'Données projet'!$C$25)*(100%-'Données projet'!$C$26)*(100%-'Données projet'!$C$27)</f>
        <v>349.37320031577678</v>
      </c>
      <c r="H8" s="164">
        <f>IF(OR('Données projet'!B11="",'Données projet'!C11="",'Données projet'!C11=0%),0,AVERAGE(Calculateur!$BS$3:$BS$33)*B8)</f>
        <v>0.50223447285283473</v>
      </c>
      <c r="I8" s="158">
        <f>H8*(100%-'Données projet'!$C$24)*(100%-'Données projet'!$C$25)*(100%-'Données projet'!$C$26)*(100%-'Données projet'!$C$27)</f>
        <v>0.34352837943133896</v>
      </c>
      <c r="J8" s="159">
        <f>IF(OR('Données projet'!B11="",'Données projet'!C11="",'Données projet'!C11=0%),0,SUM(Calculateur!$BL$3:$BL$33)*VLOOKUP('Données projet'!$B$11,Paramètres!$A$1:$I$89,9,0)*B8)</f>
        <v>34.807500000000005</v>
      </c>
      <c r="K8" s="160">
        <f>J8*(100%-'Données projet'!$C$24)*(100%-'Données projet'!$C$25)*(100%-'Données projet'!$C$26)*(100%-'Données projet'!$C$27)</f>
        <v>23.808330000000002</v>
      </c>
      <c r="L8" s="161">
        <f t="shared" ca="1" si="2"/>
        <v>373.52505869520814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1782.8789682165191</v>
      </c>
      <c r="G16" s="175">
        <f t="shared" ca="1" si="3"/>
        <v>1219.4892142600988</v>
      </c>
      <c r="H16" s="176">
        <f t="shared" si="3"/>
        <v>118.15638637805282</v>
      </c>
      <c r="I16" s="176">
        <f t="shared" si="3"/>
        <v>80.818968282588131</v>
      </c>
      <c r="J16" s="177">
        <f t="shared" si="3"/>
        <v>1523.7052739999999</v>
      </c>
      <c r="K16" s="177">
        <f t="shared" si="3"/>
        <v>1042.2144074160001</v>
      </c>
      <c r="L16" s="178">
        <f t="shared" ca="1" si="3"/>
        <v>2342.5225899586867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Pin taeda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Robinier faux-acacia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D31" sqref="D31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2.7846000000000002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Pin taeda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4.0130999999999997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Robinier faux-acacia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1.3923000000000001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1">
        <f ca="1">T23-T24</f>
        <v>0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n'est pas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Pin taeda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12</v>
      </c>
      <c r="B54" s="193">
        <f>'Données projet'!D62</f>
        <v>34</v>
      </c>
      <c r="C54" s="206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17</v>
      </c>
      <c r="B55" s="193">
        <f>'Données projet'!D63</f>
        <v>43</v>
      </c>
      <c r="C55" s="206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22</v>
      </c>
      <c r="B56" s="193">
        <f>'Données projet'!D64</f>
        <v>56</v>
      </c>
      <c r="C56" s="206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30</v>
      </c>
      <c r="B57" s="193">
        <f>'Données projet'!D65</f>
        <v>309</v>
      </c>
      <c r="C57" s="206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Robinier faux-acacia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5</v>
      </c>
      <c r="B85" s="193">
        <f>'Données projet'!D88</f>
        <v>6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10</v>
      </c>
      <c r="B86" s="193">
        <f>'Données projet'!D89</f>
        <v>28</v>
      </c>
      <c r="C86" s="204"/>
      <c r="D86" s="191">
        <f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15</v>
      </c>
      <c r="B87" s="193">
        <f>'Données projet'!D90</f>
        <v>23</v>
      </c>
      <c r="C87" s="204"/>
      <c r="D87" s="191">
        <f t="shared" ref="D87:D104" si="6">B87*C87</f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20</v>
      </c>
      <c r="B88" s="193">
        <f>'Données projet'!D91</f>
        <v>18</v>
      </c>
      <c r="C88" s="204"/>
      <c r="D88" s="191">
        <f>B88*C88</f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25</v>
      </c>
      <c r="B89" s="193">
        <f>'Données projet'!D92</f>
        <v>14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30</v>
      </c>
      <c r="B90" s="193">
        <f>'Données projet'!D93</f>
        <v>11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35</v>
      </c>
      <c r="B91" s="193">
        <f>'Données projet'!D94</f>
        <v>9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40</v>
      </c>
      <c r="B92" s="193">
        <f>'Données projet'!D95</f>
        <v>7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45</v>
      </c>
      <c r="B93" s="193">
        <f>'Données projet'!D96</f>
        <v>312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2023-10-10T13:32:42Z</dcterms:modified>
</cp:coreProperties>
</file>