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Manon Lopez_Plumergat (56)\"/>
    </mc:Choice>
  </mc:AlternateContent>
  <xr:revisionPtr revIDLastSave="0" documentId="13_ncr:1_{9B6DD100-7A58-4BCD-A4C6-64C42913C0A9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STATION" sheetId="8" r:id="rId8"/>
  </sheets>
  <externalReferences>
    <externalReference r:id="rId9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8" l="1"/>
  <c r="R40" i="8" s="1"/>
  <c r="Q39" i="8"/>
  <c r="R39" i="8" s="1"/>
  <c r="S39" i="8" s="1"/>
  <c r="C39" i="8"/>
  <c r="B39" i="8"/>
  <c r="Q38" i="8"/>
  <c r="R38" i="8" s="1"/>
  <c r="C38" i="8"/>
  <c r="B38" i="8"/>
  <c r="Q37" i="8"/>
  <c r="R37" i="8" s="1"/>
  <c r="S37" i="8" s="1"/>
  <c r="F37" i="8"/>
  <c r="H37" i="8" s="1"/>
  <c r="I37" i="8" s="1"/>
  <c r="C37" i="8"/>
  <c r="B37" i="8"/>
  <c r="R36" i="8"/>
  <c r="S36" i="8" s="1"/>
  <c r="Q36" i="8"/>
  <c r="H36" i="8"/>
  <c r="I36" i="8" s="1"/>
  <c r="F36" i="8"/>
  <c r="C36" i="8"/>
  <c r="B36" i="8"/>
  <c r="Q35" i="8"/>
  <c r="R35" i="8" s="1"/>
  <c r="F35" i="8"/>
  <c r="H35" i="8" s="1"/>
  <c r="I35" i="8" s="1"/>
  <c r="C35" i="8"/>
  <c r="B35" i="8"/>
  <c r="Q34" i="8"/>
  <c r="R34" i="8" s="1"/>
  <c r="F34" i="8"/>
  <c r="H34" i="8" s="1"/>
  <c r="I34" i="8" s="1"/>
  <c r="C34" i="8"/>
  <c r="B34" i="8"/>
  <c r="Q33" i="8"/>
  <c r="R33" i="8" s="1"/>
  <c r="S33" i="8" s="1"/>
  <c r="F33" i="8"/>
  <c r="H33" i="8" s="1"/>
  <c r="I33" i="8" s="1"/>
  <c r="C33" i="8"/>
  <c r="B33" i="8"/>
  <c r="R32" i="8"/>
  <c r="Q32" i="8"/>
  <c r="H32" i="8"/>
  <c r="I32" i="8" s="1"/>
  <c r="J32" i="8" s="1"/>
  <c r="F32" i="8"/>
  <c r="C32" i="8"/>
  <c r="B32" i="8"/>
  <c r="Q31" i="8"/>
  <c r="R31" i="8" s="1"/>
  <c r="F31" i="8"/>
  <c r="H31" i="8" s="1"/>
  <c r="I31" i="8" s="1"/>
  <c r="C31" i="8"/>
  <c r="B31" i="8"/>
  <c r="Q30" i="8"/>
  <c r="R30" i="8" s="1"/>
  <c r="F30" i="8"/>
  <c r="H30" i="8" s="1"/>
  <c r="I30" i="8" s="1"/>
  <c r="C30" i="8"/>
  <c r="B30" i="8"/>
  <c r="Q29" i="8"/>
  <c r="R29" i="8" s="1"/>
  <c r="F29" i="8"/>
  <c r="H29" i="8" s="1"/>
  <c r="I29" i="8" s="1"/>
  <c r="C29" i="8"/>
  <c r="B29" i="8"/>
  <c r="Q28" i="8"/>
  <c r="R28" i="8" s="1"/>
  <c r="F28" i="8"/>
  <c r="H28" i="8" s="1"/>
  <c r="I28" i="8" s="1"/>
  <c r="C28" i="8"/>
  <c r="B28" i="8"/>
  <c r="Q27" i="8"/>
  <c r="R27" i="8" s="1"/>
  <c r="S27" i="8" s="1"/>
  <c r="F27" i="8"/>
  <c r="H27" i="8" s="1"/>
  <c r="I27" i="8" s="1"/>
  <c r="C27" i="8"/>
  <c r="B27" i="8"/>
  <c r="R26" i="8"/>
  <c r="S26" i="8" s="1"/>
  <c r="Q26" i="8"/>
  <c r="H26" i="8"/>
  <c r="I26" i="8" s="1"/>
  <c r="F26" i="8"/>
  <c r="C26" i="8"/>
  <c r="B26" i="8"/>
  <c r="Q25" i="8"/>
  <c r="R25" i="8" s="1"/>
  <c r="F25" i="8"/>
  <c r="H25" i="8" s="1"/>
  <c r="I25" i="8" s="1"/>
  <c r="C25" i="8"/>
  <c r="B25" i="8"/>
  <c r="Q24" i="8"/>
  <c r="R24" i="8" s="1"/>
  <c r="F24" i="8"/>
  <c r="H24" i="8" s="1"/>
  <c r="I24" i="8" s="1"/>
  <c r="C24" i="8"/>
  <c r="B24" i="8"/>
  <c r="Q23" i="8"/>
  <c r="R23" i="8" s="1"/>
  <c r="S23" i="8" s="1"/>
  <c r="F23" i="8"/>
  <c r="H23" i="8" s="1"/>
  <c r="I23" i="8" s="1"/>
  <c r="C23" i="8"/>
  <c r="B23" i="8"/>
  <c r="R22" i="8"/>
  <c r="Q22" i="8"/>
  <c r="H22" i="8"/>
  <c r="I22" i="8" s="1"/>
  <c r="J22" i="8" s="1"/>
  <c r="F22" i="8"/>
  <c r="C22" i="8"/>
  <c r="B22" i="8"/>
  <c r="Q21" i="8"/>
  <c r="R21" i="8" s="1"/>
  <c r="F21" i="8"/>
  <c r="H21" i="8" s="1"/>
  <c r="I21" i="8" s="1"/>
  <c r="C21" i="8"/>
  <c r="B21" i="8"/>
  <c r="Q20" i="8"/>
  <c r="R20" i="8" s="1"/>
  <c r="H20" i="8"/>
  <c r="I20" i="8" s="1"/>
  <c r="C20" i="8"/>
  <c r="B20" i="8"/>
  <c r="S21" i="8" l="1"/>
  <c r="S28" i="8"/>
  <c r="S29" i="8"/>
  <c r="S30" i="8"/>
  <c r="S31" i="8"/>
  <c r="J23" i="8"/>
  <c r="J24" i="8"/>
  <c r="J25" i="8"/>
  <c r="J33" i="8"/>
  <c r="J34" i="8"/>
  <c r="J35" i="8"/>
  <c r="S22" i="8"/>
  <c r="S24" i="8"/>
  <c r="S25" i="8"/>
  <c r="J26" i="8"/>
  <c r="S32" i="8"/>
  <c r="S34" i="8"/>
  <c r="S35" i="8"/>
  <c r="J36" i="8"/>
  <c r="J21" i="8"/>
  <c r="J27" i="8"/>
  <c r="J28" i="8"/>
  <c r="J29" i="8"/>
  <c r="J30" i="8"/>
  <c r="J31" i="8"/>
  <c r="J37" i="8"/>
  <c r="S38" i="8"/>
  <c r="S40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<sst xmlns="http://schemas.openxmlformats.org/spreadsheetml/2006/main" count="1195" uniqueCount="336">
  <si>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</si>
  <si>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</si>
  <si>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</si>
  <si>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</si>
  <si>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</si>
  <si>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</si>
  <si>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</si>
  <si>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</si>
  <si>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</si>
  <si>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</si>
  <si>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</si>
  <si>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</si>
  <si>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</si>
  <si>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</si>
  <si>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</si>
  <si>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</si>
  <si>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</si>
  <si>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</si>
  <si>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</si>
  <si>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</si>
  <si>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</si>
  <si>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</si>
  <si>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</si>
  <si>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</si>
  <si>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</si>
  <si>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</si>
  <si>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</si>
  <si>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</si>
  <si>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</si>
  <si>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</si>
  <si>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</si>
  <si>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</si>
  <si>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</si>
  <si>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</si>
  <si>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</si>
  <si>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</si>
  <si>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</si>
  <si>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</si>
  <si>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</si>
  <si>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</si>
  <si>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</si>
  <si>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</si>
  <si>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</si>
  <si>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</si>
  <si>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</si>
  <si>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</si>
  <si>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</si>
  <si>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</si>
  <si>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</si>
  <si>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</si>
  <si>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</si>
  <si>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</si>
  <si>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</si>
  <si>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</si>
  <si>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</si>
  <si>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</si>
  <si>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</si>
  <si>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</si>
  <si>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</si>
  <si>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</si>
  <si>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</si>
  <si>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</si>
  <si>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</si>
  <si>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</si>
  <si>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</si>
  <si>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</si>
  <si>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</si>
  <si>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</si>
  <si>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</si>
  <si>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</si>
  <si>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</si>
  <si>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</si>
  <si>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</si>
  <si>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</si>
  <si>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</si>
  <si>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</si>
  <si>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</si>
  <si>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</si>
  <si>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</si>
  <si>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</si>
  <si>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</si>
  <si>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</si>
  <si>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</si>
  <si>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</si>
  <si>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</si>
  <si>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</si>
  <si>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</si>
  <si>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</si>
  <si>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</si>
  <si>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</si>
  <si>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</si>
  <si>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</si>
  <si>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</si>
  <si>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</si>
  <si>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</si>
  <si>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</si>
  <si>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</si>
  <si>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</si>
  <si>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</si>
  <si>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</si>
  <si>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</si>
  <si>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</si>
  <si>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</si>
  <si>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</si>
  <si>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</si>
  <si>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</si>
  <si>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</si>
  <si>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</si>
  <si>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</si>
  <si>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</si>
  <si>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</si>
  <si>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</si>
  <si>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</si>
  <si>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</si>
  <si>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</si>
  <si>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</si>
  <si>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</si>
  <si>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</si>
  <si>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</si>
  <si>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</si>
  <si>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</si>
  <si>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</si>
  <si>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</si>
  <si>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</si>
  <si>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</si>
  <si>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</si>
  <si>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</si>
  <si>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</si>
  <si>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</si>
  <si>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</si>
  <si>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</si>
  <si>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</si>
  <si>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</si>
  <si>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</si>
  <si>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</si>
  <si>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</si>
  <si>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</si>
  <si>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</si>
  <si>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</si>
  <si>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</si>
  <si>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</si>
  <si>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</si>
  <si>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</si>
  <si>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</si>
  <si>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</si>
  <si>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</si>
  <si>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</si>
  <si>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</si>
  <si>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</si>
  <si>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</si>
  <si>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</si>
  <si>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</si>
  <si>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</si>
  <si>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</si>
  <si>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</si>
  <si>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</si>
  <si>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</si>
  <si>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</si>
  <si>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</si>
  <si>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</si>
  <si>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</si>
  <si>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</si>
  <si>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</si>
  <si>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</si>
  <si>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</si>
  <si>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</si>
  <si>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</si>
  <si>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</si>
  <si>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</si>
  <si>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</si>
  <si>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</si>
  <si>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</si>
  <si>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</si>
  <si>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</si>
  <si>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</si>
  <si>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</si>
  <si>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</si>
  <si>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</si>
  <si>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</si>
  <si>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</si>
  <si>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</si>
  <si>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</si>
  <si>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</si>
  <si>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</si>
  <si>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</si>
  <si>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</si>
  <si>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</si>
  <si>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</si>
  <si>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</si>
  <si>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</si>
  <si>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</si>
  <si>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</si>
  <si>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</si>
  <si>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</si>
  <si>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</si>
  <si>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</si>
  <si>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</si>
  <si>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</si>
  <si>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</si>
  <si>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</si>
  <si>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</si>
  <si>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</si>
  <si>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</si>
  <si>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</si>
  <si>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</si>
  <si>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</si>
  <si>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</si>
  <si>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</si>
  <si>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</si>
  <si>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</si>
  <si>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</si>
  <si>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</si>
  <si>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</si>
  <si>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</si>
  <si>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</si>
  <si>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</si>
  <si>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</si>
  <si>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</si>
  <si>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</si>
  <si>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</si>
  <si>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</si>
  <si>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</si>
  <si>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</si>
  <si>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</si>
  <si>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</si>
  <si>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</si>
  <si>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</si>
  <si>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</si>
  <si>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</si>
  <si>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</si>
  <si>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</si>
  <si>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</si>
  <si>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</si>
  <si>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</si>
  <si>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</si>
  <si>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</si>
  <si>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</si>
  <si>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</si>
  <si>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</si>
  <si>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</si>
  <si>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</si>
  <si>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</si>
  <si>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</si>
  <si>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</si>
  <si>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</si>
  <si>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</si>
  <si>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</si>
  <si>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</si>
  <si>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</si>
  <si>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</si>
  <si>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</si>
  <si>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</si>
  <si>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</si>
  <si>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</si>
  <si>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</si>
  <si>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</si>
  <si>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</si>
  <si>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</si>
  <si>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</si>
  <si>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</si>
  <si>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</si>
  <si>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</si>
  <si>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</si>
  <si>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</si>
  <si>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</si>
  <si>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</si>
  <si>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</si>
  <si>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</si>
  <si>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</si>
  <si>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</si>
  <si>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</si>
  <si>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</si>
  <si>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</si>
  <si>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</si>
  <si>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</si>
  <si>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</si>
  <si>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</si>
  <si>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</si>
  <si>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</si>
  <si>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</si>
  <si>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</si>
  <si>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</si>
  <si>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</si>
  <si>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</si>
  <si>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</si>
  <si>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</si>
  <si>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</si>
  <si>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</si>
  <si>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</si>
  <si>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</si>
  <si>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</si>
  <si>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</si>
  <si>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</si>
  <si>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</si>
  <si>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</si>
  <si>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</si>
  <si>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</si>
  <si>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</si>
  <si>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</si>
  <si>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</si>
  <si>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</si>
  <si>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</si>
  <si>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</si>
  <si>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</si>
  <si>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</si>
  <si>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</si>
  <si>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</si>
  <si>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</si>
  <si>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</si>
  <si>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</si>
  <si>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</si>
  <si>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</si>
  <si>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</si>
  <si>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</si>
  <si>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</si>
  <si>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</si>
  <si>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</si>
  <si>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</si>
  <si>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</si>
  <si>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</si>
  <si>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</si>
  <si>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</si>
  <si>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</si>
  <si>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</si>
  <si>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STATION 1</t>
  </si>
  <si>
    <t>STATION 2</t>
  </si>
  <si>
    <t>Circonférence</t>
  </si>
  <si>
    <t>S1</t>
  </si>
  <si>
    <t>S2</t>
  </si>
  <si>
    <t>age</t>
  </si>
  <si>
    <t>H (m)</t>
  </si>
  <si>
    <t>Vunitaire</t>
  </si>
  <si>
    <t>Vpeuplement</t>
  </si>
  <si>
    <t>CR</t>
  </si>
  <si>
    <t>station 2</t>
  </si>
  <si>
    <t>station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</si>
</sst>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9"/>
      <color rgb="FF595959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  <xf numFmtId="0" fontId="35" fillId="0" borderId="1" xfId="0" applyFont="1" applyBorder="1"/>
    <xf numFmtId="0" fontId="36" fillId="0" borderId="0" xfId="0" applyFont="1" applyAlignment="1">
      <alignment horizontal="center" vertical="center" readingOrder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0.98908547945402103</c:v>
                </c:pt>
                <c:pt idx="2">
                  <c:v>0.74380118380260563</c:v>
                </c:pt>
                <c:pt idx="3">
                  <c:v>2.1977674678312713</c:v>
                </c:pt>
                <c:pt idx="4">
                  <c:v>4.9361518770823318</c:v>
                </c:pt>
                <c:pt idx="5">
                  <c:v>13.064730388090792</c:v>
                </c:pt>
                <c:pt idx="6">
                  <c:v>26.052737556735337</c:v>
                </c:pt>
                <c:pt idx="7">
                  <c:v>41.946778176599999</c:v>
                </c:pt>
                <c:pt idx="8">
                  <c:v>63.230903317703032</c:v>
                </c:pt>
                <c:pt idx="9">
                  <c:v>90.353492439401222</c:v>
                </c:pt>
                <c:pt idx="10">
                  <c:v>123.45064356171061</c:v>
                </c:pt>
                <c:pt idx="11">
                  <c:v>162.27586503863736</c:v>
                </c:pt>
                <c:pt idx="12">
                  <c:v>192.73255283229162</c:v>
                </c:pt>
                <c:pt idx="13">
                  <c:v>253.89293710178308</c:v>
                </c:pt>
                <c:pt idx="14">
                  <c:v>286.41353316060952</c:v>
                </c:pt>
                <c:pt idx="15">
                  <c:v>315.50324331963867</c:v>
                </c:pt>
                <c:pt idx="16">
                  <c:v>339.53275989293314</c:v>
                </c:pt>
                <c:pt idx="17">
                  <c:v>356.91256907533398</c:v>
                </c:pt>
                <c:pt idx="18">
                  <c:v>366.17721230127881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[1]STATION!$B$2</c:f>
              <c:strCache>
                <c:ptCount val="1"/>
                <c:pt idx="0">
                  <c:v>Circonférence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[1]STATION!$A$3:$A$15</c:f>
              <c:numCache>
                <c:formatCode>General</c:formatCode>
                <c:ptCount val="13"/>
                <c:pt idx="0">
                  <c:v>0</c:v>
                </c:pt>
                <c:pt idx="1">
                  <c:v>1.0526315789473599</c:v>
                </c:pt>
                <c:pt idx="2">
                  <c:v>2.4853801169590599</c:v>
                </c:pt>
                <c:pt idx="3">
                  <c:v>3.9181286549707499</c:v>
                </c:pt>
                <c:pt idx="4">
                  <c:v>5.2923976608187102</c:v>
                </c:pt>
                <c:pt idx="5">
                  <c:v>6.6959064327485303</c:v>
                </c:pt>
                <c:pt idx="6">
                  <c:v>8.5672514619883007</c:v>
                </c:pt>
                <c:pt idx="7">
                  <c:v>10.789473684210501</c:v>
                </c:pt>
                <c:pt idx="8">
                  <c:v>12.6315789473684</c:v>
                </c:pt>
                <c:pt idx="9">
                  <c:v>14.766081871344999</c:v>
                </c:pt>
                <c:pt idx="10">
                  <c:v>16.6666666666666</c:v>
                </c:pt>
                <c:pt idx="11">
                  <c:v>18.245614035087701</c:v>
                </c:pt>
                <c:pt idx="12">
                  <c:v>19.883040935672501</c:v>
                </c:pt>
              </c:numCache>
            </c:numRef>
          </c:xVal>
          <c:yVal>
            <c:numRef>
              <c:f>[1]STATION!$B$3:$B$15</c:f>
              <c:numCache>
                <c:formatCode>General</c:formatCode>
                <c:ptCount val="13"/>
                <c:pt idx="0">
                  <c:v>5.2459016393442202</c:v>
                </c:pt>
                <c:pt idx="1">
                  <c:v>5.9016393442622599</c:v>
                </c:pt>
                <c:pt idx="2">
                  <c:v>12.786885245901599</c:v>
                </c:pt>
                <c:pt idx="3">
                  <c:v>27.540983606557301</c:v>
                </c:pt>
                <c:pt idx="4">
                  <c:v>45.573770491803202</c:v>
                </c:pt>
                <c:pt idx="5">
                  <c:v>66.885245901639294</c:v>
                </c:pt>
                <c:pt idx="6">
                  <c:v>91.475409836065495</c:v>
                </c:pt>
                <c:pt idx="7">
                  <c:v>116.39344262295</c:v>
                </c:pt>
                <c:pt idx="8">
                  <c:v>132.459016393442</c:v>
                </c:pt>
                <c:pt idx="9">
                  <c:v>145.573770491803</c:v>
                </c:pt>
                <c:pt idx="10">
                  <c:v>154.098360655737</c:v>
                </c:pt>
                <c:pt idx="11">
                  <c:v>160.32786885245901</c:v>
                </c:pt>
                <c:pt idx="12">
                  <c:v>165.245901639344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1A2-4FFD-A3C1-0969B784D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522144"/>
        <c:axId val="1194531392"/>
      </c:scatterChart>
      <c:valAx>
        <c:axId val="1194522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531392"/>
        <c:crosses val="autoZero"/>
        <c:crossBetween val="midCat"/>
      </c:valAx>
      <c:valAx>
        <c:axId val="119453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522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[1]STATION!$M$2</c:f>
              <c:strCache>
                <c:ptCount val="1"/>
                <c:pt idx="0">
                  <c:v>Circonférence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[1]STATION!$L$3:$L$16</c:f>
              <c:numCache>
                <c:formatCode>General</c:formatCode>
                <c:ptCount val="14"/>
                <c:pt idx="0">
                  <c:v>-8.9552238805971698E-2</c:v>
                </c:pt>
                <c:pt idx="1">
                  <c:v>1.55223880597014</c:v>
                </c:pt>
                <c:pt idx="2">
                  <c:v>4.0597014925373101</c:v>
                </c:pt>
                <c:pt idx="3">
                  <c:v>6.08955223880597</c:v>
                </c:pt>
                <c:pt idx="4">
                  <c:v>8.08955223880597</c:v>
                </c:pt>
                <c:pt idx="5">
                  <c:v>9.7014925373134293</c:v>
                </c:pt>
                <c:pt idx="6">
                  <c:v>11.194029850746199</c:v>
                </c:pt>
                <c:pt idx="7">
                  <c:v>12.597014925373101</c:v>
                </c:pt>
                <c:pt idx="8">
                  <c:v>14.0597014925373</c:v>
                </c:pt>
                <c:pt idx="9">
                  <c:v>15.910447761194</c:v>
                </c:pt>
                <c:pt idx="10">
                  <c:v>18.0597014925373</c:v>
                </c:pt>
                <c:pt idx="11">
                  <c:v>19.641791044776099</c:v>
                </c:pt>
                <c:pt idx="12">
                  <c:v>21.731343283582</c:v>
                </c:pt>
                <c:pt idx="13">
                  <c:v>22.805970149253699</c:v>
                </c:pt>
              </c:numCache>
            </c:numRef>
          </c:xVal>
          <c:yVal>
            <c:numRef>
              <c:f>[1]STATION!$M$3:$M$16</c:f>
              <c:numCache>
                <c:formatCode>General</c:formatCode>
                <c:ptCount val="14"/>
                <c:pt idx="0">
                  <c:v>6.3414634146341404</c:v>
                </c:pt>
                <c:pt idx="1">
                  <c:v>6.9918699186991899</c:v>
                </c:pt>
                <c:pt idx="2">
                  <c:v>19.349593495934901</c:v>
                </c:pt>
                <c:pt idx="3">
                  <c:v>36.585365853658502</c:v>
                </c:pt>
                <c:pt idx="4">
                  <c:v>56.422764227642197</c:v>
                </c:pt>
                <c:pt idx="5">
                  <c:v>72.682926829268297</c:v>
                </c:pt>
                <c:pt idx="6">
                  <c:v>86.341463414634106</c:v>
                </c:pt>
                <c:pt idx="7">
                  <c:v>99.024390243902403</c:v>
                </c:pt>
                <c:pt idx="8">
                  <c:v>109.75609756097499</c:v>
                </c:pt>
                <c:pt idx="9">
                  <c:v>120.813008130081</c:v>
                </c:pt>
                <c:pt idx="10">
                  <c:v>132.19512195121899</c:v>
                </c:pt>
                <c:pt idx="11">
                  <c:v>138.04878048780401</c:v>
                </c:pt>
                <c:pt idx="12">
                  <c:v>145.528455284552</c:v>
                </c:pt>
                <c:pt idx="13">
                  <c:v>148.455284552845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1B-489C-B03F-B629FCE27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528672"/>
        <c:axId val="1194527584"/>
      </c:scatterChart>
      <c:valAx>
        <c:axId val="119452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527584"/>
        <c:crosses val="autoZero"/>
        <c:crossBetween val="midCat"/>
      </c:valAx>
      <c:valAx>
        <c:axId val="119452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52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0.45625282139011136</c:v>
                </c:pt>
                <c:pt idx="2">
                  <c:v>0.15883212364771945</c:v>
                </c:pt>
                <c:pt idx="3">
                  <c:v>0.51977483395367752</c:v>
                </c:pt>
                <c:pt idx="4">
                  <c:v>1.2903088260270974</c:v>
                </c:pt>
                <c:pt idx="5">
                  <c:v>3.7159781783011891</c:v>
                </c:pt>
                <c:pt idx="6">
                  <c:v>7.9940678958893825</c:v>
                </c:pt>
                <c:pt idx="7">
                  <c:v>13.801226680799031</c:v>
                </c:pt>
                <c:pt idx="8">
                  <c:v>22.178263397412437</c:v>
                </c:pt>
                <c:pt idx="9">
                  <c:v>33.657746058058855</c:v>
                </c:pt>
                <c:pt idx="10">
                  <c:v>48.709254090893985</c:v>
                </c:pt>
                <c:pt idx="11">
                  <c:v>67.68759558797305</c:v>
                </c:pt>
                <c:pt idx="12">
                  <c:v>84.948935599423308</c:v>
                </c:pt>
                <c:pt idx="13">
                  <c:v>118.26311351497316</c:v>
                </c:pt>
                <c:pt idx="14">
                  <c:v>141.19650941955646</c:v>
                </c:pt>
                <c:pt idx="15">
                  <c:v>164.99232719658917</c:v>
                </c:pt>
                <c:pt idx="16">
                  <c:v>189.00144548980987</c:v>
                </c:pt>
                <c:pt idx="17">
                  <c:v>212.48261207642736</c:v>
                </c:pt>
                <c:pt idx="18">
                  <c:v>234.64522231392701</c:v>
                </c:pt>
                <c:pt idx="19">
                  <c:v>254.65890630206729</c:v>
                </c:pt>
                <c:pt idx="20">
                  <c:v>271.64134622428043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1</xdr:row>
      <xdr:rowOff>85725</xdr:rowOff>
    </xdr:from>
    <xdr:to>
      <xdr:col>8</xdr:col>
      <xdr:colOff>666750</xdr:colOff>
      <xdr:row>15</xdr:row>
      <xdr:rowOff>161925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12AB352-ED22-4961-8A5C-FA25D234C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233362</xdr:colOff>
      <xdr:row>0</xdr:row>
      <xdr:rowOff>180975</xdr:rowOff>
    </xdr:from>
    <xdr:to>
      <xdr:col>21</xdr:col>
      <xdr:colOff>233362</xdr:colOff>
      <xdr:row>15</xdr:row>
      <xdr:rowOff>66675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7141EDF-3904-4817-85CC-E9B320165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28575</xdr:colOff>
      <xdr:row>2</xdr:row>
      <xdr:rowOff>171450</xdr:rowOff>
    </xdr:from>
    <xdr:to>
      <xdr:col>12</xdr:col>
      <xdr:colOff>271406</xdr:colOff>
      <xdr:row>15</xdr:row>
      <xdr:rowOff>138012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7B24600-F531-4227-8046-3807D9A609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1263"/>
        <a:stretch/>
      </xdr:blipFill>
      <xdr:spPr>
        <a:xfrm>
          <a:off x="7141845" y="529590"/>
          <a:ext cx="2894591" cy="2344002"/>
        </a:xfrm>
        <a:prstGeom prst="rect">
          <a:avLst/>
        </a:prstGeom>
      </xdr:spPr>
    </xdr:pic>
    <xdr:clientData/>
  </xdr:twoCellAnchor>
  <xdr:twoCellAnchor editAs="oneCell">
    <xdr:from>
      <xdr:col>21</xdr:col>
      <xdr:colOff>333375</xdr:colOff>
      <xdr:row>4</xdr:row>
      <xdr:rowOff>28575</xdr:rowOff>
    </xdr:from>
    <xdr:to>
      <xdr:col>24</xdr:col>
      <xdr:colOff>393031</xdr:colOff>
      <xdr:row>14</xdr:row>
      <xdr:rowOff>164903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DA2D577-C45D-4E89-BCC6-346C07439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453"/>
        <a:stretch/>
      </xdr:blipFill>
      <xdr:spPr>
        <a:xfrm>
          <a:off x="17219295" y="750570"/>
          <a:ext cx="2437096" cy="19651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ropbox/SCEA%20TERRE%20ILLICH/SARL%20TERRE%20DE%20FRUITS/PLANTATIONS/PEUPLI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STATION"/>
    </sheetNames>
    <sheetDataSet>
      <sheetData sheetId="0"/>
      <sheetData sheetId="1">
        <row r="2">
          <cell r="B2" t="str">
            <v>Circonférence</v>
          </cell>
          <cell r="M2" t="str">
            <v>Circonférence</v>
          </cell>
        </row>
        <row r="3">
          <cell r="A3">
            <v>0</v>
          </cell>
          <cell r="B3">
            <v>5.2459016393442202</v>
          </cell>
          <cell r="L3">
            <v>-8.9552238805971698E-2</v>
          </cell>
          <cell r="M3">
            <v>6.3414634146341404</v>
          </cell>
        </row>
        <row r="4">
          <cell r="A4">
            <v>1.0526315789473599</v>
          </cell>
          <cell r="B4">
            <v>5.9016393442622599</v>
          </cell>
          <cell r="L4">
            <v>1.55223880597014</v>
          </cell>
          <cell r="M4">
            <v>6.9918699186991899</v>
          </cell>
        </row>
        <row r="5">
          <cell r="A5">
            <v>2.4853801169590599</v>
          </cell>
          <cell r="B5">
            <v>12.786885245901599</v>
          </cell>
          <cell r="L5">
            <v>4.0597014925373101</v>
          </cell>
          <cell r="M5">
            <v>19.349593495934901</v>
          </cell>
        </row>
        <row r="6">
          <cell r="A6">
            <v>3.9181286549707499</v>
          </cell>
          <cell r="B6">
            <v>27.540983606557301</v>
          </cell>
          <cell r="L6">
            <v>6.08955223880597</v>
          </cell>
          <cell r="M6">
            <v>36.585365853658502</v>
          </cell>
        </row>
        <row r="7">
          <cell r="A7">
            <v>5.2923976608187102</v>
          </cell>
          <cell r="B7">
            <v>45.573770491803202</v>
          </cell>
          <cell r="L7">
            <v>8.08955223880597</v>
          </cell>
          <cell r="M7">
            <v>56.422764227642197</v>
          </cell>
        </row>
        <row r="8">
          <cell r="A8">
            <v>6.6959064327485303</v>
          </cell>
          <cell r="B8">
            <v>66.885245901639294</v>
          </cell>
          <cell r="L8">
            <v>9.7014925373134293</v>
          </cell>
          <cell r="M8">
            <v>72.682926829268297</v>
          </cell>
        </row>
        <row r="9">
          <cell r="A9">
            <v>8.5672514619883007</v>
          </cell>
          <cell r="B9">
            <v>91.475409836065495</v>
          </cell>
          <cell r="L9">
            <v>11.194029850746199</v>
          </cell>
          <cell r="M9">
            <v>86.341463414634106</v>
          </cell>
        </row>
        <row r="10">
          <cell r="A10">
            <v>10.789473684210501</v>
          </cell>
          <cell r="B10">
            <v>116.39344262295</v>
          </cell>
          <cell r="L10">
            <v>12.597014925373101</v>
          </cell>
          <cell r="M10">
            <v>99.024390243902403</v>
          </cell>
        </row>
        <row r="11">
          <cell r="A11">
            <v>12.6315789473684</v>
          </cell>
          <cell r="B11">
            <v>132.459016393442</v>
          </cell>
          <cell r="L11">
            <v>14.0597014925373</v>
          </cell>
          <cell r="M11">
            <v>109.75609756097499</v>
          </cell>
        </row>
        <row r="12">
          <cell r="A12">
            <v>14.766081871344999</v>
          </cell>
          <cell r="B12">
            <v>145.573770491803</v>
          </cell>
          <cell r="L12">
            <v>15.910447761194</v>
          </cell>
          <cell r="M12">
            <v>120.813008130081</v>
          </cell>
        </row>
        <row r="13">
          <cell r="A13">
            <v>16.6666666666666</v>
          </cell>
          <cell r="B13">
            <v>154.098360655737</v>
          </cell>
          <cell r="L13">
            <v>18.0597014925373</v>
          </cell>
          <cell r="M13">
            <v>132.19512195121899</v>
          </cell>
        </row>
        <row r="14">
          <cell r="A14">
            <v>18.245614035087701</v>
          </cell>
          <cell r="B14">
            <v>160.32786885245901</v>
          </cell>
          <cell r="L14">
            <v>19.641791044776099</v>
          </cell>
          <cell r="M14">
            <v>138.04878048780401</v>
          </cell>
        </row>
        <row r="15">
          <cell r="A15">
            <v>19.883040935672501</v>
          </cell>
          <cell r="B15">
            <v>165.245901639344</v>
          </cell>
          <cell r="L15">
            <v>21.731343283582</v>
          </cell>
          <cell r="M15">
            <v>145.528455284552</v>
          </cell>
        </row>
        <row r="16">
          <cell r="L16">
            <v>22.805970149253699</v>
          </cell>
          <cell r="M16">
            <v>148.455284552845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72" t="s">
        <v>291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</row>
    <row r="13" spans="2:13" ht="15" customHeight="1" x14ac:dyDescent="0.3"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</row>
    <row r="14" spans="2:13" ht="15" customHeight="1" x14ac:dyDescent="0.3">
      <c r="B14" s="272"/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</row>
    <row r="15" spans="2:13" ht="18.75" customHeight="1" x14ac:dyDescent="0.3"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</row>
    <row r="16" spans="2:13" ht="18.75" customHeight="1" x14ac:dyDescent="0.3"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</row>
    <row r="18" spans="2:13" ht="12" customHeight="1" x14ac:dyDescent="0.3">
      <c r="B18" s="272" t="s">
        <v>292</v>
      </c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</row>
    <row r="19" spans="2:13" ht="12" customHeight="1" x14ac:dyDescent="0.3"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</row>
    <row r="20" spans="2:13" ht="12" customHeight="1" x14ac:dyDescent="0.3"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</row>
    <row r="21" spans="2:13" ht="12" customHeight="1" x14ac:dyDescent="0.3"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</row>
    <row r="22" spans="2:13" ht="12" customHeight="1" x14ac:dyDescent="0.3">
      <c r="B22" s="272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</row>
    <row r="23" spans="2:13" ht="12" customHeight="1" x14ac:dyDescent="0.3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</row>
    <row r="24" spans="2:13" ht="12" customHeight="1" x14ac:dyDescent="0.3"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</row>
    <row r="25" spans="2:13" ht="12" customHeight="1" x14ac:dyDescent="0.3"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</row>
    <row r="26" spans="2:13" ht="12" customHeight="1" x14ac:dyDescent="0.3"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</row>
    <row r="27" spans="2:13" ht="12" customHeight="1" x14ac:dyDescent="0.3"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</row>
    <row r="28" spans="2:13" ht="12" customHeight="1" x14ac:dyDescent="0.3"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</row>
    <row r="29" spans="2:13" ht="12" customHeight="1" x14ac:dyDescent="0.3"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</row>
    <row r="30" spans="2:13" ht="12" customHeight="1" x14ac:dyDescent="0.3"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</row>
    <row r="31" spans="2:13" ht="12" customHeight="1" x14ac:dyDescent="0.3"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H23" sqref="H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7" t="s">
        <v>190</v>
      </c>
      <c r="D1" s="277"/>
      <c r="E1" s="27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8" t="s">
        <v>192</v>
      </c>
      <c r="C3" s="279"/>
      <c r="D3" s="279"/>
      <c r="E3" s="279"/>
      <c r="F3" s="280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83" t="s">
        <v>231</v>
      </c>
      <c r="B5" s="283"/>
      <c r="C5" s="24">
        <v>1.4</v>
      </c>
      <c r="D5" s="284" t="s">
        <v>229</v>
      </c>
      <c r="E5" s="285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82" t="s">
        <v>226</v>
      </c>
      <c r="B7" s="282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335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128</v>
      </c>
      <c r="C9" s="264">
        <v>0.51</v>
      </c>
      <c r="D9" s="33">
        <f t="shared" ref="D9:D18" si="0">C9*$C$5</f>
        <v>0.71399999999999997</v>
      </c>
      <c r="E9" s="265">
        <v>18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128</v>
      </c>
      <c r="C10" s="264">
        <v>0.49</v>
      </c>
      <c r="D10" s="33">
        <f t="shared" si="0"/>
        <v>0.68599999999999994</v>
      </c>
      <c r="E10" s="265">
        <v>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334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81" t="s">
        <v>232</v>
      </c>
      <c r="B22" s="28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82" t="s">
        <v>227</v>
      </c>
      <c r="B30" s="282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Raspalje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73" t="s">
        <v>186</v>
      </c>
      <c r="D34" s="273"/>
      <c r="E34" s="274" t="s">
        <v>187</v>
      </c>
      <c r="F34" s="275"/>
      <c r="G34" s="275"/>
      <c r="H34" s="276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2</v>
      </c>
      <c r="B36" s="259">
        <v>0.55220813532743895</v>
      </c>
      <c r="C36" s="259"/>
      <c r="D36" s="259"/>
      <c r="E36" s="260"/>
      <c r="F36" s="260"/>
      <c r="G36" s="260"/>
      <c r="H36" s="260"/>
      <c r="I36" s="49">
        <f>IFERROR(B36/A36,"")</f>
        <v>0.27610406766371948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</v>
      </c>
      <c r="B37" s="259">
        <v>1.704696828177418</v>
      </c>
      <c r="C37" s="259"/>
      <c r="D37" s="259"/>
      <c r="E37" s="260"/>
      <c r="F37" s="260"/>
      <c r="G37" s="260"/>
      <c r="H37" s="260"/>
      <c r="I37" s="53">
        <f t="shared" ref="I37:I55" si="1">IF(A37&lt;&gt;0,(B37-(B36-D36))/(A37-A36),"")</f>
        <v>1.1524886928499791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</v>
      </c>
      <c r="B38" s="259">
        <v>3.9459927451696535</v>
      </c>
      <c r="C38" s="259"/>
      <c r="D38" s="259"/>
      <c r="E38" s="260"/>
      <c r="F38" s="260"/>
      <c r="G38" s="260"/>
      <c r="H38" s="260"/>
      <c r="I38" s="53">
        <f t="shared" si="1"/>
        <v>2.2412959169922355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</v>
      </c>
      <c r="B39" s="259">
        <v>10.80052352814193</v>
      </c>
      <c r="C39" s="259"/>
      <c r="D39" s="259"/>
      <c r="E39" s="260"/>
      <c r="F39" s="260"/>
      <c r="G39" s="260"/>
      <c r="H39" s="260"/>
      <c r="I39" s="49">
        <f t="shared" si="1"/>
        <v>6.8545307829722768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</v>
      </c>
      <c r="B40" s="259">
        <v>22.018529958064814</v>
      </c>
      <c r="C40" s="259"/>
      <c r="D40" s="259"/>
      <c r="E40" s="260"/>
      <c r="F40" s="260"/>
      <c r="G40" s="260"/>
      <c r="H40" s="260"/>
      <c r="I40" s="49">
        <f t="shared" si="1"/>
        <v>11.218006429922884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</v>
      </c>
      <c r="B41" s="259">
        <v>35.967212449353411</v>
      </c>
      <c r="C41" s="259"/>
      <c r="D41" s="259"/>
      <c r="E41" s="260"/>
      <c r="F41" s="260"/>
      <c r="G41" s="260"/>
      <c r="H41" s="260"/>
      <c r="I41" s="53">
        <f t="shared" si="1"/>
        <v>13.948682491288597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</v>
      </c>
      <c r="B42" s="259">
        <v>54.868735392875514</v>
      </c>
      <c r="C42" s="259"/>
      <c r="D42" s="259"/>
      <c r="E42" s="260"/>
      <c r="F42" s="260"/>
      <c r="G42" s="260"/>
      <c r="H42" s="260"/>
      <c r="I42" s="53">
        <f t="shared" si="1"/>
        <v>18.901522943522103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</v>
      </c>
      <c r="B43" s="259">
        <v>79.194093731399292</v>
      </c>
      <c r="C43" s="259"/>
      <c r="D43" s="259"/>
      <c r="E43" s="260"/>
      <c r="F43" s="260"/>
      <c r="G43" s="260"/>
      <c r="H43" s="260"/>
      <c r="I43" s="49">
        <f t="shared" si="1"/>
        <v>24.325358338523777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</v>
      </c>
      <c r="B44" s="259">
        <v>109.12605169033662</v>
      </c>
      <c r="C44" s="259"/>
      <c r="D44" s="259"/>
      <c r="E44" s="260"/>
      <c r="F44" s="260"/>
      <c r="G44" s="260"/>
      <c r="H44" s="260"/>
      <c r="I44" s="49">
        <f t="shared" si="1"/>
        <v>29.931957958937332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11</v>
      </c>
      <c r="B45" s="261">
        <v>144.48766659406917</v>
      </c>
      <c r="C45" s="259"/>
      <c r="D45" s="261"/>
      <c r="E45" s="260"/>
      <c r="F45" s="260"/>
      <c r="G45" s="260"/>
      <c r="H45" s="260"/>
      <c r="I45" s="49">
        <f t="shared" si="1"/>
        <v>35.361614903732544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12</v>
      </c>
      <c r="B46" s="262">
        <v>172.37187143597671</v>
      </c>
      <c r="C46" s="259"/>
      <c r="D46" s="262"/>
      <c r="E46" s="260"/>
      <c r="F46" s="260"/>
      <c r="G46" s="260"/>
      <c r="H46" s="260"/>
      <c r="I46" s="49">
        <f t="shared" si="1"/>
        <v>27.884204841907547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13</v>
      </c>
      <c r="B47" s="261">
        <v>228.6628701868232</v>
      </c>
      <c r="C47" s="259"/>
      <c r="D47" s="261"/>
      <c r="E47" s="260"/>
      <c r="F47" s="260"/>
      <c r="G47" s="260"/>
      <c r="H47" s="260"/>
      <c r="I47" s="49">
        <f t="shared" si="1"/>
        <v>56.290998750846484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14</v>
      </c>
      <c r="B48" s="261">
        <v>258.72598301572185</v>
      </c>
      <c r="C48" s="259"/>
      <c r="D48" s="261"/>
      <c r="E48" s="260"/>
      <c r="F48" s="260"/>
      <c r="G48" s="260"/>
      <c r="H48" s="260"/>
      <c r="I48" s="49">
        <f t="shared" si="1"/>
        <v>30.063112828898653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15</v>
      </c>
      <c r="B49" s="261">
        <v>285.68271631081575</v>
      </c>
      <c r="C49" s="259"/>
      <c r="D49" s="261"/>
      <c r="E49" s="260"/>
      <c r="F49" s="260"/>
      <c r="G49" s="260"/>
      <c r="H49" s="260"/>
      <c r="I49" s="49">
        <f t="shared" si="1"/>
        <v>26.956733295093898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16</v>
      </c>
      <c r="B50" s="261">
        <v>307.99218630756116</v>
      </c>
      <c r="C50" s="261"/>
      <c r="D50" s="261"/>
      <c r="E50" s="260"/>
      <c r="F50" s="260"/>
      <c r="G50" s="260"/>
      <c r="H50" s="260"/>
      <c r="I50" s="49">
        <f t="shared" si="1"/>
        <v>22.309469996745406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</v>
      </c>
      <c r="B51" s="261">
        <v>324.14977904393709</v>
      </c>
      <c r="C51" s="261"/>
      <c r="D51" s="261"/>
      <c r="E51" s="260"/>
      <c r="F51" s="260"/>
      <c r="G51" s="260"/>
      <c r="H51" s="260"/>
      <c r="I51" s="49">
        <f t="shared" si="1"/>
        <v>16.157592736375932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18</v>
      </c>
      <c r="B52" s="261">
        <v>332.77</v>
      </c>
      <c r="C52" s="261" t="s">
        <v>333</v>
      </c>
      <c r="D52" s="261">
        <v>332.77</v>
      </c>
      <c r="E52" s="260">
        <v>0.77</v>
      </c>
      <c r="F52" s="260">
        <v>0.21</v>
      </c>
      <c r="G52" s="260">
        <v>0</v>
      </c>
      <c r="H52" s="260">
        <v>0</v>
      </c>
      <c r="I52" s="49">
        <f t="shared" si="1"/>
        <v>8.6202209560628944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Raspalje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73" t="s">
        <v>186</v>
      </c>
      <c r="D60" s="273"/>
      <c r="E60" s="274" t="s">
        <v>187</v>
      </c>
      <c r="F60" s="275"/>
      <c r="G60" s="275"/>
      <c r="H60" s="276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</v>
      </c>
      <c r="B62" s="261">
        <v>0.11</v>
      </c>
      <c r="C62" s="261"/>
      <c r="D62" s="261"/>
      <c r="E62" s="260"/>
      <c r="F62" s="260"/>
      <c r="G62" s="260"/>
      <c r="H62" s="260"/>
      <c r="I62" s="53">
        <f>IFERROR(B62/A62,"")</f>
        <v>5.5E-2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</v>
      </c>
      <c r="B63" s="261">
        <v>0.38</v>
      </c>
      <c r="C63" s="261"/>
      <c r="D63" s="261"/>
      <c r="E63" s="260"/>
      <c r="F63" s="260"/>
      <c r="G63" s="260"/>
      <c r="H63" s="260"/>
      <c r="I63" s="49">
        <f>IF(A63&lt;&gt;0,(B63-(B62-D62))/(A63-A62),"")</f>
        <v>0.27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</v>
      </c>
      <c r="B64" s="261">
        <v>0.98</v>
      </c>
      <c r="C64" s="261"/>
      <c r="D64" s="261"/>
      <c r="E64" s="260"/>
      <c r="F64" s="260"/>
      <c r="G64" s="260"/>
      <c r="H64" s="260"/>
      <c r="I64" s="49">
        <f>IF(A64&lt;&gt;0,(B64-(B63-D63))/(A64-A63),"")</f>
        <v>0.6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</v>
      </c>
      <c r="B65" s="261">
        <v>2.94</v>
      </c>
      <c r="C65" s="261"/>
      <c r="D65" s="261"/>
      <c r="E65" s="260"/>
      <c r="F65" s="260"/>
      <c r="G65" s="260"/>
      <c r="H65" s="260"/>
      <c r="I65" s="49">
        <f>IF(A65&lt;&gt;0,(B65-(B64-D64))/(A65-A64),"")</f>
        <v>1.96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</v>
      </c>
      <c r="B66" s="261">
        <v>6.5</v>
      </c>
      <c r="C66" s="261"/>
      <c r="D66" s="261"/>
      <c r="E66" s="260"/>
      <c r="F66" s="260"/>
      <c r="G66" s="260"/>
      <c r="H66" s="260"/>
      <c r="I66" s="49">
        <f t="shared" ref="I66:I81" si="2">IF(A66&lt;&gt;0,(B66-(B65-D65))/(A66-A65),"")</f>
        <v>3.56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</v>
      </c>
      <c r="B67" s="261">
        <v>11.43</v>
      </c>
      <c r="C67" s="261"/>
      <c r="D67" s="261"/>
      <c r="E67" s="260"/>
      <c r="F67" s="260"/>
      <c r="G67" s="260"/>
      <c r="H67" s="260"/>
      <c r="I67" s="49">
        <f t="shared" si="2"/>
        <v>4.93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</v>
      </c>
      <c r="B68" s="261">
        <v>18.649999999999999</v>
      </c>
      <c r="C68" s="261"/>
      <c r="D68" s="261"/>
      <c r="E68" s="260"/>
      <c r="F68" s="260"/>
      <c r="G68" s="260"/>
      <c r="H68" s="260"/>
      <c r="I68" s="49">
        <f t="shared" si="2"/>
        <v>7.2199999999999989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</v>
      </c>
      <c r="B69" s="261">
        <v>28.67</v>
      </c>
      <c r="C69" s="261"/>
      <c r="D69" s="261"/>
      <c r="E69" s="260"/>
      <c r="F69" s="260"/>
      <c r="G69" s="260"/>
      <c r="H69" s="260"/>
      <c r="I69" s="49">
        <f t="shared" si="2"/>
        <v>10.020000000000003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</v>
      </c>
      <c r="B70" s="261">
        <v>41.95</v>
      </c>
      <c r="C70" s="261"/>
      <c r="D70" s="261"/>
      <c r="E70" s="260"/>
      <c r="F70" s="260"/>
      <c r="G70" s="260"/>
      <c r="H70" s="260"/>
      <c r="I70" s="49">
        <f t="shared" si="2"/>
        <v>13.280000000000001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</v>
      </c>
      <c r="B71" s="261">
        <v>58.85</v>
      </c>
      <c r="C71" s="261"/>
      <c r="D71" s="261"/>
      <c r="E71" s="260"/>
      <c r="F71" s="260"/>
      <c r="G71" s="260"/>
      <c r="H71" s="260"/>
      <c r="I71" s="49">
        <f t="shared" si="2"/>
        <v>16.899999999999999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</v>
      </c>
      <c r="B72" s="261">
        <v>74.33</v>
      </c>
      <c r="C72" s="261"/>
      <c r="D72" s="261"/>
      <c r="E72" s="260"/>
      <c r="F72" s="260"/>
      <c r="G72" s="260"/>
      <c r="H72" s="260"/>
      <c r="I72" s="49">
        <f t="shared" si="2"/>
        <v>15.479999999999997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</v>
      </c>
      <c r="B73" s="261">
        <v>104.42</v>
      </c>
      <c r="C73" s="261"/>
      <c r="D73" s="261"/>
      <c r="E73" s="260"/>
      <c r="F73" s="260"/>
      <c r="G73" s="260"/>
      <c r="H73" s="260"/>
      <c r="I73" s="49">
        <f t="shared" si="2"/>
        <v>30.090000000000003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</v>
      </c>
      <c r="B74" s="261">
        <v>125.26</v>
      </c>
      <c r="C74" s="261"/>
      <c r="D74" s="261"/>
      <c r="E74" s="260"/>
      <c r="F74" s="260"/>
      <c r="G74" s="260"/>
      <c r="H74" s="260"/>
      <c r="I74" s="49">
        <f t="shared" si="2"/>
        <v>20.840000000000003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</v>
      </c>
      <c r="B75" s="261">
        <v>146.97</v>
      </c>
      <c r="C75" s="261"/>
      <c r="D75" s="261"/>
      <c r="E75" s="260"/>
      <c r="F75" s="260"/>
      <c r="G75" s="260"/>
      <c r="H75" s="260"/>
      <c r="I75" s="49">
        <f t="shared" si="2"/>
        <v>21.709999999999994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</v>
      </c>
      <c r="B76" s="261">
        <v>168.95</v>
      </c>
      <c r="C76" s="261"/>
      <c r="D76" s="261"/>
      <c r="E76" s="260"/>
      <c r="F76" s="260"/>
      <c r="G76" s="260"/>
      <c r="H76" s="260"/>
      <c r="I76" s="49">
        <f t="shared" si="2"/>
        <v>21.97999999999999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</v>
      </c>
      <c r="B77" s="257">
        <v>190.51</v>
      </c>
      <c r="C77" s="256"/>
      <c r="D77" s="256"/>
      <c r="E77" s="255"/>
      <c r="F77" s="255"/>
      <c r="G77" s="255"/>
      <c r="H77" s="255"/>
      <c r="I77" s="49">
        <f t="shared" si="2"/>
        <v>21.560000000000002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18</v>
      </c>
      <c r="B78" s="257">
        <v>210.91</v>
      </c>
      <c r="C78" s="256"/>
      <c r="D78" s="256"/>
      <c r="E78" s="255"/>
      <c r="F78" s="255"/>
      <c r="G78" s="255"/>
      <c r="H78" s="255"/>
      <c r="I78" s="49">
        <f t="shared" si="2"/>
        <v>20.400000000000006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19</v>
      </c>
      <c r="B79" s="257">
        <v>229.37</v>
      </c>
      <c r="C79" s="256"/>
      <c r="D79" s="256"/>
      <c r="E79" s="255"/>
      <c r="F79" s="255"/>
      <c r="G79" s="255"/>
      <c r="H79" s="255"/>
      <c r="I79" s="49">
        <f t="shared" si="2"/>
        <v>18.460000000000008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20</v>
      </c>
      <c r="B80" s="257">
        <v>245.06</v>
      </c>
      <c r="C80" s="256" t="s">
        <v>333</v>
      </c>
      <c r="D80" s="256">
        <v>245.06</v>
      </c>
      <c r="E80" s="255">
        <v>0.77</v>
      </c>
      <c r="F80" s="255">
        <v>0.21</v>
      </c>
      <c r="G80" s="255">
        <v>0</v>
      </c>
      <c r="H80" s="255">
        <v>0</v>
      </c>
      <c r="I80" s="49">
        <f t="shared" si="2"/>
        <v>15.689999999999998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73" t="s">
        <v>186</v>
      </c>
      <c r="D86" s="273"/>
      <c r="E86" s="274" t="s">
        <v>187</v>
      </c>
      <c r="F86" s="275"/>
      <c r="G86" s="275"/>
      <c r="H86" s="276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73" t="s">
        <v>186</v>
      </c>
      <c r="D112" s="273"/>
      <c r="E112" s="274" t="s">
        <v>187</v>
      </c>
      <c r="F112" s="275"/>
      <c r="G112" s="275"/>
      <c r="H112" s="276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73" t="s">
        <v>186</v>
      </c>
      <c r="D138" s="273"/>
      <c r="E138" s="274" t="s">
        <v>187</v>
      </c>
      <c r="F138" s="275"/>
      <c r="G138" s="275"/>
      <c r="H138" s="276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73" t="s">
        <v>186</v>
      </c>
      <c r="D164" s="273"/>
      <c r="E164" s="274" t="s">
        <v>187</v>
      </c>
      <c r="F164" s="275"/>
      <c r="G164" s="275"/>
      <c r="H164" s="276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73" t="s">
        <v>186</v>
      </c>
      <c r="D190" s="273"/>
      <c r="E190" s="274" t="s">
        <v>187</v>
      </c>
      <c r="F190" s="275"/>
      <c r="G190" s="275"/>
      <c r="H190" s="276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73" t="s">
        <v>186</v>
      </c>
      <c r="D216" s="273"/>
      <c r="E216" s="274" t="s">
        <v>187</v>
      </c>
      <c r="F216" s="275"/>
      <c r="G216" s="275"/>
      <c r="H216" s="276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73" t="s">
        <v>186</v>
      </c>
      <c r="D242" s="273"/>
      <c r="E242" s="274" t="s">
        <v>187</v>
      </c>
      <c r="F242" s="275"/>
      <c r="G242" s="275"/>
      <c r="H242" s="276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73" t="s">
        <v>186</v>
      </c>
      <c r="D268" s="273"/>
      <c r="E268" s="274" t="s">
        <v>187</v>
      </c>
      <c r="F268" s="275"/>
      <c r="G268" s="275"/>
      <c r="H268" s="276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7" t="s">
        <v>191</v>
      </c>
      <c r="C2" s="288"/>
      <c r="D2" s="288"/>
      <c r="E2" s="288"/>
      <c r="F2" s="288"/>
      <c r="G2" s="28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6"/>
      <c r="C4" s="286"/>
      <c r="D4" s="286"/>
      <c r="E4" s="286"/>
      <c r="F4" s="286"/>
      <c r="G4" s="28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93" t="s">
        <v>176</v>
      </c>
      <c r="C1" s="294"/>
      <c r="D1" s="294"/>
      <c r="E1" s="294"/>
      <c r="F1" s="294"/>
      <c r="G1" s="294"/>
      <c r="H1" s="295"/>
      <c r="I1" s="290" t="str">
        <f>IF('Données projet'!$B$9="","",'Données projet'!$B$9)</f>
        <v>Peuplier Raspalje</v>
      </c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2"/>
      <c r="AD1" s="291" t="str">
        <f>IF('Données projet'!$B$10="","",'Données projet'!$B$10)</f>
        <v>Peuplier Raspalje</v>
      </c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2"/>
      <c r="AY1" s="290" t="str">
        <f>IF('Données projet'!$B$11="","",'Données projet'!$B$11)</f>
        <v/>
      </c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  <c r="BO1" s="291"/>
      <c r="BP1" s="291"/>
      <c r="BQ1" s="291"/>
      <c r="BR1" s="291"/>
      <c r="BS1" s="292"/>
      <c r="BT1" s="290" t="str">
        <f>IF('Données projet'!$B$12="","",'Données projet'!$B$12)</f>
        <v/>
      </c>
      <c r="BU1" s="291"/>
      <c r="BV1" s="291"/>
      <c r="BW1" s="291"/>
      <c r="BX1" s="291"/>
      <c r="BY1" s="291"/>
      <c r="BZ1" s="291"/>
      <c r="CA1" s="291"/>
      <c r="CB1" s="291"/>
      <c r="CC1" s="291"/>
      <c r="CD1" s="291"/>
      <c r="CE1" s="291"/>
      <c r="CF1" s="291"/>
      <c r="CG1" s="291"/>
      <c r="CH1" s="291"/>
      <c r="CI1" s="291"/>
      <c r="CJ1" s="291"/>
      <c r="CK1" s="291"/>
      <c r="CL1" s="291"/>
      <c r="CM1" s="291"/>
      <c r="CN1" s="292"/>
      <c r="CO1" s="290" t="str">
        <f>IF('Données projet'!$B$13="","",'Données projet'!$B$13)</f>
        <v/>
      </c>
      <c r="CP1" s="291"/>
      <c r="CQ1" s="291"/>
      <c r="CR1" s="291"/>
      <c r="CS1" s="291"/>
      <c r="CT1" s="291"/>
      <c r="CU1" s="291"/>
      <c r="CV1" s="291"/>
      <c r="CW1" s="291"/>
      <c r="CX1" s="291"/>
      <c r="CY1" s="291"/>
      <c r="CZ1" s="291"/>
      <c r="DA1" s="291"/>
      <c r="DB1" s="291"/>
      <c r="DC1" s="291"/>
      <c r="DD1" s="291"/>
      <c r="DE1" s="291"/>
      <c r="DF1" s="291"/>
      <c r="DG1" s="291"/>
      <c r="DH1" s="291"/>
      <c r="DI1" s="292"/>
      <c r="DJ1" s="290" t="str">
        <f>IF('Données projet'!$B$14="","",'Données projet'!$B$14)</f>
        <v/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2"/>
      <c r="EE1" s="290" t="str">
        <f>IF('Données projet'!$B$15="","",'Données projet'!$B$15)</f>
        <v/>
      </c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2"/>
      <c r="EZ1" s="290" t="str">
        <f>IF('Données projet'!$B$16="","",'Données projet'!$B$16)</f>
        <v/>
      </c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  <c r="FL1" s="291"/>
      <c r="FM1" s="291"/>
      <c r="FN1" s="291"/>
      <c r="FO1" s="291"/>
      <c r="FP1" s="291"/>
      <c r="FQ1" s="291"/>
      <c r="FR1" s="291"/>
      <c r="FS1" s="291"/>
      <c r="FT1" s="292"/>
      <c r="FU1" s="290" t="str">
        <f>IF('Données projet'!$B$17="","",'Données projet'!$B$17)</f>
        <v/>
      </c>
      <c r="FV1" s="291"/>
      <c r="FW1" s="291"/>
      <c r="FX1" s="291"/>
      <c r="FY1" s="291"/>
      <c r="FZ1" s="291"/>
      <c r="GA1" s="291"/>
      <c r="GB1" s="291"/>
      <c r="GC1" s="291"/>
      <c r="GD1" s="291"/>
      <c r="GE1" s="291"/>
      <c r="GF1" s="291"/>
      <c r="GG1" s="291"/>
      <c r="GH1" s="291"/>
      <c r="GI1" s="291"/>
      <c r="GJ1" s="291"/>
      <c r="GK1" s="291"/>
      <c r="GL1" s="291"/>
      <c r="GM1" s="291"/>
      <c r="GN1" s="291"/>
      <c r="GO1" s="292"/>
      <c r="GP1" s="290" t="str">
        <f>IF('Données projet'!$B$18="","",'Données projet'!$B$18)</f>
        <v/>
      </c>
      <c r="GQ1" s="291"/>
      <c r="GR1" s="291"/>
      <c r="GS1" s="291"/>
      <c r="GT1" s="291"/>
      <c r="GU1" s="291"/>
      <c r="GV1" s="291"/>
      <c r="GW1" s="291"/>
      <c r="GX1" s="291"/>
      <c r="GY1" s="291"/>
      <c r="GZ1" s="291"/>
      <c r="HA1" s="291"/>
      <c r="HB1" s="291"/>
      <c r="HC1" s="291"/>
      <c r="HD1" s="291"/>
      <c r="HE1" s="291"/>
      <c r="HF1" s="291"/>
      <c r="HG1" s="291"/>
      <c r="HH1" s="291"/>
      <c r="HI1" s="291"/>
      <c r="HJ1" s="292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149.96877706162724</v>
      </c>
      <c r="T3" s="59">
        <f>IF('Données projet'!E9&gt;30,$R$33-$H$33,LOOKUP('Données projet'!$E$9,$A$3:$A$203,R3:R203)-LOOKUP('Données projet'!$E$9,$A$3:$A$203,$H$3:$H$203))</f>
        <v>388.17721230127887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101.36506596657455</v>
      </c>
      <c r="AO3" s="59">
        <f>IF('Données projet'!E10&gt;30,$AM$33-$H$33,LOOKUP('Données projet'!$E$10,$A$3:$A$203,AM3:AM203)-LOOKUP('Données projet'!$E$10,$A$3:$A$203,$H$3:$H$203))</f>
        <v>296.08579066872488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0.27610406766371948</v>
      </c>
      <c r="N4" s="13">
        <f>IF('Données projet'!$A$36&gt;35,N3+M4-V3,IF(A4&lt;'Données projet'!$A$36,$K$205^A4,IF(A4='Données projet'!$A$36,'Données projet'!$B$36,N3+M4-V3)))</f>
        <v>0.74310708200597775</v>
      </c>
      <c r="O4" s="13">
        <f>N4*VLOOKUP('Données projet'!$B$9,Paramètres!$A$1:$I$89,3,0)*VLOOKUP('Données projet'!$B$9,Paramètres!$A$1:$I$89,5,0)</f>
        <v>0.37443679648117206</v>
      </c>
      <c r="P4" s="13">
        <f>EXP(-1.0587+0.8836*LN(O4)+0.284)</f>
        <v>0.19345917258333767</v>
      </c>
      <c r="Q4" s="20">
        <f t="shared" ref="Q4:Q34" si="2">(O4+P4)*0.475*44/12</f>
        <v>0.98908547945402103</v>
      </c>
      <c r="R4" s="59">
        <f t="shared" si="0"/>
        <v>258.8779743683429</v>
      </c>
      <c r="S4" s="59">
        <f ca="1">AVERAGE(OFFSET($R$3,0,0,'Données projet'!$E$9+1,1))-AVERAGE(OFFSET($H$3,0,0,'Données projet'!$E$9+1,1))</f>
        <v>149.96877706162724</v>
      </c>
      <c r="T4" s="59">
        <f>$T$3</f>
        <v>388.17721230127887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5.5E-2</v>
      </c>
      <c r="AI4" s="13">
        <f>IF('Données projet'!$A$62&gt;35,AI3+AH4-AQ3,IF(A4&lt;'Données projet'!$A$62,$AF$205^A4,IF(A4='Données projet'!$A$62,'Données projet'!$B$62,AI3+AH4-AQ3)))</f>
        <v>0.33166247903554003</v>
      </c>
      <c r="AJ4" s="13">
        <f>AI4*VLOOKUP('Données projet'!$B$10,Paramètres!$A$1:$I$89,3,0)*VLOOKUP('Données projet'!$B$10,Paramètres!$A$1:$I$89,5,0)</f>
        <v>0.1671180899364279</v>
      </c>
      <c r="AK4" s="13">
        <f>EXP(-1.0587+0.8836*LN(AJ4)+0.284)</f>
        <v>9.4845252488516413E-2</v>
      </c>
      <c r="AL4" s="20">
        <f t="shared" ref="AL4:AL67" si="4">(AJ4+AK4)*0.475*44/12</f>
        <v>0.45625282139011136</v>
      </c>
      <c r="AM4" s="59">
        <f t="shared" ref="AM4:AM67" si="5">AL4+(AD4+AE4)*44/12</f>
        <v>258.34514171027899</v>
      </c>
      <c r="AN4" s="59">
        <f ca="1">AVERAGE(OFFSET($AM$3,0,0,'Données projet'!$E$10+1,1))-AVERAGE(OFFSET($H$3,0,0,'Données projet'!$E$10+1,1))</f>
        <v>101.36506596657455</v>
      </c>
      <c r="AO4" s="59">
        <f>$AO$3</f>
        <v>296.08579066872488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>
        <f>VLOOKUP(A5,'Données projet'!$A$35:$I$55,2,0)</f>
        <v>0.55220813532743895</v>
      </c>
      <c r="L5" s="12">
        <f>VLOOKUP(A5,'Données projet'!$A$35:$I$55,9,0)</f>
        <v>0.27610406766371948</v>
      </c>
      <c r="M5" s="12">
        <f t="array" ref="M5">INDEX(L:L,MIN(IF(ISNUMBER(L5:L201),ROW(L5:L201),"")))</f>
        <v>0.27610406766371948</v>
      </c>
      <c r="N5" s="13">
        <f>IF('Données projet'!$A$36&gt;35,N4+M5-V4,IF(A5&lt;'Données projet'!$A$36,$K$205^A5,IF(A5='Données projet'!$A$36,'Données projet'!$B$36,N4+M5-V4)))</f>
        <v>0.55220813532743895</v>
      </c>
      <c r="O5" s="13">
        <f>N5*VLOOKUP('Données projet'!$B$9,Paramètres!$A$1:$I$89,3,0)*VLOOKUP('Données projet'!$B$9,Paramètres!$A$1:$I$89,5,0)</f>
        <v>0.27824663522878995</v>
      </c>
      <c r="P5" s="13">
        <f t="shared" ref="P5:P68" si="33">EXP(-1.0587+0.8836*LN(O5)+0.284)</f>
        <v>0.14881624542342384</v>
      </c>
      <c r="Q5" s="20">
        <f t="shared" si="2"/>
        <v>0.74380118380260563</v>
      </c>
      <c r="R5" s="59">
        <f t="shared" si="0"/>
        <v>259.85491229491373</v>
      </c>
      <c r="S5" s="59">
        <f ca="1">AVERAGE(OFFSET($R$3,0,0,'Données projet'!$E$9+1,1))-AVERAGE(OFFSET($H$3,0,0,'Données projet'!$E$9+1,1))</f>
        <v>149.96877706162724</v>
      </c>
      <c r="T5" s="59">
        <f t="shared" ref="T5:T68" si="34">$T$3</f>
        <v>388.17721230127887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>
        <f>VLOOKUP(A5,'Données projet'!$A$61:$I$81,2,0)</f>
        <v>0.11</v>
      </c>
      <c r="AG5" s="12">
        <f>VLOOKUP(A5,'Données projet'!$A$61:$I$81,9,0)</f>
        <v>5.5E-2</v>
      </c>
      <c r="AH5" s="12">
        <f t="array" ref="AH5">INDEX(AG:AG,MIN(IF(ISNUMBER(AG5:AG201),ROW(AG5:AG201),"")))</f>
        <v>5.5E-2</v>
      </c>
      <c r="AI5" s="13">
        <f>IF('Données projet'!$A$62&gt;35,AI4+AH5-AQ4,IF(A5&lt;'Données projet'!$A$62,$AF$205^A5,IF(A5='Données projet'!$A$62,'Données projet'!$B$62,AI4+AH5-AQ4)))</f>
        <v>0.11</v>
      </c>
      <c r="AJ5" s="13">
        <f>AI5*VLOOKUP('Données projet'!$B$10,Paramètres!$A$1:$I$89,3,0)*VLOOKUP('Données projet'!$B$10,Paramètres!$A$1:$I$89,5,0)</f>
        <v>5.5426799999999998E-2</v>
      </c>
      <c r="AK5" s="13">
        <f t="shared" ref="AK5:AK68" si="35">EXP(-1.0587+0.8836*LN(AJ5)+0.284)</f>
        <v>3.5768677692470489E-2</v>
      </c>
      <c r="AL5" s="20">
        <f t="shared" si="4"/>
        <v>0.15883212364771945</v>
      </c>
      <c r="AM5" s="59">
        <f t="shared" si="5"/>
        <v>259.26994323475884</v>
      </c>
      <c r="AN5" s="59">
        <f ca="1">AVERAGE(OFFSET($AM$3,0,0,'Données projet'!$E$10+1,1))-AVERAGE(OFFSET($H$3,0,0,'Données projet'!$E$10+1,1))</f>
        <v>101.36506596657455</v>
      </c>
      <c r="AO5" s="59">
        <f t="shared" ref="AO5:AO68" si="36">$AO$3</f>
        <v>296.08579066872488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>
        <f>VLOOKUP(A6,'Données projet'!$A$35:$I$55,2,0)</f>
        <v>1.704696828177418</v>
      </c>
      <c r="L6" s="12">
        <f>VLOOKUP(A6,'Données projet'!$A$35:$I$55,9,0)</f>
        <v>1.1524886928499791</v>
      </c>
      <c r="M6" s="12">
        <f t="array" ref="M6">INDEX(L:L,MIN(IF(ISNUMBER(L6:L202),ROW(L6:L202),"")))</f>
        <v>1.1524886928499791</v>
      </c>
      <c r="N6" s="13">
        <f>IF('Données projet'!$A$36&gt;35,N5+M6-V5,IF(A6&lt;'Données projet'!$A$36,$K$205^A6,IF(A6='Données projet'!$A$36,'Données projet'!$B$36,N5+M6-V5)))</f>
        <v>1.704696828177418</v>
      </c>
      <c r="O6" s="13">
        <f>N6*VLOOKUP('Données projet'!$B$9,Paramètres!$A$1:$I$89,3,0)*VLOOKUP('Données projet'!$B$9,Paramètres!$A$1:$I$89,5,0)</f>
        <v>0.85896263778203741</v>
      </c>
      <c r="P6" s="13">
        <f t="shared" si="33"/>
        <v>0.40291342030290317</v>
      </c>
      <c r="Q6" s="20">
        <f t="shared" si="2"/>
        <v>2.1977674678312713</v>
      </c>
      <c r="R6" s="59">
        <f t="shared" si="0"/>
        <v>262.5311008011646</v>
      </c>
      <c r="S6" s="59">
        <f ca="1">AVERAGE(OFFSET($R$3,0,0,'Données projet'!$E$9+1,1))-AVERAGE(OFFSET($H$3,0,0,'Données projet'!$E$9+1,1))</f>
        <v>149.96877706162724</v>
      </c>
      <c r="T6" s="59">
        <f t="shared" si="34"/>
        <v>388.17721230127887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>
        <f>VLOOKUP(A6,'Données projet'!$A$61:$I$81,2,0)</f>
        <v>0.38</v>
      </c>
      <c r="AG6" s="12">
        <f>VLOOKUP(A6,'Données projet'!$A$61:$I$81,9,0)</f>
        <v>0.27</v>
      </c>
      <c r="AH6" s="12">
        <f t="array" ref="AH6">INDEX(AG:AG,MIN(IF(ISNUMBER(AG6:AG202),ROW(AG6:AG202),"")))</f>
        <v>0.27</v>
      </c>
      <c r="AI6" s="13">
        <f>IF('Données projet'!$A$62&gt;35,AI5+AH6-AQ5,IF(A6&lt;'Données projet'!$A$62,$AF$205^A6,IF(A6='Données projet'!$A$62,'Données projet'!$B$62,AI5+AH6-AQ5)))</f>
        <v>0.38</v>
      </c>
      <c r="AJ6" s="13">
        <f>AI6*VLOOKUP('Données projet'!$B$10,Paramètres!$A$1:$I$89,3,0)*VLOOKUP('Données projet'!$B$10,Paramètres!$A$1:$I$89,5,0)</f>
        <v>0.19147440000000002</v>
      </c>
      <c r="AK6" s="13">
        <f t="shared" si="35"/>
        <v>0.10696091136096321</v>
      </c>
      <c r="AL6" s="20">
        <f t="shared" si="4"/>
        <v>0.51977483395367752</v>
      </c>
      <c r="AM6" s="59">
        <f t="shared" si="5"/>
        <v>260.85310816728702</v>
      </c>
      <c r="AN6" s="59">
        <f ca="1">AVERAGE(OFFSET($AM$3,0,0,'Données projet'!$E$10+1,1))-AVERAGE(OFFSET($H$3,0,0,'Données projet'!$E$10+1,1))</f>
        <v>101.36506596657455</v>
      </c>
      <c r="AO6" s="59">
        <f t="shared" si="36"/>
        <v>296.08579066872488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3.9459927451696535</v>
      </c>
      <c r="L7" s="12">
        <f>VLOOKUP(A7,'Données projet'!$A$35:$I$55,9,0)</f>
        <v>2.2412959169922355</v>
      </c>
      <c r="M7" s="12">
        <f t="array" ref="M7">INDEX(L:L,MIN(IF(ISNUMBER(L7:L203),ROW(L7:L203),"")))</f>
        <v>2.2412959169922355</v>
      </c>
      <c r="N7" s="13">
        <f>IF('Données projet'!$A$36&gt;35,N6+M7-V6,IF(A7&lt;'Données projet'!$A$36,$K$205^A7,IF(A7='Données projet'!$A$36,'Données projet'!$B$36,N6+M7-V6)))</f>
        <v>3.9459927451696535</v>
      </c>
      <c r="O7" s="13">
        <f>N7*VLOOKUP('Données projet'!$B$9,Paramètres!$A$1:$I$89,3,0)*VLOOKUP('Données projet'!$B$9,Paramètres!$A$1:$I$89,5,0)</f>
        <v>1.9883068244360853</v>
      </c>
      <c r="P7" s="13">
        <f t="shared" si="33"/>
        <v>0.84584736336238309</v>
      </c>
      <c r="Q7" s="20">
        <f t="shared" si="2"/>
        <v>4.9361518770823318</v>
      </c>
      <c r="R7" s="59">
        <f t="shared" si="0"/>
        <v>266.4917074326379</v>
      </c>
      <c r="S7" s="59">
        <f ca="1">AVERAGE(OFFSET($R$3,0,0,'Données projet'!$E$9+1,1))-AVERAGE(OFFSET($H$3,0,0,'Données projet'!$E$9+1,1))</f>
        <v>149.96877706162724</v>
      </c>
      <c r="T7" s="59">
        <f t="shared" si="34"/>
        <v>388.17721230127887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0.98</v>
      </c>
      <c r="AG7" s="12">
        <f>VLOOKUP(A7,'Données projet'!$A$61:$I$81,9,0)</f>
        <v>0.6</v>
      </c>
      <c r="AH7" s="12">
        <f t="array" ref="AH7">INDEX(AG:AG,MIN(IF(ISNUMBER(AG7:AG203),ROW(AG7:AG203),"")))</f>
        <v>0.6</v>
      </c>
      <c r="AI7" s="13">
        <f>IF('Données projet'!$A$62&gt;35,AI6+AH7-AQ6,IF(A7&lt;'Données projet'!$A$62,$AF$205^A7,IF(A7='Données projet'!$A$62,'Données projet'!$B$62,AI6+AH7-AQ6)))</f>
        <v>0.98</v>
      </c>
      <c r="AJ7" s="13">
        <f>AI7*VLOOKUP('Données projet'!$B$10,Paramètres!$A$1:$I$89,3,0)*VLOOKUP('Données projet'!$B$10,Paramètres!$A$1:$I$89,5,0)</f>
        <v>0.49380239999999997</v>
      </c>
      <c r="AK7" s="13">
        <f t="shared" si="35"/>
        <v>0.24704477283852494</v>
      </c>
      <c r="AL7" s="20">
        <f t="shared" si="4"/>
        <v>1.2903088260270974</v>
      </c>
      <c r="AM7" s="59">
        <f t="shared" si="5"/>
        <v>262.84586438158266</v>
      </c>
      <c r="AN7" s="59">
        <f ca="1">AVERAGE(OFFSET($AM$3,0,0,'Données projet'!$E$10+1,1))-AVERAGE(OFFSET($H$3,0,0,'Données projet'!$E$10+1,1))</f>
        <v>101.36506596657455</v>
      </c>
      <c r="AO7" s="59">
        <f t="shared" si="36"/>
        <v>296.08579066872488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10.80052352814193</v>
      </c>
      <c r="L8" s="12">
        <f>VLOOKUP(A8,'Données projet'!$A$35:$I$55,9,0)</f>
        <v>6.8545307829722768</v>
      </c>
      <c r="M8" s="12">
        <f t="array" ref="M8">INDEX(L:L,MIN(IF(ISNUMBER(L8:L204),ROW(L8:L204),"")))</f>
        <v>6.8545307829722768</v>
      </c>
      <c r="N8" s="13">
        <f>IF('Données projet'!$A$36&gt;35,N7+M8-V7,IF(A8&lt;'Données projet'!$A$36,$K$205^A8,IF(A8='Données projet'!$A$36,'Données projet'!$B$36,N7+M8-V7)))</f>
        <v>10.80052352814193</v>
      </c>
      <c r="O8" s="13">
        <f>N8*VLOOKUP('Données projet'!$B$9,Paramètres!$A$1:$I$89,3,0)*VLOOKUP('Données projet'!$B$9,Paramètres!$A$1:$I$89,5,0)</f>
        <v>5.4421677953601559</v>
      </c>
      <c r="P8" s="13">
        <f t="shared" si="33"/>
        <v>2.0591128102422127</v>
      </c>
      <c r="Q8" s="20">
        <f t="shared" si="2"/>
        <v>13.064730388090792</v>
      </c>
      <c r="R8" s="59">
        <f t="shared" si="0"/>
        <v>275.84250816586854</v>
      </c>
      <c r="S8" s="59">
        <f ca="1">AVERAGE(OFFSET($R$3,0,0,'Données projet'!$E$9+1,1))-AVERAGE(OFFSET($H$3,0,0,'Données projet'!$E$9+1,1))</f>
        <v>149.96877706162724</v>
      </c>
      <c r="T8" s="59">
        <f t="shared" si="34"/>
        <v>388.17721230127887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2.94</v>
      </c>
      <c r="AG8" s="12">
        <f>VLOOKUP(A8,'Données projet'!$A$61:$I$81,9,0)</f>
        <v>1.96</v>
      </c>
      <c r="AH8" s="12">
        <f t="array" ref="AH8">INDEX(AG:AG,MIN(IF(ISNUMBER(AG8:AG204),ROW(AG8:AG204),"")))</f>
        <v>1.96</v>
      </c>
      <c r="AI8" s="13">
        <f>IF('Données projet'!$A$62&gt;35,AI7+AH8-AQ7,IF(A8&lt;'Données projet'!$A$62,$AF$205^A8,IF(A8='Données projet'!$A$62,'Données projet'!$B$62,AI7+AH8-AQ7)))</f>
        <v>2.94</v>
      </c>
      <c r="AJ8" s="13">
        <f>AI8*VLOOKUP('Données projet'!$B$10,Paramètres!$A$1:$I$89,3,0)*VLOOKUP('Données projet'!$B$10,Paramètres!$A$1:$I$89,5,0)</f>
        <v>1.4814072</v>
      </c>
      <c r="AK8" s="13">
        <f t="shared" si="35"/>
        <v>0.65216878754135255</v>
      </c>
      <c r="AL8" s="20">
        <f t="shared" si="4"/>
        <v>3.7159781783011891</v>
      </c>
      <c r="AM8" s="59">
        <f t="shared" si="5"/>
        <v>266.49375595607899</v>
      </c>
      <c r="AN8" s="59">
        <f ca="1">AVERAGE(OFFSET($AM$3,0,0,'Données projet'!$E$10+1,1))-AVERAGE(OFFSET($H$3,0,0,'Données projet'!$E$10+1,1))</f>
        <v>101.36506596657455</v>
      </c>
      <c r="AO8" s="59">
        <f t="shared" si="36"/>
        <v>296.08579066872488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22.018529958064814</v>
      </c>
      <c r="L9" s="12">
        <f>VLOOKUP(A9,'Données projet'!$A$35:$I$55,9,0)</f>
        <v>11.218006429922884</v>
      </c>
      <c r="M9" s="12">
        <f t="array" ref="M9">INDEX(L:L,MIN(IF(ISNUMBER(L9:L205),ROW(L9:L205),"")))</f>
        <v>11.218006429922884</v>
      </c>
      <c r="N9" s="13">
        <f>IF('Données projet'!$A$36&gt;35,N8+M9-V8,IF(A9&lt;'Données projet'!$A$36,$K$205^A9,IF(A9='Données projet'!$A$36,'Données projet'!$B$36,N8+M9-V8)))</f>
        <v>22.018529958064814</v>
      </c>
      <c r="O9" s="13">
        <f>N9*VLOOKUP('Données projet'!$B$9,Paramètres!$A$1:$I$89,3,0)*VLOOKUP('Données projet'!$B$9,Paramètres!$A$1:$I$89,5,0)</f>
        <v>11.094696875269699</v>
      </c>
      <c r="P9" s="13">
        <f t="shared" si="33"/>
        <v>3.8638127266836046</v>
      </c>
      <c r="Q9" s="20">
        <f t="shared" si="2"/>
        <v>26.052737556735337</v>
      </c>
      <c r="R9" s="59">
        <f t="shared" si="0"/>
        <v>290.05273755673534</v>
      </c>
      <c r="S9" s="59">
        <f ca="1">AVERAGE(OFFSET($R$3,0,0,'Données projet'!$E$9+1,1))-AVERAGE(OFFSET($H$3,0,0,'Données projet'!$E$9+1,1))</f>
        <v>149.96877706162724</v>
      </c>
      <c r="T9" s="59">
        <f t="shared" si="34"/>
        <v>388.17721230127887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6.5</v>
      </c>
      <c r="AG9" s="12">
        <f>VLOOKUP(A9,'Données projet'!$A$61:$I$81,9,0)</f>
        <v>3.56</v>
      </c>
      <c r="AH9" s="12">
        <f t="array" ref="AH9">INDEX(AG:AG,MIN(IF(ISNUMBER(AG9:AG205),ROW(AG9:AG205),"")))</f>
        <v>3.56</v>
      </c>
      <c r="AI9" s="13">
        <f>IF('Données projet'!$A$62&gt;35,AI8+AH9-AQ8,IF(A9&lt;'Données projet'!$A$62,$AF$205^A9,IF(A9='Données projet'!$A$62,'Données projet'!$B$62,AI8+AH9-AQ8)))</f>
        <v>6.5</v>
      </c>
      <c r="AJ9" s="13">
        <f>AI9*VLOOKUP('Données projet'!$B$10,Paramètres!$A$1:$I$89,3,0)*VLOOKUP('Données projet'!$B$10,Paramètres!$A$1:$I$89,5,0)</f>
        <v>3.27522</v>
      </c>
      <c r="AK9" s="13">
        <f t="shared" si="35"/>
        <v>1.3146754426159133</v>
      </c>
      <c r="AL9" s="20">
        <f t="shared" si="4"/>
        <v>7.9940678958893825</v>
      </c>
      <c r="AM9" s="59">
        <f t="shared" si="5"/>
        <v>271.99406789588937</v>
      </c>
      <c r="AN9" s="59">
        <f ca="1">AVERAGE(OFFSET($AM$3,0,0,'Données projet'!$E$10+1,1))-AVERAGE(OFFSET($H$3,0,0,'Données projet'!$E$10+1,1))</f>
        <v>101.36506596657455</v>
      </c>
      <c r="AO9" s="59">
        <f t="shared" si="36"/>
        <v>296.08579066872488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35.967212449353411</v>
      </c>
      <c r="L10" s="12">
        <f>VLOOKUP(A10,'Données projet'!$A$35:$I$55,9,0)</f>
        <v>13.948682491288597</v>
      </c>
      <c r="M10" s="12">
        <f t="array" ref="M10">INDEX(L:L,MIN(IF(ISNUMBER(L10:L206),ROW(L10:L206),"")))</f>
        <v>13.948682491288597</v>
      </c>
      <c r="N10" s="13">
        <f>IF('Données projet'!$A$36&gt;35,N9+M10-V9,IF(A10&lt;'Données projet'!$A$36,$K$205^A10,IF(A10='Données projet'!$A$36,'Données projet'!$B$36,N9+M10-V9)))</f>
        <v>35.967212449353411</v>
      </c>
      <c r="O10" s="13">
        <f>N10*VLOOKUP('Données projet'!$B$9,Paramètres!$A$1:$I$89,3,0)*VLOOKUP('Données projet'!$B$9,Paramètres!$A$1:$I$89,5,0)</f>
        <v>18.123159008980199</v>
      </c>
      <c r="P10" s="13">
        <f t="shared" si="33"/>
        <v>5.9611155421776942</v>
      </c>
      <c r="Q10" s="20">
        <f t="shared" si="2"/>
        <v>41.946778176599999</v>
      </c>
      <c r="R10" s="59">
        <f t="shared" si="0"/>
        <v>307.16900039882222</v>
      </c>
      <c r="S10" s="59">
        <f ca="1">AVERAGE(OFFSET($R$3,0,0,'Données projet'!$E$9+1,1))-AVERAGE(OFFSET($H$3,0,0,'Données projet'!$E$9+1,1))</f>
        <v>149.96877706162724</v>
      </c>
      <c r="T10" s="59">
        <f t="shared" si="34"/>
        <v>388.17721230127887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11.43</v>
      </c>
      <c r="AG10" s="12">
        <f>VLOOKUP(A10,'Données projet'!$A$61:$I$81,9,0)</f>
        <v>4.93</v>
      </c>
      <c r="AH10" s="12">
        <f t="array" ref="AH10">INDEX(AG:AG,MIN(IF(ISNUMBER(AG10:AG206),ROW(AG10:AG206),"")))</f>
        <v>4.93</v>
      </c>
      <c r="AI10" s="13">
        <f>IF('Données projet'!$A$62&gt;35,AI9+AH10-AQ9,IF(A10&lt;'Données projet'!$A$62,$AF$205^A10,IF(A10='Données projet'!$A$62,'Données projet'!$B$62,AI9+AH10-AQ9)))</f>
        <v>11.43</v>
      </c>
      <c r="AJ10" s="13">
        <f>AI10*VLOOKUP('Données projet'!$B$10,Paramètres!$A$1:$I$89,3,0)*VLOOKUP('Données projet'!$B$10,Paramètres!$A$1:$I$89,5,0)</f>
        <v>5.7593484000000004</v>
      </c>
      <c r="AK10" s="13">
        <f t="shared" si="35"/>
        <v>2.1648008904109273</v>
      </c>
      <c r="AL10" s="20">
        <f t="shared" si="4"/>
        <v>13.801226680799031</v>
      </c>
      <c r="AM10" s="59">
        <f t="shared" si="5"/>
        <v>279.02344890302123</v>
      </c>
      <c r="AN10" s="59">
        <f ca="1">AVERAGE(OFFSET($AM$3,0,0,'Données projet'!$E$10+1,1))-AVERAGE(OFFSET($H$3,0,0,'Données projet'!$E$10+1,1))</f>
        <v>101.36506596657455</v>
      </c>
      <c r="AO10" s="59">
        <f t="shared" si="36"/>
        <v>296.08579066872488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54.868735392875514</v>
      </c>
      <c r="L11" s="12">
        <f>VLOOKUP(A11,'Données projet'!$A$35:$I$55,9,0)</f>
        <v>18.901522943522103</v>
      </c>
      <c r="M11" s="12">
        <f t="array" ref="M11">INDEX(L:L,MIN(IF(ISNUMBER(L11:L207),ROW(L11:L207),"")))</f>
        <v>18.901522943522103</v>
      </c>
      <c r="N11" s="13">
        <f>IF('Données projet'!$A$36&gt;35,N10+M11-V10,IF(A11&lt;'Données projet'!$A$36,$K$205^A11,IF(A11='Données projet'!$A$36,'Données projet'!$B$36,N10+M11-V10)))</f>
        <v>54.868735392875514</v>
      </c>
      <c r="O11" s="13">
        <f>N11*VLOOKUP('Données projet'!$B$9,Paramètres!$A$1:$I$89,3,0)*VLOOKUP('Données projet'!$B$9,Paramètres!$A$1:$I$89,5,0)</f>
        <v>27.647258389762118</v>
      </c>
      <c r="P11" s="13">
        <f t="shared" si="33"/>
        <v>8.6575664816463203</v>
      </c>
      <c r="Q11" s="20">
        <f t="shared" si="2"/>
        <v>63.230903317703032</v>
      </c>
      <c r="R11" s="59">
        <f t="shared" si="0"/>
        <v>329.67534776214751</v>
      </c>
      <c r="S11" s="59">
        <f ca="1">AVERAGE(OFFSET($R$3,0,0,'Données projet'!$E$9+1,1))-AVERAGE(OFFSET($H$3,0,0,'Données projet'!$E$9+1,1))</f>
        <v>149.96877706162724</v>
      </c>
      <c r="T11" s="59">
        <f t="shared" si="34"/>
        <v>388.17721230127887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18.649999999999999</v>
      </c>
      <c r="AG11" s="12">
        <f>VLOOKUP(A11,'Données projet'!$A$61:$I$81,9,0)</f>
        <v>7.2199999999999989</v>
      </c>
      <c r="AH11" s="12">
        <f t="array" ref="AH11">INDEX(AG:AG,MIN(IF(ISNUMBER(AG11:AG207),ROW(AG11:AG207),"")))</f>
        <v>7.2199999999999989</v>
      </c>
      <c r="AI11" s="13">
        <f>IF('Données projet'!$A$62&gt;35,AI10+AH11-AQ10,IF(A11&lt;'Données projet'!$A$62,$AF$205^A11,IF(A11='Données projet'!$A$62,'Données projet'!$B$62,AI10+AH11-AQ10)))</f>
        <v>18.649999999999999</v>
      </c>
      <c r="AJ11" s="13">
        <f>AI11*VLOOKUP('Données projet'!$B$10,Paramètres!$A$1:$I$89,3,0)*VLOOKUP('Données projet'!$B$10,Paramètres!$A$1:$I$89,5,0)</f>
        <v>9.3973620000000011</v>
      </c>
      <c r="AK11" s="13">
        <f t="shared" si="35"/>
        <v>3.336569137270299</v>
      </c>
      <c r="AL11" s="20">
        <f t="shared" si="4"/>
        <v>22.178263397412437</v>
      </c>
      <c r="AM11" s="59">
        <f t="shared" si="5"/>
        <v>288.62270784185688</v>
      </c>
      <c r="AN11" s="59">
        <f ca="1">AVERAGE(OFFSET($AM$3,0,0,'Données projet'!$E$10+1,1))-AVERAGE(OFFSET($H$3,0,0,'Données projet'!$E$10+1,1))</f>
        <v>101.36506596657455</v>
      </c>
      <c r="AO11" s="59">
        <f t="shared" si="36"/>
        <v>296.08579066872488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79.194093731399292</v>
      </c>
      <c r="L12" s="12">
        <f>VLOOKUP(A12,'Données projet'!$A$35:$I$55,9,0)</f>
        <v>24.325358338523777</v>
      </c>
      <c r="M12" s="12">
        <f t="array" ref="M12">INDEX(L:L,MIN(IF(ISNUMBER(L12:L208),ROW(L12:L208),"")))</f>
        <v>24.325358338523777</v>
      </c>
      <c r="N12" s="13">
        <f>IF('Données projet'!$A$36&gt;35,N11+M12-V11,IF(A12&lt;'Données projet'!$A$36,$K$205^A12,IF(A12='Données projet'!$A$36,'Données projet'!$B$36,N11+M12-V11)))</f>
        <v>79.194093731399292</v>
      </c>
      <c r="O12" s="13">
        <f>N12*VLOOKUP('Données projet'!$B$9,Paramètres!$A$1:$I$89,3,0)*VLOOKUP('Données projet'!$B$9,Paramètres!$A$1:$I$89,5,0)</f>
        <v>39.904319949377474</v>
      </c>
      <c r="P12" s="13">
        <f t="shared" si="33"/>
        <v>11.97328336511127</v>
      </c>
      <c r="Q12" s="20">
        <f t="shared" si="2"/>
        <v>90.353492439401222</v>
      </c>
      <c r="R12" s="59">
        <f t="shared" si="0"/>
        <v>358.02015910606792</v>
      </c>
      <c r="S12" s="59">
        <f ca="1">AVERAGE(OFFSET($R$3,0,0,'Données projet'!$E$9+1,1))-AVERAGE(OFFSET($H$3,0,0,'Données projet'!$E$9+1,1))</f>
        <v>149.96877706162724</v>
      </c>
      <c r="T12" s="59">
        <f t="shared" si="34"/>
        <v>388.17721230127887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28.67</v>
      </c>
      <c r="AG12" s="12">
        <f>VLOOKUP(A12,'Données projet'!$A$61:$I$81,9,0)</f>
        <v>10.020000000000003</v>
      </c>
      <c r="AH12" s="12">
        <f t="array" ref="AH12">INDEX(AG:AG,MIN(IF(ISNUMBER(AG12:AG208),ROW(AG12:AG208),"")))</f>
        <v>10.020000000000003</v>
      </c>
      <c r="AI12" s="13">
        <f>IF('Données projet'!$A$62&gt;35,AI11+AH12-AQ11,IF(A12&lt;'Données projet'!$A$62,$AF$205^A12,IF(A12='Données projet'!$A$62,'Données projet'!$B$62,AI11+AH12-AQ11)))</f>
        <v>28.67</v>
      </c>
      <c r="AJ12" s="13">
        <f>AI12*VLOOKUP('Données projet'!$B$10,Paramètres!$A$1:$I$89,3,0)*VLOOKUP('Données projet'!$B$10,Paramètres!$A$1:$I$89,5,0)</f>
        <v>14.4462396</v>
      </c>
      <c r="AK12" s="13">
        <f t="shared" si="35"/>
        <v>4.8787820601294865</v>
      </c>
      <c r="AL12" s="20">
        <f t="shared" si="4"/>
        <v>33.657746058058855</v>
      </c>
      <c r="AM12" s="59">
        <f t="shared" si="5"/>
        <v>301.32441272472556</v>
      </c>
      <c r="AN12" s="59">
        <f ca="1">AVERAGE(OFFSET($AM$3,0,0,'Données projet'!$E$10+1,1))-AVERAGE(OFFSET($H$3,0,0,'Données projet'!$E$10+1,1))</f>
        <v>101.36506596657455</v>
      </c>
      <c r="AO12" s="59">
        <f t="shared" si="36"/>
        <v>296.08579066872488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109.12605169033662</v>
      </c>
      <c r="L13" s="12">
        <f>VLOOKUP(A13,'Données projet'!$A$35:$I$55,9,0)</f>
        <v>29.931957958937332</v>
      </c>
      <c r="M13" s="12">
        <f t="array" ref="M13">INDEX(L:L,MIN(IF(ISNUMBER(L13:L209),ROW(L13:L209),"")))</f>
        <v>29.931957958937332</v>
      </c>
      <c r="N13" s="13">
        <f>IF('Données projet'!$A$36&gt;35,N12+M13-V12,IF(A13&lt;'Données projet'!$A$36,$K$205^A13,IF(A13='Données projet'!$A$36,'Données projet'!$B$36,N12+M13-V12)))</f>
        <v>109.12605169033662</v>
      </c>
      <c r="O13" s="13">
        <f>N13*VLOOKUP('Données projet'!$B$9,Paramètres!$A$1:$I$89,3,0)*VLOOKUP('Données projet'!$B$9,Paramètres!$A$1:$I$89,5,0)</f>
        <v>54.986434925726819</v>
      </c>
      <c r="P13" s="13">
        <f t="shared" si="33"/>
        <v>15.894317358508939</v>
      </c>
      <c r="Q13" s="20">
        <f t="shared" si="2"/>
        <v>123.45064356171061</v>
      </c>
      <c r="R13" s="59">
        <f t="shared" si="0"/>
        <v>392.33953245059945</v>
      </c>
      <c r="S13" s="59">
        <f ca="1">AVERAGE(OFFSET($R$3,0,0,'Données projet'!$E$9+1,1))-AVERAGE(OFFSET($H$3,0,0,'Données projet'!$E$9+1,1))</f>
        <v>149.96877706162724</v>
      </c>
      <c r="T13" s="59">
        <f t="shared" si="34"/>
        <v>388.17721230127887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41.95</v>
      </c>
      <c r="AG13" s="12">
        <f>VLOOKUP(A13,'Données projet'!$A$61:$I$81,9,0)</f>
        <v>13.280000000000001</v>
      </c>
      <c r="AH13" s="12">
        <f t="array" ref="AH13">INDEX(AG:AG,MIN(IF(ISNUMBER(AG13:AG209),ROW(AG13:AG209),"")))</f>
        <v>13.280000000000001</v>
      </c>
      <c r="AI13" s="13">
        <f>IF('Données projet'!$A$62&gt;35,AI12+AH13-AQ12,IF(A13&lt;'Données projet'!$A$62,$AF$205^A13,IF(A13='Données projet'!$A$62,'Données projet'!$B$62,AI12+AH13-AQ12)))</f>
        <v>41.95</v>
      </c>
      <c r="AJ13" s="13">
        <f>AI13*VLOOKUP('Données projet'!$B$10,Paramètres!$A$1:$I$89,3,0)*VLOOKUP('Données projet'!$B$10,Paramètres!$A$1:$I$89,5,0)</f>
        <v>21.137766000000003</v>
      </c>
      <c r="AK13" s="13">
        <f t="shared" si="35"/>
        <v>6.8292698416616213</v>
      </c>
      <c r="AL13" s="20">
        <f t="shared" si="4"/>
        <v>48.709254090893985</v>
      </c>
      <c r="AM13" s="59">
        <f t="shared" si="5"/>
        <v>317.59814297978284</v>
      </c>
      <c r="AN13" s="59">
        <f ca="1">AVERAGE(OFFSET($AM$3,0,0,'Données projet'!$E$10+1,1))-AVERAGE(OFFSET($H$3,0,0,'Données projet'!$E$10+1,1))</f>
        <v>101.36506596657455</v>
      </c>
      <c r="AO13" s="59">
        <f t="shared" si="36"/>
        <v>296.08579066872488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144.48766659406917</v>
      </c>
      <c r="L14" s="12">
        <f>VLOOKUP(A14,'Données projet'!$A$35:$I$55,9,0)</f>
        <v>35.361614903732544</v>
      </c>
      <c r="M14" s="12">
        <f t="array" ref="M14">INDEX(L:L,MIN(IF(ISNUMBER(L14:L210),ROW(L14:L210),"")))</f>
        <v>35.361614903732544</v>
      </c>
      <c r="N14" s="13">
        <f>IF('Données projet'!$A$36&gt;35,N13+M14-V13,IF(A14&lt;'Données projet'!$A$36,$K$205^A14,IF(A14='Données projet'!$A$36,'Données projet'!$B$36,N13+M14-V13)))</f>
        <v>144.48766659406917</v>
      </c>
      <c r="O14" s="13">
        <f>N14*VLOOKUP('Données projet'!$B$9,Paramètres!$A$1:$I$89,3,0)*VLOOKUP('Données projet'!$B$9,Paramètres!$A$1:$I$89,5,0)</f>
        <v>72.804445443419581</v>
      </c>
      <c r="P14" s="13">
        <f t="shared" si="33"/>
        <v>20.368300033309993</v>
      </c>
      <c r="Q14" s="20">
        <f t="shared" si="2"/>
        <v>162.27586503863736</v>
      </c>
      <c r="R14" s="59">
        <f t="shared" si="0"/>
        <v>432.38697614974853</v>
      </c>
      <c r="S14" s="59">
        <f ca="1">AVERAGE(OFFSET($R$3,0,0,'Données projet'!$E$9+1,1))-AVERAGE(OFFSET($H$3,0,0,'Données projet'!$E$9+1,1))</f>
        <v>149.96877706162724</v>
      </c>
      <c r="T14" s="59">
        <f t="shared" si="34"/>
        <v>388.17721230127887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58.85</v>
      </c>
      <c r="AG14" s="12">
        <f>VLOOKUP(A14,'Données projet'!$A$61:$I$81,9,0)</f>
        <v>16.899999999999999</v>
      </c>
      <c r="AH14" s="12">
        <f t="array" ref="AH14">INDEX(AG:AG,MIN(IF(ISNUMBER(AG14:AG210),ROW(AG14:AG210),"")))</f>
        <v>16.899999999999999</v>
      </c>
      <c r="AI14" s="13">
        <f>IF('Données projet'!$A$62&gt;35,AI13+AH14-AQ13,IF(A14&lt;'Données projet'!$A$62,$AF$205^A14,IF(A14='Données projet'!$A$62,'Données projet'!$B$62,AI13+AH14-AQ13)))</f>
        <v>58.85</v>
      </c>
      <c r="AJ14" s="13">
        <f>AI14*VLOOKUP('Données projet'!$B$10,Paramètres!$A$1:$I$89,3,0)*VLOOKUP('Données projet'!$B$10,Paramètres!$A$1:$I$89,5,0)</f>
        <v>29.653338000000002</v>
      </c>
      <c r="AK14" s="13">
        <f t="shared" si="35"/>
        <v>9.2103532466830877</v>
      </c>
      <c r="AL14" s="20">
        <f t="shared" si="4"/>
        <v>67.68759558797305</v>
      </c>
      <c r="AM14" s="59">
        <f t="shared" si="5"/>
        <v>337.79870669908416</v>
      </c>
      <c r="AN14" s="59">
        <f ca="1">AVERAGE(OFFSET($AM$3,0,0,'Données projet'!$E$10+1,1))-AVERAGE(OFFSET($H$3,0,0,'Données projet'!$E$10+1,1))</f>
        <v>101.36506596657455</v>
      </c>
      <c r="AO14" s="59">
        <f t="shared" si="36"/>
        <v>296.08579066872488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172.37187143597671</v>
      </c>
      <c r="L15" s="12">
        <f>VLOOKUP(A15,'Données projet'!$A$35:$I$55,9,0)</f>
        <v>27.884204841907547</v>
      </c>
      <c r="M15" s="12">
        <f t="array" ref="M15">INDEX(L:L,MIN(IF(ISNUMBER(L15:L211),ROW(L15:L211),"")))</f>
        <v>27.884204841907547</v>
      </c>
      <c r="N15" s="13">
        <f>IF('Données projet'!$A$36&gt;35,N14+M15-V14,IF(A15&lt;'Données projet'!$A$36,$K$205^A15,IF(A15='Données projet'!$A$36,'Données projet'!$B$36,N14+M15-V14)))</f>
        <v>172.37187143597671</v>
      </c>
      <c r="O15" s="13">
        <f>N15*VLOOKUP('Données projet'!$B$9,Paramètres!$A$1:$I$89,3,0)*VLOOKUP('Données projet'!$B$9,Paramètres!$A$1:$I$89,5,0)</f>
        <v>86.854738579159957</v>
      </c>
      <c r="P15" s="13">
        <f t="shared" si="33"/>
        <v>23.805100367610351</v>
      </c>
      <c r="Q15" s="20">
        <f t="shared" si="2"/>
        <v>192.73255283229162</v>
      </c>
      <c r="R15" s="59">
        <f t="shared" si="0"/>
        <v>464.06588616562493</v>
      </c>
      <c r="S15" s="59">
        <f ca="1">AVERAGE(OFFSET($R$3,0,0,'Données projet'!$E$9+1,1))-AVERAGE(OFFSET($H$3,0,0,'Données projet'!$E$9+1,1))</f>
        <v>149.96877706162724</v>
      </c>
      <c r="T15" s="59">
        <f t="shared" si="34"/>
        <v>388.17721230127887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74.33</v>
      </c>
      <c r="AG15" s="12">
        <f>VLOOKUP(A15,'Données projet'!$A$61:$I$81,9,0)</f>
        <v>15.479999999999997</v>
      </c>
      <c r="AH15" s="12">
        <f t="array" ref="AH15">INDEX(AG:AG,MIN(IF(ISNUMBER(AG15:AG211),ROW(AG15:AG211),"")))</f>
        <v>15.479999999999997</v>
      </c>
      <c r="AI15" s="13">
        <f>IF('Données projet'!$A$62&gt;35,AI14+AH15-AQ14,IF(A15&lt;'Données projet'!$A$62,$AF$205^A15,IF(A15='Données projet'!$A$62,'Données projet'!$B$62,AI14+AH15-AQ14)))</f>
        <v>74.33</v>
      </c>
      <c r="AJ15" s="13">
        <f>AI15*VLOOKUP('Données projet'!$B$10,Paramètres!$A$1:$I$89,3,0)*VLOOKUP('Données projet'!$B$10,Paramètres!$A$1:$I$89,5,0)</f>
        <v>37.453400400000007</v>
      </c>
      <c r="AK15" s="13">
        <f t="shared" si="35"/>
        <v>11.321108078137776</v>
      </c>
      <c r="AL15" s="20">
        <f t="shared" si="4"/>
        <v>84.948935599423308</v>
      </c>
      <c r="AM15" s="59">
        <f t="shared" si="5"/>
        <v>356.28226893275661</v>
      </c>
      <c r="AN15" s="59">
        <f ca="1">AVERAGE(OFFSET($AM$3,0,0,'Données projet'!$E$10+1,1))-AVERAGE(OFFSET($H$3,0,0,'Données projet'!$E$10+1,1))</f>
        <v>101.36506596657455</v>
      </c>
      <c r="AO15" s="59">
        <f t="shared" si="36"/>
        <v>296.08579066872488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228.6628701868232</v>
      </c>
      <c r="L16" s="12">
        <f>VLOOKUP(A16,'Données projet'!$A$35:$I$55,9,0)</f>
        <v>56.290998750846484</v>
      </c>
      <c r="M16" s="12">
        <f t="array" ref="M16">INDEX(L:L,MIN(IF(ISNUMBER(L16:L212),ROW(L16:L212),"")))</f>
        <v>56.290998750846484</v>
      </c>
      <c r="N16" s="13">
        <f>IF('Données projet'!$A$36&gt;35,N15+M16-V15,IF(A16&lt;'Données projet'!$A$36,$K$205^A16,IF(A16='Données projet'!$A$36,'Données projet'!$B$36,N15+M16-V15)))</f>
        <v>228.6628701868232</v>
      </c>
      <c r="O16" s="13">
        <f>N16*VLOOKUP('Données projet'!$B$9,Paramètres!$A$1:$I$89,3,0)*VLOOKUP('Données projet'!$B$9,Paramètres!$A$1:$I$89,5,0)</f>
        <v>115.21864702973647</v>
      </c>
      <c r="P16" s="13">
        <f t="shared" si="33"/>
        <v>30.557202023918883</v>
      </c>
      <c r="Q16" s="20">
        <f t="shared" si="2"/>
        <v>253.89293710178308</v>
      </c>
      <c r="R16" s="59">
        <f t="shared" si="0"/>
        <v>526.44849265733865</v>
      </c>
      <c r="S16" s="59">
        <f ca="1">AVERAGE(OFFSET($R$3,0,0,'Données projet'!$E$9+1,1))-AVERAGE(OFFSET($H$3,0,0,'Données projet'!$E$9+1,1))</f>
        <v>149.96877706162724</v>
      </c>
      <c r="T16" s="59">
        <f t="shared" si="34"/>
        <v>388.17721230127887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104.42</v>
      </c>
      <c r="AG16" s="12">
        <f>VLOOKUP(A16,'Données projet'!$A$61:$I$81,9,0)</f>
        <v>30.090000000000003</v>
      </c>
      <c r="AH16" s="12">
        <f t="array" ref="AH16">INDEX(AG:AG,MIN(IF(ISNUMBER(AG16:AG212),ROW(AG16:AG212),"")))</f>
        <v>30.090000000000003</v>
      </c>
      <c r="AI16" s="13">
        <f>IF('Données projet'!$A$62&gt;35,AI15+AH16-AQ15,IF(A16&lt;'Données projet'!$A$62,$AF$205^A16,IF(A16='Données projet'!$A$62,'Données projet'!$B$62,AI15+AH16-AQ15)))</f>
        <v>104.42</v>
      </c>
      <c r="AJ16" s="13">
        <f>AI16*VLOOKUP('Données projet'!$B$10,Paramètres!$A$1:$I$89,3,0)*VLOOKUP('Données projet'!$B$10,Paramètres!$A$1:$I$89,5,0)</f>
        <v>52.615149600000002</v>
      </c>
      <c r="AK16" s="13">
        <f t="shared" si="35"/>
        <v>15.287116532998949</v>
      </c>
      <c r="AL16" s="20">
        <f t="shared" si="4"/>
        <v>118.26311351497316</v>
      </c>
      <c r="AM16" s="59">
        <f t="shared" si="5"/>
        <v>390.8186690705287</v>
      </c>
      <c r="AN16" s="59">
        <f ca="1">AVERAGE(OFFSET($AM$3,0,0,'Données projet'!$E$10+1,1))-AVERAGE(OFFSET($H$3,0,0,'Données projet'!$E$10+1,1))</f>
        <v>101.36506596657455</v>
      </c>
      <c r="AO16" s="59">
        <f t="shared" si="36"/>
        <v>296.08579066872488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258.72598301572185</v>
      </c>
      <c r="L17" s="12">
        <f>VLOOKUP(A17,'Données projet'!$A$35:$I$55,9,0)</f>
        <v>30.063112828898653</v>
      </c>
      <c r="M17" s="12">
        <f t="array" ref="M17">INDEX(L:L,MIN(IF(ISNUMBER(L17:L213),ROW(L17:L213),"")))</f>
        <v>30.063112828898653</v>
      </c>
      <c r="N17" s="13">
        <f>IF('Données projet'!$A$36&gt;35,N16+M17-V16,IF(A17&lt;'Données projet'!$A$36,$K$205^A17,IF(A17='Données projet'!$A$36,'Données projet'!$B$36,N16+M17-V16)))</f>
        <v>258.72598301572185</v>
      </c>
      <c r="O17" s="13">
        <f>N17*VLOOKUP('Données projet'!$B$9,Paramètres!$A$1:$I$89,3,0)*VLOOKUP('Données projet'!$B$9,Paramètres!$A$1:$I$89,5,0)</f>
        <v>130.36684832196192</v>
      </c>
      <c r="P17" s="13">
        <f t="shared" si="33"/>
        <v>34.081113301354549</v>
      </c>
      <c r="Q17" s="20">
        <f t="shared" si="2"/>
        <v>286.41353316060952</v>
      </c>
      <c r="R17" s="59">
        <f t="shared" si="0"/>
        <v>560.19131093838723</v>
      </c>
      <c r="S17" s="59">
        <f ca="1">AVERAGE(OFFSET($R$3,0,0,'Données projet'!$E$9+1,1))-AVERAGE(OFFSET($H$3,0,0,'Données projet'!$E$9+1,1))</f>
        <v>149.96877706162724</v>
      </c>
      <c r="T17" s="59">
        <f t="shared" si="34"/>
        <v>388.17721230127887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125.26</v>
      </c>
      <c r="AG17" s="12">
        <f>VLOOKUP(A17,'Données projet'!$A$61:$I$81,9,0)</f>
        <v>20.840000000000003</v>
      </c>
      <c r="AH17" s="12">
        <f t="array" ref="AH17">INDEX(AG:AG,MIN(IF(ISNUMBER(AG17:AG213),ROW(AG17:AG213),"")))</f>
        <v>20.840000000000003</v>
      </c>
      <c r="AI17" s="13">
        <f>IF('Données projet'!$A$62&gt;35,AI16+AH17-AQ16,IF(A17&lt;'Données projet'!$A$62,$AF$205^A17,IF(A17='Données projet'!$A$62,'Données projet'!$B$62,AI16+AH17-AQ16)))</f>
        <v>125.26</v>
      </c>
      <c r="AJ17" s="13">
        <f>AI17*VLOOKUP('Données projet'!$B$10,Paramètres!$A$1:$I$89,3,0)*VLOOKUP('Données projet'!$B$10,Paramètres!$A$1:$I$89,5,0)</f>
        <v>63.11600880000001</v>
      </c>
      <c r="AK17" s="13">
        <f t="shared" si="35"/>
        <v>17.953757373908019</v>
      </c>
      <c r="AL17" s="20">
        <f t="shared" si="4"/>
        <v>141.19650941955646</v>
      </c>
      <c r="AM17" s="59">
        <f t="shared" si="5"/>
        <v>414.97428719733421</v>
      </c>
      <c r="AN17" s="59">
        <f ca="1">AVERAGE(OFFSET($AM$3,0,0,'Données projet'!$E$10+1,1))-AVERAGE(OFFSET($H$3,0,0,'Données projet'!$E$10+1,1))</f>
        <v>101.36506596657455</v>
      </c>
      <c r="AO17" s="59">
        <f t="shared" si="36"/>
        <v>296.08579066872488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285.68271631081575</v>
      </c>
      <c r="L18" s="12">
        <f>VLOOKUP(A18,'Données projet'!$A$35:$I$55,9,0)</f>
        <v>26.956733295093898</v>
      </c>
      <c r="M18" s="12">
        <f t="array" ref="M18">INDEX(L:L,MIN(IF(ISNUMBER(L18:L214),ROW(L18:L214),"")))</f>
        <v>26.956733295093898</v>
      </c>
      <c r="N18" s="13">
        <f>IF('Données projet'!$A$36&gt;35,N17+M18-V17,IF(A18&lt;'Données projet'!$A$36,$K$205^A18,IF(A18='Données projet'!$A$36,'Données projet'!$B$36,N17+M18-V17)))</f>
        <v>285.68271631081575</v>
      </c>
      <c r="O18" s="13">
        <f>N18*VLOOKUP('Données projet'!$B$9,Paramètres!$A$1:$I$89,3,0)*VLOOKUP('Données projet'!$B$9,Paramètres!$A$1:$I$89,5,0)</f>
        <v>143.94980709469385</v>
      </c>
      <c r="P18" s="13">
        <f t="shared" si="33"/>
        <v>37.200380457251811</v>
      </c>
      <c r="Q18" s="20">
        <f t="shared" si="2"/>
        <v>315.50324331963867</v>
      </c>
      <c r="R18" s="59">
        <f t="shared" si="0"/>
        <v>590.50324331963861</v>
      </c>
      <c r="S18" s="59">
        <f ca="1">AVERAGE(OFFSET($R$3,0,0,'Données projet'!$E$9+1,1))-AVERAGE(OFFSET($H$3,0,0,'Données projet'!$E$9+1,1))</f>
        <v>149.96877706162724</v>
      </c>
      <c r="T18" s="59">
        <f t="shared" si="34"/>
        <v>388.17721230127887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146.97</v>
      </c>
      <c r="AG18" s="12">
        <f>VLOOKUP(A18,'Données projet'!$A$61:$I$81,9,0)</f>
        <v>21.709999999999994</v>
      </c>
      <c r="AH18" s="12">
        <f t="array" ref="AH18">INDEX(AG:AG,MIN(IF(ISNUMBER(AG18:AG214),ROW(AG18:AG214),"")))</f>
        <v>21.709999999999994</v>
      </c>
      <c r="AI18" s="13">
        <f>IF('Données projet'!$A$62&gt;35,AI17+AH18-AQ17,IF(A18&lt;'Données projet'!$A$62,$AF$205^A18,IF(A18='Données projet'!$A$62,'Données projet'!$B$62,AI17+AH18-AQ17)))</f>
        <v>146.97</v>
      </c>
      <c r="AJ18" s="13">
        <f>AI18*VLOOKUP('Données projet'!$B$10,Paramètres!$A$1:$I$89,3,0)*VLOOKUP('Données projet'!$B$10,Paramètres!$A$1:$I$89,5,0)</f>
        <v>74.055243600000011</v>
      </c>
      <c r="AK18" s="13">
        <f t="shared" si="35"/>
        <v>20.67719306789807</v>
      </c>
      <c r="AL18" s="20">
        <f t="shared" si="4"/>
        <v>164.99232719658917</v>
      </c>
      <c r="AM18" s="59">
        <f t="shared" si="5"/>
        <v>439.99232719658914</v>
      </c>
      <c r="AN18" s="59">
        <f ca="1">AVERAGE(OFFSET($AM$3,0,0,'Données projet'!$E$10+1,1))-AVERAGE(OFFSET($H$3,0,0,'Données projet'!$E$10+1,1))</f>
        <v>101.36506596657455</v>
      </c>
      <c r="AO18" s="59">
        <f t="shared" si="36"/>
        <v>296.08579066872488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307.99218630756116</v>
      </c>
      <c r="L19" s="12">
        <f>VLOOKUP(A19,'Données projet'!$A$35:$I$55,9,0)</f>
        <v>22.309469996745406</v>
      </c>
      <c r="M19" s="12">
        <f t="array" ref="M19">INDEX(L:L,MIN(IF(ISNUMBER(L19:L215),ROW(L19:L215),"")))</f>
        <v>22.309469996745406</v>
      </c>
      <c r="N19" s="13">
        <f>IF('Données projet'!$A$36&gt;35,N18+M19-V18,IF(A19&lt;'Données projet'!$A$36,$K$205^A19,IF(A19='Données projet'!$A$36,'Données projet'!$B$36,N18+M19-V18)))</f>
        <v>307.99218630756116</v>
      </c>
      <c r="O19" s="13">
        <f>N19*VLOOKUP('Données projet'!$B$9,Paramètres!$A$1:$I$89,3,0)*VLOOKUP('Données projet'!$B$9,Paramètres!$A$1:$I$89,5,0)</f>
        <v>155.19110283665393</v>
      </c>
      <c r="P19" s="13">
        <f t="shared" si="33"/>
        <v>39.755936336322073</v>
      </c>
      <c r="Q19" s="20">
        <f t="shared" si="2"/>
        <v>339.53275989293314</v>
      </c>
      <c r="R19" s="59">
        <f t="shared" si="0"/>
        <v>615.75498211515537</v>
      </c>
      <c r="S19" s="59">
        <f ca="1">AVERAGE(OFFSET($R$3,0,0,'Données projet'!$E$9+1,1))-AVERAGE(OFFSET($H$3,0,0,'Données projet'!$E$9+1,1))</f>
        <v>149.96877706162724</v>
      </c>
      <c r="T19" s="59">
        <f t="shared" si="34"/>
        <v>388.17721230127887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168.95</v>
      </c>
      <c r="AG19" s="12">
        <f>VLOOKUP(A19,'Données projet'!$A$61:$I$81,9,0)</f>
        <v>21.97999999999999</v>
      </c>
      <c r="AH19" s="12">
        <f t="array" ref="AH19">INDEX(AG:AG,MIN(IF(ISNUMBER(AG19:AG215),ROW(AG19:AG215),"")))</f>
        <v>21.97999999999999</v>
      </c>
      <c r="AI19" s="13">
        <f>IF('Données projet'!$A$62&gt;35,AI18+AH19-AQ18,IF(A19&lt;'Données projet'!$A$62,$AF$205^A19,IF(A19='Données projet'!$A$62,'Données projet'!$B$62,AI18+AH19-AQ18)))</f>
        <v>168.95</v>
      </c>
      <c r="AJ19" s="13">
        <f>AI19*VLOOKUP('Données projet'!$B$10,Paramètres!$A$1:$I$89,3,0)*VLOOKUP('Données projet'!$B$10,Paramètres!$A$1:$I$89,5,0)</f>
        <v>85.130526000000003</v>
      </c>
      <c r="AK19" s="13">
        <f t="shared" si="35"/>
        <v>23.387050357785576</v>
      </c>
      <c r="AL19" s="20">
        <f t="shared" si="4"/>
        <v>189.00144548980987</v>
      </c>
      <c r="AM19" s="59">
        <f t="shared" si="5"/>
        <v>465.22366771203212</v>
      </c>
      <c r="AN19" s="59">
        <f ca="1">AVERAGE(OFFSET($AM$3,0,0,'Données projet'!$E$10+1,1))-AVERAGE(OFFSET($H$3,0,0,'Données projet'!$E$10+1,1))</f>
        <v>101.36506596657455</v>
      </c>
      <c r="AO19" s="59">
        <f t="shared" si="36"/>
        <v>296.08579066872488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324.14977904393709</v>
      </c>
      <c r="L20" s="12">
        <f>VLOOKUP(A20,'Données projet'!$A$35:$I$55,9,0)</f>
        <v>16.157592736375932</v>
      </c>
      <c r="M20" s="12">
        <f t="array" ref="M20">INDEX(L:L,MIN(IF(ISNUMBER(L20:L216),ROW(L20:L216),"")))</f>
        <v>16.157592736375932</v>
      </c>
      <c r="N20" s="13">
        <f>IF('Données projet'!$A$36&gt;35,N19+M20-V19,IF(A20&lt;'Données projet'!$A$36,$K$205^A20,IF(A20='Données projet'!$A$36,'Données projet'!$B$36,N19+M20-V19)))</f>
        <v>324.14977904393709</v>
      </c>
      <c r="O20" s="13">
        <f>N20*VLOOKUP('Données projet'!$B$9,Paramètres!$A$1:$I$89,3,0)*VLOOKUP('Données projet'!$B$9,Paramètres!$A$1:$I$89,5,0)</f>
        <v>163.33259066465902</v>
      </c>
      <c r="P20" s="13">
        <f t="shared" si="33"/>
        <v>41.593286316393979</v>
      </c>
      <c r="Q20" s="20">
        <f t="shared" si="2"/>
        <v>356.91256907533398</v>
      </c>
      <c r="R20" s="59">
        <f t="shared" si="0"/>
        <v>634.35701351977843</v>
      </c>
      <c r="S20" s="59">
        <f ca="1">AVERAGE(OFFSET($R$3,0,0,'Données projet'!$E$9+1,1))-AVERAGE(OFFSET($H$3,0,0,'Données projet'!$E$9+1,1))</f>
        <v>149.96877706162724</v>
      </c>
      <c r="T20" s="59">
        <f t="shared" si="34"/>
        <v>388.17721230127887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190.51</v>
      </c>
      <c r="AG20" s="12">
        <f>VLOOKUP(A20,'Données projet'!$A$61:$I$81,9,0)</f>
        <v>21.560000000000002</v>
      </c>
      <c r="AH20" s="12">
        <f t="array" ref="AH20">INDEX(AG:AG,MIN(IF(ISNUMBER(AG20:AG216),ROW(AG20:AG216),"")))</f>
        <v>21.560000000000002</v>
      </c>
      <c r="AI20" s="13">
        <f>IF('Données projet'!$A$62&gt;35,AI19+AH20-AQ19,IF(A20&lt;'Données projet'!$A$62,$AF$205^A20,IF(A20='Données projet'!$A$62,'Données projet'!$B$62,AI19+AH20-AQ19)))</f>
        <v>190.51</v>
      </c>
      <c r="AJ20" s="13">
        <f>AI20*VLOOKUP('Données projet'!$B$10,Paramètres!$A$1:$I$89,3,0)*VLOOKUP('Données projet'!$B$10,Paramètres!$A$1:$I$89,5,0)</f>
        <v>95.9941788</v>
      </c>
      <c r="AK20" s="13">
        <f t="shared" si="35"/>
        <v>26.005407081202321</v>
      </c>
      <c r="AL20" s="20">
        <f t="shared" si="4"/>
        <v>212.48261207642736</v>
      </c>
      <c r="AM20" s="59">
        <f t="shared" si="5"/>
        <v>489.92705652087182</v>
      </c>
      <c r="AN20" s="59">
        <f ca="1">AVERAGE(OFFSET($AM$3,0,0,'Données projet'!$E$10+1,1))-AVERAGE(OFFSET($H$3,0,0,'Données projet'!$E$10+1,1))</f>
        <v>101.36506596657455</v>
      </c>
      <c r="AO20" s="59">
        <f t="shared" si="36"/>
        <v>296.08579066872488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332.77</v>
      </c>
      <c r="L21" s="12">
        <f>VLOOKUP(A21,'Données projet'!$A$35:$I$55,9,0)</f>
        <v>8.6202209560628944</v>
      </c>
      <c r="M21" s="12">
        <f t="array" ref="M21">INDEX(L:L,MIN(IF(ISNUMBER(L21:L217),ROW(L21:L217),"")))</f>
        <v>8.6202209560628944</v>
      </c>
      <c r="N21" s="13">
        <f>IF('Données projet'!$A$36&gt;35,N20+M21-V20,IF(A21&lt;'Données projet'!$A$36,$K$205^A21,IF(A21='Données projet'!$A$36,'Données projet'!$B$36,N20+M21-V20)))</f>
        <v>332.77</v>
      </c>
      <c r="O21" s="13">
        <f>N21*VLOOKUP('Données projet'!$B$9,Paramètres!$A$1:$I$89,3,0)*VLOOKUP('Données projet'!$B$9,Paramètres!$A$1:$I$89,5,0)</f>
        <v>167.67614760000001</v>
      </c>
      <c r="P21" s="13">
        <f t="shared" si="33"/>
        <v>42.569141759585904</v>
      </c>
      <c r="Q21" s="20">
        <f t="shared" si="2"/>
        <v>366.17721230127881</v>
      </c>
      <c r="R21" s="59">
        <f t="shared" si="0"/>
        <v>644.84387896794556</v>
      </c>
      <c r="S21" s="59">
        <f ca="1">AVERAGE(OFFSET($R$3,0,0,'Données projet'!$E$9+1,1))-AVERAGE(OFFSET($H$3,0,0,'Données projet'!$E$9+1,1))</f>
        <v>149.96877706162724</v>
      </c>
      <c r="T21" s="59">
        <f t="shared" si="34"/>
        <v>388.17721230127887</v>
      </c>
      <c r="U21" s="15" t="str">
        <f>IF(ISNA(VLOOKUP(A21,'Données projet'!$A$35:$I$55,3,0)),0,VLOOKUP(A21,'Données projet'!$A$35:$I$55,3,0))</f>
        <v>CR</v>
      </c>
      <c r="V21" s="15">
        <f>IF(ISNA(VLOOKUP(A21,'Données projet'!$A$35:$I$55,4,0)),0,VLOOKUP(A21,'Données projet'!$A$35:$I$55,4,0))</f>
        <v>332.77</v>
      </c>
      <c r="W21" s="16">
        <f>IF(ISNA(VLOOKUP(A21,'Données projet'!$A$35:$I$55,5,0)),0%,VLOOKUP(A21,'Données projet'!$A$35:$I$55,5,0)*VLOOKUP('Données projet'!$B$9,Paramètres!$A$1:$I$89,7,0))</f>
        <v>0.46199999999999997</v>
      </c>
      <c r="X21" s="16">
        <f>IF(ISNA(VLOOKUP(A21,'Données projet'!$A$35:$I$55,6,0)),0%,VLOOKUP(A21,'Données projet'!$A$35:$I$55,6,0)*VLOOKUP('Données projet'!$B$9,Paramètres!$A$1:$I$89,7,0))</f>
        <v>0.126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85.636788711009658</v>
      </c>
      <c r="AA21" s="21">
        <f>EXP(-LN(2)/25)*AA20+(1-EXP(-LN(2)/25))/(LN(2)/25)*Calculateur!V21*Calculateur!X21*VLOOKUP('Données projet'!$B$9,Paramètres!$A$1:$I$89,3,0)*0.475*44/12</f>
        <v>23.263528375549029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108.90031708655869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210.91</v>
      </c>
      <c r="AG21" s="12">
        <f>VLOOKUP(A21,'Données projet'!$A$61:$I$81,9,0)</f>
        <v>20.400000000000006</v>
      </c>
      <c r="AH21" s="12">
        <f t="array" ref="AH21">INDEX(AG:AG,MIN(IF(ISNUMBER(AG21:AG217),ROW(AG21:AG217),"")))</f>
        <v>20.400000000000006</v>
      </c>
      <c r="AI21" s="13">
        <f>IF('Données projet'!$A$62&gt;35,AI20+AH21-AQ20,IF(A21&lt;'Données projet'!$A$62,$AF$205^A21,IF(A21='Données projet'!$A$62,'Données projet'!$B$62,AI20+AH21-AQ20)))</f>
        <v>210.91</v>
      </c>
      <c r="AJ21" s="13">
        <f>AI21*VLOOKUP('Données projet'!$B$10,Paramètres!$A$1:$I$89,3,0)*VLOOKUP('Données projet'!$B$10,Paramètres!$A$1:$I$89,5,0)</f>
        <v>106.27333080000001</v>
      </c>
      <c r="AK21" s="13">
        <f t="shared" si="35"/>
        <v>28.451198758235613</v>
      </c>
      <c r="AL21" s="20">
        <f t="shared" si="4"/>
        <v>234.64522231392701</v>
      </c>
      <c r="AM21" s="59">
        <f t="shared" si="5"/>
        <v>513.31188898059372</v>
      </c>
      <c r="AN21" s="59">
        <f ca="1">AVERAGE(OFFSET($AM$3,0,0,'Données projet'!$E$10+1,1))-AVERAGE(OFFSET($H$3,0,0,'Données projet'!$E$10+1,1))</f>
        <v>101.36506596657455</v>
      </c>
      <c r="AO21" s="59">
        <f t="shared" si="36"/>
        <v>296.08579066872488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149.96877706162724</v>
      </c>
      <c r="T22" s="59">
        <f t="shared" si="34"/>
        <v>388.17721230127887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83.957503517670261</v>
      </c>
      <c r="AA22" s="21">
        <f>EXP(-LN(2)/25)*AA21+(1-EXP(-LN(2)/25))/(LN(2)/25)*Calculateur!V22*Calculateur!X22*VLOOKUP('Données projet'!$B$9,Paramètres!$A$1:$I$89,3,0)*0.475*44/12</f>
        <v>22.627385968743852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106.58488948641411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229.37</v>
      </c>
      <c r="AG22" s="12">
        <f>VLOOKUP(A22,'Données projet'!$A$61:$I$81,9,0)</f>
        <v>18.460000000000008</v>
      </c>
      <c r="AH22" s="12">
        <f t="array" ref="AH22">INDEX(AG:AG,MIN(IF(ISNUMBER(AG22:AG218),ROW(AG22:AG218),"")))</f>
        <v>18.460000000000008</v>
      </c>
      <c r="AI22" s="13">
        <f>IF('Données projet'!$A$62&gt;35,AI21+AH22-AQ21,IF(A22&lt;'Données projet'!$A$62,$AF$205^A22,IF(A22='Données projet'!$A$62,'Données projet'!$B$62,AI21+AH22-AQ21)))</f>
        <v>229.37</v>
      </c>
      <c r="AJ22" s="13">
        <f>AI22*VLOOKUP('Données projet'!$B$10,Paramètres!$A$1:$I$89,3,0)*VLOOKUP('Données projet'!$B$10,Paramètres!$A$1:$I$89,5,0)</f>
        <v>115.57495560000001</v>
      </c>
      <c r="AK22" s="13">
        <f t="shared" si="35"/>
        <v>30.640684382048196</v>
      </c>
      <c r="AL22" s="20">
        <f t="shared" si="4"/>
        <v>254.65890630206729</v>
      </c>
      <c r="AM22" s="59">
        <f t="shared" si="5"/>
        <v>534.54779519095609</v>
      </c>
      <c r="AN22" s="59">
        <f ca="1">AVERAGE(OFFSET($AM$3,0,0,'Données projet'!$E$10+1,1))-AVERAGE(OFFSET($H$3,0,0,'Données projet'!$E$10+1,1))</f>
        <v>101.36506596657455</v>
      </c>
      <c r="AO22" s="59">
        <f t="shared" si="36"/>
        <v>296.08579066872488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149.96877706162724</v>
      </c>
      <c r="T23" s="59">
        <f t="shared" si="34"/>
        <v>388.17721230127887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82.311148082709423</v>
      </c>
      <c r="AA23" s="21">
        <f>EXP(-LN(2)/25)*AA22+(1-EXP(-LN(2)/25))/(LN(2)/25)*Calculateur!V23*Calculateur!X23*VLOOKUP('Données projet'!$B$9,Paramètres!$A$1:$I$89,3,0)*0.475*44/12</f>
        <v>22.00863890950604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104.31978699221546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245.06</v>
      </c>
      <c r="AG23" s="12">
        <f>VLOOKUP(A23,'Données projet'!$A$61:$I$81,9,0)</f>
        <v>15.689999999999998</v>
      </c>
      <c r="AH23" s="12">
        <f t="array" ref="AH23">INDEX(AG:AG,MIN(IF(ISNUMBER(AG23:AG219),ROW(AG23:AG219),"")))</f>
        <v>15.689999999999998</v>
      </c>
      <c r="AI23" s="13">
        <f>IF('Données projet'!$A$62&gt;35,AI22+AH23-AQ22,IF(A23&lt;'Données projet'!$A$62,$AF$205^A23,IF(A23='Données projet'!$A$62,'Données projet'!$B$62,AI22+AH23-AQ22)))</f>
        <v>245.06</v>
      </c>
      <c r="AJ23" s="13">
        <f>AI23*VLOOKUP('Données projet'!$B$10,Paramètres!$A$1:$I$89,3,0)*VLOOKUP('Données projet'!$B$10,Paramètres!$A$1:$I$89,5,0)</f>
        <v>123.48083280000002</v>
      </c>
      <c r="AK23" s="13">
        <f t="shared" si="35"/>
        <v>32.485490390974384</v>
      </c>
      <c r="AL23" s="20">
        <f t="shared" si="4"/>
        <v>271.64134622428043</v>
      </c>
      <c r="AM23" s="59">
        <f t="shared" si="5"/>
        <v>552.75245733539157</v>
      </c>
      <c r="AN23" s="59">
        <f ca="1">AVERAGE(OFFSET($AM$3,0,0,'Données projet'!$E$10+1,1))-AVERAGE(OFFSET($H$3,0,0,'Données projet'!$E$10+1,1))</f>
        <v>101.36506596657455</v>
      </c>
      <c r="AO23" s="59">
        <f t="shared" si="36"/>
        <v>296.08579066872488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245.06</v>
      </c>
      <c r="AR23" s="16">
        <f>IF(ISNA(VLOOKUP(A23,'Données projet'!$A$61:$I$81,5,0)),0%,VLOOKUP(A23,'Données projet'!$A$61:$I$81,5,0)*VLOOKUP('Données projet'!$B$10,Paramètres!$A$1:$I$89,7,0))</f>
        <v>0.46199999999999997</v>
      </c>
      <c r="AS23" s="16">
        <f>IF(ISNA(VLOOKUP(A23,'Données projet'!$A$61:$I$81,6,0)),0%,VLOOKUP(A23,'Données projet'!$A$61:$I$81,6,0)*VLOOKUP('Données projet'!$B$10,Paramètres!$A$1:$I$89,7,0))</f>
        <v>0.126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63.06503423241287</v>
      </c>
      <c r="AV23" s="21">
        <f>EXP(-LN(2)/25)*AV22+(1-EXP(-LN(2)/25))/(LN(2)/25)*Calculateur!AQ23*Calculateur!AS23*VLOOKUP('Données projet'!$B$10,Paramètres!$A$1:$I$89,3,0)*0.475*44/12</f>
        <v>17.131833589903071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80.196867822315937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149.96877706162724</v>
      </c>
      <c r="T24" s="59">
        <f t="shared" si="34"/>
        <v>388.17721230127887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80.6970766736505</v>
      </c>
      <c r="AA24" s="21">
        <f>EXP(-LN(2)/25)*AA23+(1-EXP(-LN(2)/25))/(LN(2)/25)*Calculateur!V24*Calculateur!X24*VLOOKUP('Données projet'!$B$9,Paramètres!$A$1:$I$89,3,0)*0.475*44/12</f>
        <v>21.406811521141577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102.10388819479208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101.36506596657455</v>
      </c>
      <c r="AO24" s="59">
        <f t="shared" si="36"/>
        <v>296.08579066872488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61.828367376987948</v>
      </c>
      <c r="AV24" s="21">
        <f>EXP(-LN(2)/25)*AV23+(1-EXP(-LN(2)/25))/(LN(2)/25)*Calculateur!AQ24*Calculateur!AS24*VLOOKUP('Données projet'!$B$10,Paramètres!$A$1:$I$89,3,0)*0.475*44/12</f>
        <v>16.6633626994632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78.491730076451148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149.96877706162724</v>
      </c>
      <c r="T25" s="59">
        <f t="shared" si="34"/>
        <v>388.17721230127887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79.114656220436885</v>
      </c>
      <c r="AA25" s="21">
        <f>EXP(-LN(2)/25)*AA24+(1-EXP(-LN(2)/25))/(LN(2)/25)*Calculateur!V25*Calculateur!X25*VLOOKUP('Données projet'!$B$9,Paramètres!$A$1:$I$89,3,0)*0.475*44/12</f>
        <v>20.821441134360668</v>
      </c>
      <c r="AB25" s="21">
        <f>EXP(-LN(2)/2)*AB24+(1-EXP(-LN(2)/2))/(LN(2)/2)*V25*Y25*VLOOKUP('Données projet'!$B$9,Paramètres!$A$1:$I$89,3,0)*0.475*44/12</f>
        <v>0</v>
      </c>
      <c r="AC25" s="22">
        <f t="shared" si="3"/>
        <v>99.936097354797553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101.36506596657455</v>
      </c>
      <c r="AO25" s="59">
        <f t="shared" si="36"/>
        <v>296.08579066872488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60.615950804305605</v>
      </c>
      <c r="AV25" s="21">
        <f>EXP(-LN(2)/25)*AV24+(1-EXP(-LN(2)/25))/(LN(2)/25)*Calculateur!AQ25*Calculateur!AS25*VLOOKUP('Données projet'!$B$10,Paramètres!$A$1:$I$89,3,0)*0.475*44/12</f>
        <v>16.207702170158218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76.823652974463826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149.96877706162724</v>
      </c>
      <c r="T26" s="59">
        <f t="shared" si="34"/>
        <v>388.17721230127887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77.563266067129604</v>
      </c>
      <c r="AA26" s="21">
        <f>EXP(-LN(2)/25)*AA25+(1-EXP(-LN(2)/25))/(LN(2)/25)*Calculateur!V26*Calculateur!X26*VLOOKUP('Données projet'!$B$9,Paramètres!$A$1:$I$89,3,0)*0.475*44/12</f>
        <v>20.252077731589576</v>
      </c>
      <c r="AB26" s="21">
        <f>EXP(-LN(2)/2)*AB25+(1-EXP(-LN(2)/2))/(LN(2)/2)*V26*Y26*VLOOKUP('Données projet'!$B$9,Paramètres!$A$1:$I$89,3,0)*0.475*44/12</f>
        <v>0</v>
      </c>
      <c r="AC26" s="22">
        <f t="shared" si="3"/>
        <v>97.815343798719184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101.36506596657455</v>
      </c>
      <c r="AO26" s="59">
        <f t="shared" si="36"/>
        <v>296.08579066872488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59.427308981112475</v>
      </c>
      <c r="AV26" s="21">
        <f>EXP(-LN(2)/25)*AV25+(1-EXP(-LN(2)/25))/(LN(2)/25)*Calculateur!AQ26*Calculateur!AS26*VLOOKUP('Données projet'!$B$10,Paramètres!$A$1:$I$89,3,0)*0.475*44/12</f>
        <v>15.764501701989227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75.191810683101707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149.96877706162724</v>
      </c>
      <c r="T27" s="59">
        <f t="shared" si="34"/>
        <v>388.17721230127887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76.042297728474125</v>
      </c>
      <c r="AA27" s="21">
        <f>EXP(-LN(2)/25)*AA26+(1-EXP(-LN(2)/25))/(LN(2)/25)*Calculateur!V27*Calculateur!X27*VLOOKUP('Données projet'!$B$9,Paramètres!$A$1:$I$89,3,0)*0.475*44/12</f>
        <v>19.698283601008779</v>
      </c>
      <c r="AB27" s="21">
        <f>EXP(-LN(2)/2)*AB26+(1-EXP(-LN(2)/2))/(LN(2)/2)*V27*Y27*VLOOKUP('Données projet'!$B$9,Paramètres!$A$1:$I$89,3,0)*0.475*44/12</f>
        <v>0</v>
      </c>
      <c r="AC27" s="22">
        <f t="shared" si="3"/>
        <v>95.740581329482907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101.36506596657455</v>
      </c>
      <c r="AO27" s="59">
        <f t="shared" si="36"/>
        <v>296.08579066872488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58.261975699072238</v>
      </c>
      <c r="AV27" s="21">
        <f>EXP(-LN(2)/25)*AV26+(1-EXP(-LN(2)/25))/(LN(2)/25)*Calculateur!AQ27*Calculateur!AS27*VLOOKUP('Données projet'!$B$10,Paramètres!$A$1:$I$89,3,0)*0.475*44/12</f>
        <v>15.333420573929217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73.595396273001455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149.96877706162724</v>
      </c>
      <c r="T28" s="59">
        <f t="shared" si="34"/>
        <v>388.17721230127887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74.551154651240594</v>
      </c>
      <c r="AA28" s="21">
        <f>EXP(-LN(2)/25)*AA27+(1-EXP(-LN(2)/25))/(LN(2)/25)*Calculateur!V28*Calculateur!X28*VLOOKUP('Données projet'!$B$9,Paramètres!$A$1:$I$89,3,0)*0.475*44/12</f>
        <v>19.159633000051482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93.71078765129208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101.36506596657455</v>
      </c>
      <c r="AO28" s="59">
        <f t="shared" si="36"/>
        <v>296.08579066872488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57.119493891909691</v>
      </c>
      <c r="AV28" s="21">
        <f>EXP(-LN(2)/25)*AV27+(1-EXP(-LN(2)/25))/(LN(2)/25)*Calculateur!AQ28*Calculateur!AS28*VLOOKUP('Données projet'!$B$10,Paramètres!$A$1:$I$89,3,0)*0.475*44/12</f>
        <v>14.91412738198558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72.033621273895278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149.96877706162724</v>
      </c>
      <c r="T29" s="59">
        <f t="shared" si="34"/>
        <v>388.17721230127887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73.089251980244143</v>
      </c>
      <c r="AA29" s="21">
        <f>EXP(-LN(2)/25)*AA28+(1-EXP(-LN(2)/25))/(LN(2)/25)*Calculateur!V29*Calculateur!X29*VLOOKUP('Données projet'!$B$9,Paramètres!$A$1:$I$89,3,0)*0.475*44/12</f>
        <v>18.635711828103766</v>
      </c>
      <c r="AB29" s="21">
        <f>EXP(-LN(2)/2)*AB28+(1-EXP(-LN(2)/2))/(LN(2)/2)*V29*Y29*VLOOKUP('Données projet'!$B$9,Paramètres!$A$1:$I$89,3,0)*0.475*44/12</f>
        <v>0</v>
      </c>
      <c r="AC29" s="22">
        <f t="shared" si="3"/>
        <v>91.724963808347908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101.36506596657455</v>
      </c>
      <c r="AO29" s="59">
        <f t="shared" si="36"/>
        <v>296.08579066872488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55.999415456140504</v>
      </c>
      <c r="AV29" s="21">
        <f>EXP(-LN(2)/25)*AV28+(1-EXP(-LN(2)/25))/(LN(2)/25)*Calculateur!AQ29*Calculateur!AS29*VLOOKUP('Données projet'!$B$10,Paramètres!$A$1:$I$89,3,0)*0.475*44/12</f>
        <v>14.506299784425313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70.50571524056582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149.96877706162724</v>
      </c>
      <c r="T30" s="59">
        <f t="shared" si="34"/>
        <v>388.17721230127887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71.656016328953356</v>
      </c>
      <c r="AA30" s="21">
        <f>EXP(-LN(2)/25)*AA29+(1-EXP(-LN(2)/25))/(LN(2)/25)*Calculateur!V30*Calculateur!X30*VLOOKUP('Données projet'!$B$9,Paramètres!$A$1:$I$89,3,0)*0.475*44/12</f>
        <v>18.126117308154775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89.782133637108132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101.36506596657455</v>
      </c>
      <c r="AO30" s="59">
        <f t="shared" si="36"/>
        <v>296.08579066872488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54.901301075316368</v>
      </c>
      <c r="AV30" s="21">
        <f>EXP(-LN(2)/25)*AV29+(1-EXP(-LN(2)/25))/(LN(2)/25)*Calculateur!AQ30*Calculateur!AS30*VLOOKUP('Données projet'!$B$10,Paramètres!$A$1:$I$89,3,0)*0.475*44/12</f>
        <v>14.109624253967052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69.010925329283424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149.96877706162724</v>
      </c>
      <c r="T31" s="59">
        <f t="shared" si="34"/>
        <v>388.17721230127887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70.250885554596948</v>
      </c>
      <c r="AA31" s="21">
        <f>EXP(-LN(2)/25)*AA30+(1-EXP(-LN(2)/25))/(LN(2)/25)*Calculateur!V31*Calculateur!X31*VLOOKUP('Données projet'!$B$9,Paramètres!$A$1:$I$89,3,0)*0.475*44/12</f>
        <v>17.630457677152201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87.881343231749156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101.36506596657455</v>
      </c>
      <c r="AO31" s="59">
        <f t="shared" si="36"/>
        <v>296.08579066872488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53.824720047716553</v>
      </c>
      <c r="AV31" s="21">
        <f>EXP(-LN(2)/25)*AV30+(1-EXP(-LN(2)/25))/(LN(2)/25)*Calculateur!AQ31*Calculateur!AS31*VLOOKUP('Données projet'!$B$10,Paramètres!$A$1:$I$89,3,0)*0.475*44/12</f>
        <v>13.723795836749431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67.548515884465985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149.96877706162724</v>
      </c>
      <c r="T32" s="59">
        <f t="shared" si="34"/>
        <v>388.17721230127887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68.873308537680515</v>
      </c>
      <c r="AA32" s="21">
        <f>EXP(-LN(2)/25)*AA31+(1-EXP(-LN(2)/25))/(LN(2)/25)*Calculateur!V32*Calculateur!X32*VLOOKUP('Données projet'!$B$9,Paramètres!$A$1:$I$89,3,0)*0.475*44/12</f>
        <v>17.148351884825001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86.021660422505519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101.36506596657455</v>
      </c>
      <c r="AO32" s="59">
        <f t="shared" si="36"/>
        <v>296.08579066872488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52.76925011741838</v>
      </c>
      <c r="AV32" s="21">
        <f>EXP(-LN(2)/25)*AV31+(1-EXP(-LN(2)/25))/(LN(2)/25)*Calculateur!AQ32*Calculateur!AS32*VLOOKUP('Données projet'!$B$10,Paramètres!$A$1:$I$89,3,0)*0.475*44/12</f>
        <v>13.348517917890462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66.117768035308842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149.96877706162724</v>
      </c>
      <c r="T33" s="59">
        <f t="shared" si="34"/>
        <v>388.17721230127887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67.522744965826803</v>
      </c>
      <c r="AA33" s="21">
        <f>EXP(-LN(2)/25)*AA32+(1-EXP(-LN(2)/25))/(LN(2)/25)*Calculateur!V33*Calculateur!X33*VLOOKUP('Données projet'!$B$9,Paramètres!$A$1:$I$89,3,0)*0.475*44/12</f>
        <v>16.679429300741827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84.202174266568633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101.36506596657455</v>
      </c>
      <c r="AO33" s="59">
        <f t="shared" si="36"/>
        <v>296.08579066872488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51.734477308680269</v>
      </c>
      <c r="AV33" s="21">
        <f>EXP(-LN(2)/25)*AV32+(1-EXP(-LN(2)/25))/(LN(2)/25)*Calculateur!AQ33*Calculateur!AS33*VLOOKUP('Données projet'!$B$10,Paramètres!$A$1:$I$89,3,0)*0.475*44/12</f>
        <v>12.983501993457699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64.717979302137962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149.96877706162724</v>
      </c>
      <c r="T34" s="59">
        <f t="shared" si="34"/>
        <v>388.17721230127887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66.198665121854702</v>
      </c>
      <c r="AA34" s="21">
        <f>EXP(-LN(2)/25)*AA33+(1-EXP(-LN(2)/25))/(LN(2)/25)*Calculateur!V34*Calculateur!X34*VLOOKUP('Données projet'!$B$9,Paramètres!$A$1:$I$89,3,0)*0.475*44/12</f>
        <v>16.223329429379977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82.421994551234675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101.36506596657455</v>
      </c>
      <c r="AO34" s="59">
        <f t="shared" si="36"/>
        <v>296.08579066872488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50.71999576357242</v>
      </c>
      <c r="AV34" s="21">
        <f>EXP(-LN(2)/25)*AV33+(1-EXP(-LN(2)/25))/(LN(2)/25)*Calculateur!AQ34*Calculateur!AS34*VLOOKUP('Données projet'!$B$10,Paramètres!$A$1:$I$89,3,0)*0.475*44/12</f>
        <v>12.628467448673902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63.348463212246322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149.96877706162724</v>
      </c>
      <c r="T35" s="59">
        <f t="shared" si="34"/>
        <v>388.17721230127887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64.900549676013938</v>
      </c>
      <c r="AA35" s="21">
        <f>EXP(-LN(2)/25)*AA34+(1-EXP(-LN(2)/25))/(LN(2)/25)*Calculateur!V35*Calculateur!X35*VLOOKUP('Données projet'!$B$9,Paramètres!$A$1:$I$89,3,0)*0.475*44/12</f>
        <v>15.779701632985766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80.680251308999701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101.36506596657455</v>
      </c>
      <c r="AO35" s="59">
        <f t="shared" si="36"/>
        <v>296.08579066872488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49.72540758279149</v>
      </c>
      <c r="AV35" s="21">
        <f>EXP(-LN(2)/25)*AV34+(1-EXP(-LN(2)/25))/(LN(2)/25)*Calculateur!AQ35*Calculateur!AS35*VLOOKUP('Données projet'!$B$10,Paramètres!$A$1:$I$89,3,0)*0.475*44/12</f>
        <v>12.283141342187674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62.008548924979166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149.96877706162724</v>
      </c>
      <c r="T36" s="59">
        <f t="shared" si="34"/>
        <v>388.17721230127887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63.627889482293874</v>
      </c>
      <c r="AA36" s="21">
        <f>EXP(-LN(2)/25)*AA35+(1-EXP(-LN(2)/25))/(LN(2)/25)*Calculateur!V36*Calculateur!X36*VLOOKUP('Données projet'!$B$9,Paramètres!$A$1:$I$89,3,0)*0.475*44/12</f>
        <v>15.348204862013327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78.976094344307199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101.36506596657455</v>
      </c>
      <c r="AO36" s="59">
        <f t="shared" si="36"/>
        <v>296.08579066872488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48.750322669596784</v>
      </c>
      <c r="AV36" s="21">
        <f>EXP(-LN(2)/25)*AV35+(1-EXP(-LN(2)/25))/(LN(2)/25)*Calculateur!AQ36*Calculateur!AS36*VLOOKUP('Données projet'!$B$10,Paramètres!$A$1:$I$89,3,0)*0.475*44/12</f>
        <v>11.947258196243222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60.69758086584001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149.96877706162724</v>
      </c>
      <c r="T37" s="59">
        <f t="shared" si="34"/>
        <v>388.17721230127887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62.380185378726587</v>
      </c>
      <c r="AA37" s="21">
        <f>EXP(-LN(2)/25)*AA36+(1-EXP(-LN(2)/25))/(LN(2)/25)*Calculateur!V37*Calculateur!X37*VLOOKUP('Données projet'!$B$9,Paramètres!$A$1:$I$89,3,0)*0.475*44/12</f>
        <v>14.928507392934558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77.308692771661143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101.36506596657455</v>
      </c>
      <c r="AO37" s="59">
        <f t="shared" si="36"/>
        <v>296.08579066872488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47.794358576806758</v>
      </c>
      <c r="AV37" s="21">
        <f>EXP(-LN(2)/25)*AV36+(1-EXP(-LN(2)/25))/(LN(2)/25)*Calculateur!AQ37*Calculateur!AS37*VLOOKUP('Données projet'!$B$10,Paramètres!$A$1:$I$89,3,0)*0.475*44/12</f>
        <v>11.620559792587949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59.414918369394705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149.96877706162724</v>
      </c>
      <c r="T38" s="59">
        <f t="shared" si="34"/>
        <v>388.17721230127887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61.156947991605897</v>
      </c>
      <c r="AA38" s="21">
        <f>EXP(-LN(2)/25)*AA37+(1-EXP(-LN(2)/25))/(LN(2)/25)*Calculateur!V38*Calculateur!X38*VLOOKUP('Données projet'!$B$9,Paramètres!$A$1:$I$89,3,0)*0.475*44/12</f>
        <v>14.520286573218678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75.677234564824573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101.36506596657455</v>
      </c>
      <c r="AO38" s="59">
        <f t="shared" si="36"/>
        <v>296.08579066872488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46.857140356795817</v>
      </c>
      <c r="AV38" s="21">
        <f>EXP(-LN(2)/25)*AV37+(1-EXP(-LN(2)/25))/(LN(2)/25)*Calculateur!AQ38*Calculateur!AS38*VLOOKUP('Données projet'!$B$10,Paramètres!$A$1:$I$89,3,0)*0.475*44/12</f>
        <v>11.302794973960951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58.159935330756767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149.96877706162724</v>
      </c>
      <c r="T39" s="59">
        <f t="shared" si="34"/>
        <v>388.17721230127887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59.957697543545507</v>
      </c>
      <c r="AA39" s="21">
        <f>EXP(-LN(2)/25)*AA38+(1-EXP(-LN(2)/25))/(LN(2)/25)*Calculateur!V39*Calculateur!X39*VLOOKUP('Données projet'!$B$9,Paramètres!$A$1:$I$89,3,0)*0.475*44/12</f>
        <v>14.12322857328533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74.080926116830838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101.36506596657455</v>
      </c>
      <c r="AO39" s="59">
        <f t="shared" si="36"/>
        <v>296.08579066872488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45.938300414432625</v>
      </c>
      <c r="AV39" s="21">
        <f>EXP(-LN(2)/25)*AV38+(1-EXP(-LN(2)/25))/(LN(2)/25)*Calculateur!AQ39*Calculateur!AS39*VLOOKUP('Données projet'!$B$10,Paramètres!$A$1:$I$89,3,0)*0.475*44/12</f>
        <v>10.993719451009834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56.932019865442456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149.96877706162724</v>
      </c>
      <c r="T40" s="59">
        <f t="shared" si="34"/>
        <v>388.17721230127887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58.781963665301035</v>
      </c>
      <c r="AA40" s="21">
        <f>EXP(-LN(2)/25)*AA39+(1-EXP(-LN(2)/25))/(LN(2)/25)*Calculateur!V40*Calculateur!X40*VLOOKUP('Données projet'!$B$9,Paramètres!$A$1:$I$89,3,0)*0.475*44/12</f>
        <v>13.737028145240531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72.518991810541564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101.36506596657455</v>
      </c>
      <c r="AO40" s="59">
        <f t="shared" si="36"/>
        <v>296.08579066872488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45.037478362902149</v>
      </c>
      <c r="AV40" s="21">
        <f>EXP(-LN(2)/25)*AV39+(1-EXP(-LN(2)/25))/(LN(2)/25)*Calculateur!AQ40*Calculateur!AS40*VLOOKUP('Données projet'!$B$10,Paramètres!$A$1:$I$89,3,0)*0.475*44/12</f>
        <v>10.69309561448739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55.73057397738954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149.96877706162724</v>
      </c>
      <c r="T41" s="59">
        <f t="shared" si="34"/>
        <v>388.17721230127887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57.629285211282081</v>
      </c>
      <c r="AA41" s="21">
        <f>EXP(-LN(2)/25)*AA40+(1-EXP(-LN(2)/25))/(LN(2)/25)*Calculateur!V41*Calculateur!X41*VLOOKUP('Données projet'!$B$9,Paramètres!$A$1:$I$89,3,0)*0.475*44/12</f>
        <v>13.361388388210015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70.990673599492098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101.36506596657455</v>
      </c>
      <c r="AO41" s="59">
        <f t="shared" si="36"/>
        <v>296.08579066872488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44.154320882354988</v>
      </c>
      <c r="AV41" s="21">
        <f>EXP(-LN(2)/25)*AV40+(1-EXP(-LN(2)/25))/(LN(2)/25)*Calculateur!AQ41*Calculateur!AS41*VLOOKUP('Données projet'!$B$10,Paramètres!$A$1:$I$89,3,0)*0.475*44/12</f>
        <v>10.400692352583773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54.555013234938762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149.96877706162724</v>
      </c>
      <c r="T42" s="59">
        <f t="shared" si="34"/>
        <v>388.17721230127887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56.499210078682005</v>
      </c>
      <c r="AA42" s="21">
        <f>EXP(-LN(2)/25)*AA41+(1-EXP(-LN(2)/25))/(LN(2)/25)*Calculateur!V42*Calculateur!X42*VLOOKUP('Données projet'!$B$9,Paramètres!$A$1:$I$89,3,0)*0.475*44/12</f>
        <v>12.996020520089536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69.495230598771542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101.36506596657455</v>
      </c>
      <c r="AO42" s="59">
        <f t="shared" si="36"/>
        <v>296.08579066872488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43.288481581328483</v>
      </c>
      <c r="AV42" s="21">
        <f>EXP(-LN(2)/25)*AV41+(1-EXP(-LN(2)/25))/(LN(2)/25)*Calculateur!AQ42*Calculateur!AS42*VLOOKUP('Données projet'!$B$10,Paramètres!$A$1:$I$89,3,0)*0.475*44/12</f>
        <v>10.116284873253731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53.404766454582216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149.96877706162724</v>
      </c>
      <c r="T43" s="59">
        <f t="shared" si="34"/>
        <v>388.17721230127887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55.391295030154446</v>
      </c>
      <c r="AA43" s="21">
        <f>EXP(-LN(2)/25)*AA42+(1-EXP(-LN(2)/25))/(LN(2)/25)*Calculateur!V43*Calculateur!X43*VLOOKUP('Données projet'!$B$9,Paramètres!$A$1:$I$89,3,0)*0.475*44/12</f>
        <v>12.640643655536671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68.031938685691117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101.36506596657455</v>
      </c>
      <c r="AO43" s="59">
        <f t="shared" si="36"/>
        <v>296.08579066872488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42.439620860885277</v>
      </c>
      <c r="AV43" s="21">
        <f>EXP(-LN(2)/25)*AV42+(1-EXP(-LN(2)/25))/(LN(2)/25)*Calculateur!AQ43*Calculateur!AS43*VLOOKUP('Données projet'!$B$10,Paramètres!$A$1:$I$89,3,0)*0.475*44/12</f>
        <v>9.8396545314023065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52.279275392287587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149.96877706162724</v>
      </c>
      <c r="T44" s="59">
        <f t="shared" si="34"/>
        <v>388.17721230127887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54.305105519967057</v>
      </c>
      <c r="AA44" s="21">
        <f>EXP(-LN(2)/25)*AA43+(1-EXP(-LN(2)/25))/(LN(2)/25)*Calculateur!V44*Calculateur!X44*VLOOKUP('Données projet'!$B$9,Paramètres!$A$1:$I$89,3,0)*0.475*44/12</f>
        <v>12.294984590033462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66.600090110000522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101.36506596657455</v>
      </c>
      <c r="AO44" s="59">
        <f t="shared" si="36"/>
        <v>296.08579066872488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41.607405781416048</v>
      </c>
      <c r="AV44" s="21">
        <f>EXP(-LN(2)/25)*AV43+(1-EXP(-LN(2)/25))/(LN(2)/25)*Calculateur!AQ44*Calculateur!AS44*VLOOKUP('Données projet'!$B$10,Paramètres!$A$1:$I$89,3,0)*0.475*44/12</f>
        <v>9.570588660796167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51.177994442212217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149.96877706162724</v>
      </c>
      <c r="T45" s="59">
        <f t="shared" si="34"/>
        <v>388.17721230127887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53.24021552356426</v>
      </c>
      <c r="AA45" s="21">
        <f>EXP(-LN(2)/25)*AA44+(1-EXP(-LN(2)/25))/(LN(2)/25)*Calculateur!V45*Calculateur!X45*VLOOKUP('Données projet'!$B$9,Paramètres!$A$1:$I$89,3,0)*0.475*44/12</f>
        <v>11.958777589853858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65.198993113418112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101.36506596657455</v>
      </c>
      <c r="AO45" s="59">
        <f t="shared" si="36"/>
        <v>296.08579066872488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40.791509932054133</v>
      </c>
      <c r="AV45" s="21">
        <f>EXP(-LN(2)/25)*AV44+(1-EXP(-LN(2)/25))/(LN(2)/25)*Calculateur!AQ45*Calculateur!AS45*VLOOKUP('Données projet'!$B$10,Paramètres!$A$1:$I$89,3,0)*0.475*44/12</f>
        <v>9.3088804105713123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50.100390342625445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149.96877706162724</v>
      </c>
      <c r="T46" s="59">
        <f t="shared" si="34"/>
        <v>388.17721230127887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52.196207370472159</v>
      </c>
      <c r="AA46" s="21">
        <f>EXP(-LN(2)/25)*AA45+(1-EXP(-LN(2)/25))/(LN(2)/25)*Calculateur!V46*Calculateur!X46*VLOOKUP('Données projet'!$B$9,Paramètres!$A$1:$I$89,3,0)*0.475*44/12</f>
        <v>11.631764187774523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63.827971558246681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101.36506596657455</v>
      </c>
      <c r="AO46" s="59">
        <f t="shared" si="36"/>
        <v>296.08579066872488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39.991613302650876</v>
      </c>
      <c r="AV46" s="21">
        <f>EXP(-LN(2)/25)*AV45+(1-EXP(-LN(2)/25))/(LN(2)/25)*Calculateur!AQ46*Calculateur!AS46*VLOOKUP('Données projet'!$B$10,Paramètres!$A$1:$I$89,3,0)*0.475*44/12</f>
        <v>9.0543285862114953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49.045941888862373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149.96877706162724</v>
      </c>
      <c r="T47" s="59">
        <f t="shared" si="34"/>
        <v>388.17721230127887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51.172671580480099</v>
      </c>
      <c r="AA47" s="21">
        <f>EXP(-LN(2)/25)*AA46+(1-EXP(-LN(2)/25))/(LN(2)/25)*Calculateur!V47*Calculateur!X47*VLOOKUP('Données projet'!$B$9,Paramètres!$A$1:$I$89,3,0)*0.475*44/12</f>
        <v>11.313692984371935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62.486364564852032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101.36506596657455</v>
      </c>
      <c r="AO47" s="59">
        <f t="shared" si="36"/>
        <v>296.08579066872488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39.207402158261452</v>
      </c>
      <c r="AV47" s="21">
        <f>EXP(-LN(2)/25)*AV46+(1-EXP(-LN(2)/25))/(LN(2)/25)*Calculateur!AQ47*Calculateur!AS47*VLOOKUP('Données projet'!$B$10,Paramètres!$A$1:$I$89,3,0)*0.475*44/12</f>
        <v>8.8067374948750956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48.014139653136546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149.96877706162724</v>
      </c>
      <c r="T48" s="59">
        <f t="shared" si="34"/>
        <v>388.17721230127887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50.169206703034597</v>
      </c>
      <c r="AA48" s="21">
        <f>EXP(-LN(2)/25)*AA47+(1-EXP(-LN(2)/25))/(LN(2)/25)*Calculateur!V48*Calculateur!X48*VLOOKUP('Données projet'!$B$9,Paramètres!$A$1:$I$89,3,0)*0.475*44/12</f>
        <v>11.004319454753029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61.173526157787627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101.36506596657455</v>
      </c>
      <c r="AO48" s="59">
        <f t="shared" si="36"/>
        <v>296.08579066872488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38.438568916091938</v>
      </c>
      <c r="AV48" s="21">
        <f>EXP(-LN(2)/25)*AV47+(1-EXP(-LN(2)/25))/(LN(2)/25)*Calculateur!AQ48*Calculateur!AS48*VLOOKUP('Données projet'!$B$10,Paramètres!$A$1:$I$89,3,0)*0.475*44/12</f>
        <v>8.5659167949515389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47.004485711043479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149.96877706162724</v>
      </c>
      <c r="T49" s="59">
        <f t="shared" si="34"/>
        <v>388.17721230127887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49.185419159782661</v>
      </c>
      <c r="AA49" s="21">
        <f>EXP(-LN(2)/25)*AA48+(1-EXP(-LN(2)/25))/(LN(2)/25)*Calculateur!V49*Calculateur!X49*VLOOKUP('Données projet'!$B$9,Paramètres!$A$1:$I$89,3,0)*0.475*44/12</f>
        <v>10.703405760570798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59.888824920353457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101.36506596657455</v>
      </c>
      <c r="AO49" s="59">
        <f t="shared" si="36"/>
        <v>296.08579066872488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37.68481202485939</v>
      </c>
      <c r="AV49" s="21">
        <f>EXP(-LN(2)/25)*AV48+(1-EXP(-LN(2)/25))/(LN(2)/25)*Calculateur!AQ49*Calculateur!AS49*VLOOKUP('Données projet'!$B$10,Paramètres!$A$1:$I$89,3,0)*0.475*44/12</f>
        <v>8.3316813497316033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46.016493374590993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149.96877706162724</v>
      </c>
      <c r="T50" s="59">
        <f t="shared" si="34"/>
        <v>388.17721230127887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48.220923090202746</v>
      </c>
      <c r="AA50" s="21">
        <f>EXP(-LN(2)/25)*AA49+(1-EXP(-LN(2)/25))/(LN(2)/25)*Calculateur!V50*Calculateur!X50*VLOOKUP('Données projet'!$B$9,Paramètres!$A$1:$I$89,3,0)*0.475*44/12</f>
        <v>10.410720567180343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58.631643657383087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101.36506596657455</v>
      </c>
      <c r="AO50" s="59">
        <f t="shared" si="36"/>
        <v>296.08579066872488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36.945835846517603</v>
      </c>
      <c r="AV50" s="21">
        <f>EXP(-LN(2)/25)*AV49+(1-EXP(-LN(2)/25))/(LN(2)/25)*Calculateur!AQ50*Calculateur!AS50*VLOOKUP('Données projet'!$B$10,Paramètres!$A$1:$I$89,3,0)*0.475*44/12</f>
        <v>8.1038510850791123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45.049686931596717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149.96877706162724</v>
      </c>
      <c r="T51" s="59">
        <f t="shared" si="34"/>
        <v>388.17721230127887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47.275340200262775</v>
      </c>
      <c r="AA51" s="21">
        <f>EXP(-LN(2)/25)*AA50+(1-EXP(-LN(2)/25))/(LN(2)/25)*Calculateur!V51*Calculateur!X51*VLOOKUP('Données projet'!$B$9,Paramètres!$A$1:$I$89,3,0)*0.475*44/12</f>
        <v>10.126038865794795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57.401379066057572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101.36506596657455</v>
      </c>
      <c r="AO51" s="59">
        <f t="shared" si="36"/>
        <v>296.08579066872488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36.22135054030214</v>
      </c>
      <c r="AV51" s="21">
        <f>EXP(-LN(2)/25)*AV50+(1-EXP(-LN(2)/25))/(LN(2)/25)*Calculateur!AQ51*Calculateur!AS51*VLOOKUP('Données projet'!$B$10,Paramètres!$A$1:$I$89,3,0)*0.475*44/12</f>
        <v>7.882250850994617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44.103601391296756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149.96877706162724</v>
      </c>
      <c r="T52" s="59">
        <f t="shared" si="34"/>
        <v>388.17721230127887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46.348299614045914</v>
      </c>
      <c r="AA52" s="21">
        <f>EXP(-LN(2)/25)*AA51+(1-EXP(-LN(2)/25))/(LN(2)/25)*Calculateur!V52*Calculateur!X52*VLOOKUP('Données projet'!$B$9,Paramètres!$A$1:$I$89,3,0)*0.475*44/12</f>
        <v>9.8491418005043965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56.197441414550312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101.36506596657455</v>
      </c>
      <c r="AO52" s="59">
        <f t="shared" si="36"/>
        <v>296.08579066872488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35.51107194904916</v>
      </c>
      <c r="AV52" s="21">
        <f>EXP(-LN(2)/25)*AV51+(1-EXP(-LN(2)/25))/(LN(2)/25)*Calculateur!AQ52*Calculateur!AS52*VLOOKUP('Données projet'!$B$10,Paramètres!$A$1:$I$89,3,0)*0.475*44/12</f>
        <v>7.6667102869646122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43.177782236013769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149.96877706162724</v>
      </c>
      <c r="T53" s="59">
        <f t="shared" si="34"/>
        <v>388.17721230127887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45.439437728285839</v>
      </c>
      <c r="AA53" s="21">
        <f>EXP(-LN(2)/25)*AA52+(1-EXP(-LN(2)/25))/(LN(2)/25)*Calculateur!V53*Calculateur!X53*VLOOKUP('Données projet'!$B$9,Paramètres!$A$1:$I$89,3,0)*0.475*44/12</f>
        <v>9.5798165000257463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55.019254228311581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101.36506596657455</v>
      </c>
      <c r="AO53" s="59">
        <f t="shared" si="36"/>
        <v>296.08579066872488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34.814721487743483</v>
      </c>
      <c r="AV53" s="21">
        <f>EXP(-LN(2)/25)*AV52+(1-EXP(-LN(2)/25))/(LN(2)/25)*Calculateur!AQ53*Calculateur!AS53*VLOOKUP('Données projet'!$B$10,Paramètres!$A$1:$I$89,3,0)*0.475*44/12</f>
        <v>7.4570636909927934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42.27178517873628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149.96877706162724</v>
      </c>
      <c r="T54" s="59">
        <f t="shared" si="34"/>
        <v>388.17721230127887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44.548398069754505</v>
      </c>
      <c r="AA54" s="21">
        <f>EXP(-LN(2)/25)*AA53+(1-EXP(-LN(2)/25))/(LN(2)/25)*Calculateur!V54*Calculateur!X54*VLOOKUP('Données projet'!$B$9,Paramètres!$A$1:$I$89,3,0)*0.475*44/12</f>
        <v>9.3178559140518882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53.866253983806395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101.36506596657455</v>
      </c>
      <c r="AO54" s="59">
        <f t="shared" si="36"/>
        <v>296.08579066872488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34.132026034252171</v>
      </c>
      <c r="AV54" s="21">
        <f>EXP(-LN(2)/25)*AV53+(1-EXP(-LN(2)/25))/(LN(2)/25)*Calculateur!AQ54*Calculateur!AS54*VLOOKUP('Données projet'!$B$10,Paramètres!$A$1:$I$89,3,0)*0.475*44/12</f>
        <v>7.2531498922126589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41.385175926464832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149.96877706162724</v>
      </c>
      <c r="T55" s="59">
        <f t="shared" si="34"/>
        <v>388.17721230127887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43.674831155446448</v>
      </c>
      <c r="AA55" s="21">
        <f>EXP(-LN(2)/25)*AA54+(1-EXP(-LN(2)/25))/(LN(2)/25)*Calculateur!V55*Calculateur!X55*VLOOKUP('Données projet'!$B$9,Paramètres!$A$1:$I$89,3,0)*0.475*44/12</f>
        <v>9.063058654077393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52.737889809523843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101.36506596657455</v>
      </c>
      <c r="AO55" s="59">
        <f t="shared" si="36"/>
        <v>296.08579066872488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33.462717822200709</v>
      </c>
      <c r="AV55" s="21">
        <f>EXP(-LN(2)/25)*AV54+(1-EXP(-LN(2)/25))/(LN(2)/25)*Calculateur!AQ55*Calculateur!AS55*VLOOKUP('Données projet'!$B$10,Paramètres!$A$1:$I$89,3,0)*0.475*44/12</f>
        <v>7.0548121269835287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40.517529949184237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149.96877706162724</v>
      </c>
      <c r="T56" s="59">
        <f t="shared" si="34"/>
        <v>388.17721230127887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42.818394355504765</v>
      </c>
      <c r="AA56" s="21">
        <f>EXP(-LN(2)/25)*AA55+(1-EXP(-LN(2)/25))/(LN(2)/25)*Calculateur!V56*Calculateur!X56*VLOOKUP('Données projet'!$B$9,Paramètres!$A$1:$I$89,3,0)*0.475*44/12</f>
        <v>8.8152288385761057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51.633623194080869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101.36506596657455</v>
      </c>
      <c r="AO56" s="59">
        <f t="shared" si="36"/>
        <v>296.08579066872488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32.806534335949884</v>
      </c>
      <c r="AV56" s="21">
        <f>EXP(-LN(2)/25)*AV55+(1-EXP(-LN(2)/25))/(LN(2)/25)*Calculateur!AQ56*Calculateur!AS56*VLOOKUP('Données projet'!$B$10,Paramètres!$A$1:$I$89,3,0)*0.475*44/12</f>
        <v>6.8618979183747184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39.6684322543246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149.96877706162724</v>
      </c>
      <c r="T57" s="59">
        <f t="shared" si="34"/>
        <v>388.17721230127887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41.978751758835067</v>
      </c>
      <c r="AA57" s="21">
        <f>EXP(-LN(2)/25)*AA56+(1-EXP(-LN(2)/25))/(LN(2)/25)*Calculateur!V57*Calculateur!X57*VLOOKUP('Données projet'!$B$9,Paramètres!$A$1:$I$89,3,0)*0.475*44/12</f>
        <v>8.5741759424125057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50.552927701247569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101.36506596657455</v>
      </c>
      <c r="AO57" s="59">
        <f t="shared" si="36"/>
        <v>296.08579066872488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32.163218207632028</v>
      </c>
      <c r="AV57" s="21">
        <f>EXP(-LN(2)/25)*AV56+(1-EXP(-LN(2)/25))/(LN(2)/25)*Calculateur!AQ57*Calculateur!AS57*VLOOKUP('Données projet'!$B$10,Paramètres!$A$1:$I$89,3,0)*0.475*44/12</f>
        <v>6.6742589589452335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38.837477166577258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149.96877706162724</v>
      </c>
      <c r="T58" s="59">
        <f t="shared" si="34"/>
        <v>388.17721230127887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41.155574041354647</v>
      </c>
      <c r="AA58" s="21">
        <f>EXP(-LN(2)/25)*AA57+(1-EXP(-LN(2)/25))/(LN(2)/25)*Calculateur!V58*Calculateur!X58*VLOOKUP('Données projet'!$B$9,Paramètres!$A$1:$I$89,3,0)*0.475*44/12</f>
        <v>8.3397146503709187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49.495288691725563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101.36506596657455</v>
      </c>
      <c r="AO58" s="59">
        <f t="shared" si="36"/>
        <v>296.08579066872488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31.532517116206389</v>
      </c>
      <c r="AV58" s="21">
        <f>EXP(-LN(2)/25)*AV57+(1-EXP(-LN(2)/25))/(LN(2)/25)*Calculateur!AQ58*Calculateur!AS58*VLOOKUP('Données projet'!$B$10,Paramètres!$A$1:$I$89,3,0)*0.475*44/12</f>
        <v>6.491750996728852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38.024268112935239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149.96877706162724</v>
      </c>
      <c r="T59" s="59">
        <f t="shared" si="34"/>
        <v>388.17721230127887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40.348538336825193</v>
      </c>
      <c r="AA59" s="21">
        <f>EXP(-LN(2)/25)*AA58+(1-EXP(-LN(2)/25))/(LN(2)/25)*Calculateur!V59*Calculateur!X59*VLOOKUP('Données projet'!$B$9,Paramètres!$A$1:$I$89,3,0)*0.475*44/12</f>
        <v>8.1116647146899936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48.460203051515187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101.36506596657455</v>
      </c>
      <c r="AO59" s="59">
        <f t="shared" si="36"/>
        <v>296.08579066872488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30.914183688493928</v>
      </c>
      <c r="AV59" s="21">
        <f>EXP(-LN(2)/25)*AV58+(1-EXP(-LN(2)/25))/(LN(2)/25)*Calculateur!AQ59*Calculateur!AS59*VLOOKUP('Données projet'!$B$10,Paramètres!$A$1:$I$89,3,0)*0.475*44/12</f>
        <v>6.3142337243369537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37.228417412830879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149.96877706162724</v>
      </c>
      <c r="T60" s="59">
        <f t="shared" si="34"/>
        <v>388.17721230127887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39.557328110218386</v>
      </c>
      <c r="AA60" s="21">
        <f>EXP(-LN(2)/25)*AA59+(1-EXP(-LN(2)/25))/(LN(2)/25)*Calculateur!V60*Calculateur!X60*VLOOKUP('Données projet'!$B$9,Paramètres!$A$1:$I$89,3,0)*0.475*44/12</f>
        <v>7.8898508164928876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47.447178926711274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101.36506596657455</v>
      </c>
      <c r="AO60" s="59">
        <f t="shared" si="36"/>
        <v>296.08579066872488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30.307975402152756</v>
      </c>
      <c r="AV60" s="21">
        <f>EXP(-LN(2)/25)*AV59+(1-EXP(-LN(2)/25))/(LN(2)/25)*Calculateur!AQ60*Calculateur!AS60*VLOOKUP('Données projet'!$B$10,Paramètres!$A$1:$I$89,3,0)*0.475*44/12</f>
        <v>6.1415706710938398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36.449546073246594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149.96877706162724</v>
      </c>
      <c r="T61" s="59">
        <f t="shared" si="34"/>
        <v>388.17721230127887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38.781633033564752</v>
      </c>
      <c r="AA61" s="21">
        <f>EXP(-LN(2)/25)*AA60+(1-EXP(-LN(2)/25))/(LN(2)/25)*Calculateur!V61*Calculateur!X61*VLOOKUP('Données projet'!$B$9,Paramètres!$A$1:$I$89,3,0)*0.475*44/12</f>
        <v>7.6741024310066672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46.455735464571418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101.36506596657455</v>
      </c>
      <c r="AO61" s="59">
        <f t="shared" si="36"/>
        <v>296.08579066872488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29.713654490556191</v>
      </c>
      <c r="AV61" s="21">
        <f>EXP(-LN(2)/25)*AV60+(1-EXP(-LN(2)/25))/(LN(2)/25)*Calculateur!AQ61*Calculateur!AS61*VLOOKUP('Données projet'!$B$10,Paramètres!$A$1:$I$89,3,0)*0.475*44/12</f>
        <v>5.9736290981216138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35.687283588677808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149.96877706162724</v>
      </c>
      <c r="T62" s="59">
        <f t="shared" si="34"/>
        <v>388.17721230127887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38.021148864237013</v>
      </c>
      <c r="AA62" s="21">
        <f>EXP(-LN(2)/25)*AA61+(1-EXP(-LN(2)/25))/(LN(2)/25)*Calculateur!V62*Calculateur!X62*VLOOKUP('Données projet'!$B$9,Paramètres!$A$1:$I$89,3,0)*0.475*44/12</f>
        <v>7.4642536964672823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45.485402560704294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101.36506596657455</v>
      </c>
      <c r="AO62" s="59">
        <f t="shared" si="36"/>
        <v>296.08579066872488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29.130987849536073</v>
      </c>
      <c r="AV62" s="21">
        <f>EXP(-LN(2)/25)*AV61+(1-EXP(-LN(2)/25))/(LN(2)/25)*Calculateur!AQ62*Calculateur!AS62*VLOOKUP('Données projet'!$B$10,Paramètres!$A$1:$I$89,3,0)*0.475*44/12</f>
        <v>5.8102798962939772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34.941267745830046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149.96877706162724</v>
      </c>
      <c r="T63" s="59">
        <f t="shared" si="34"/>
        <v>388.17721230127887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37.275577325620247</v>
      </c>
      <c r="AA63" s="21">
        <f>EXP(-LN(2)/25)*AA62+(1-EXP(-LN(2)/25))/(LN(2)/25)*Calculateur!V63*Calculateur!X63*VLOOKUP('Données projet'!$B$9,Paramètres!$A$1:$I$89,3,0)*0.475*44/12</f>
        <v>7.2601432866093427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44.535720612229589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101.36506596657455</v>
      </c>
      <c r="AO63" s="59">
        <f t="shared" si="36"/>
        <v>296.08579066872488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28.559746945954799</v>
      </c>
      <c r="AV63" s="21">
        <f>EXP(-LN(2)/25)*AV62+(1-EXP(-LN(2)/25))/(LN(2)/25)*Calculateur!AQ63*Calculateur!AS63*VLOOKUP('Données projet'!$B$10,Paramètres!$A$1:$I$89,3,0)*0.475*44/12</f>
        <v>5.6513974869804784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34.211144432935278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149.96877706162724</v>
      </c>
      <c r="T64" s="59">
        <f t="shared" si="34"/>
        <v>388.17721230127887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36.544625990122022</v>
      </c>
      <c r="AA64" s="21">
        <f>EXP(-LN(2)/25)*AA63+(1-EXP(-LN(2)/25))/(LN(2)/25)*Calculateur!V64*Calculateur!X64*VLOOKUP('Données projet'!$B$9,Paramètres!$A$1:$I$89,3,0)*0.475*44/12</f>
        <v>7.0616142866426683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43.606240276764687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101.36506596657455</v>
      </c>
      <c r="AO64" s="59">
        <f t="shared" si="36"/>
        <v>296.08579066872488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27.999707728070209</v>
      </c>
      <c r="AV64" s="21">
        <f>EXP(-LN(2)/25)*AV63+(1-EXP(-LN(2)/25))/(LN(2)/25)*Calculateur!AQ64*Calculateur!AS64*VLOOKUP('Données projet'!$B$10,Paramètres!$A$1:$I$89,3,0)*0.475*44/12</f>
        <v>5.4968597255049199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33.496567453575132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149.96877706162724</v>
      </c>
      <c r="T65" s="59">
        <f t="shared" si="34"/>
        <v>388.17721230127887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35.828008164476628</v>
      </c>
      <c r="AA65" s="21">
        <f>EXP(-LN(2)/25)*AA64+(1-EXP(-LN(2)/25))/(LN(2)/25)*Calculateur!V65*Calculateur!X65*VLOOKUP('Données projet'!$B$9,Paramètres!$A$1:$I$89,3,0)*0.475*44/12</f>
        <v>6.8685140726202691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42.6965222370969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101.36506596657455</v>
      </c>
      <c r="AO65" s="59">
        <f t="shared" si="36"/>
        <v>296.08579066872488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27.450650537658142</v>
      </c>
      <c r="AV65" s="21">
        <f>EXP(-LN(2)/25)*AV64+(1-EXP(-LN(2)/25))/(LN(2)/25)*Calculateur!AQ65*Calculateur!AS65*VLOOKUP('Données projet'!$B$10,Paramètres!$A$1:$I$89,3,0)*0.475*44/12</f>
        <v>5.3465478072436978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32.797198344901837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149.96877706162724</v>
      </c>
      <c r="T66" s="59">
        <f t="shared" si="34"/>
        <v>388.17721230127887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35.125442777298424</v>
      </c>
      <c r="AA66" s="21">
        <f>EXP(-LN(2)/25)*AA65+(1-EXP(-LN(2)/25))/(LN(2)/25)*Calculateur!V66*Calculateur!X66*VLOOKUP('Données projet'!$B$9,Paramètres!$A$1:$I$89,3,0)*0.475*44/12</f>
        <v>6.6806941941050111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41.806136971403433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101.36506596657455</v>
      </c>
      <c r="AO66" s="59">
        <f t="shared" si="36"/>
        <v>296.08579066872488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26.912360023858234</v>
      </c>
      <c r="AV66" s="21">
        <f>EXP(-LN(2)/25)*AV65+(1-EXP(-LN(2)/25))/(LN(2)/25)*Calculateur!AQ66*Calculateur!AS66*VLOOKUP('Données projet'!$B$10,Paramètres!$A$1:$I$89,3,0)*0.475*44/12</f>
        <v>5.2003461762918892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32.112706200150122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149.96877706162724</v>
      </c>
      <c r="T67" s="59">
        <f t="shared" si="34"/>
        <v>388.17721230127887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34.436654268840215</v>
      </c>
      <c r="AA67" s="21">
        <f>EXP(-LN(2)/25)*AA66+(1-EXP(-LN(2)/25))/(LN(2)/25)*Calculateur!V67*Calculateur!X67*VLOOKUP('Données projet'!$B$9,Paramètres!$A$1:$I$89,3,0)*0.475*44/12</f>
        <v>6.4980102600447704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40.934664528884987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101.36506596657455</v>
      </c>
      <c r="AO67" s="59">
        <f t="shared" si="36"/>
        <v>296.08579066872488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26.384625058709151</v>
      </c>
      <c r="AV67" s="21">
        <f>EXP(-LN(2)/25)*AV66+(1-EXP(-LN(2)/25))/(LN(2)/25)*Calculateur!AQ67*Calculateur!AS67*VLOOKUP('Données projet'!$B$10,Paramètres!$A$1:$I$89,3,0)*0.475*44/12</f>
        <v>5.0581424366268672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31.442767495336017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149.96877706162724</v>
      </c>
      <c r="T68" s="59">
        <f t="shared" si="34"/>
        <v>388.17721230127887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33.761372482913359</v>
      </c>
      <c r="AA68" s="21">
        <f>EXP(-LN(2)/25)*AA67+(1-EXP(-LN(2)/25))/(LN(2)/25)*Calculateur!V68*Calculateur!X68*VLOOKUP('Données projet'!$B$9,Paramètres!$A$1:$I$89,3,0)*0.475*44/12</f>
        <v>6.3203218277683382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40.081694310681698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101.36506596657455</v>
      </c>
      <c r="AO68" s="59">
        <f t="shared" si="36"/>
        <v>296.08579066872488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25.867238654340095</v>
      </c>
      <c r="AV68" s="21">
        <f>EXP(-LN(2)/25)*AV67+(1-EXP(-LN(2)/25))/(LN(2)/25)*Calculateur!AQ68*Calculateur!AS68*VLOOKUP('Données projet'!$B$10,Paramètres!$A$1:$I$89,3,0)*0.475*44/12</f>
        <v>4.919827265701155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30.78706592004125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149.96877706162724</v>
      </c>
      <c r="T69" s="59">
        <f t="shared" ref="T69:T132" si="88">$T$3</f>
        <v>388.17721230127887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33.099332560927309</v>
      </c>
      <c r="AA69" s="21">
        <f>EXP(-LN(2)/25)*AA68+(1-EXP(-LN(2)/25))/(LN(2)/25)*Calculateur!V69*Calculateur!X69*VLOOKUP('Données projet'!$B$9,Paramètres!$A$1:$I$89,3,0)*0.475*44/12</f>
        <v>6.1474922950167334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39.246824855944041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101.36506596657455</v>
      </c>
      <c r="AO69" s="59">
        <f t="shared" ref="AO69:AO132" si="90">$AO$3</f>
        <v>296.08579066872488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25.359997881786171</v>
      </c>
      <c r="AV69" s="21">
        <f>EXP(-LN(2)/25)*AV68+(1-EXP(-LN(2)/25))/(LN(2)/25)*Calculateur!AQ69*Calculateur!AS69*VLOOKUP('Données projet'!$B$10,Paramètres!$A$1:$I$89,3,0)*0.475*44/12</f>
        <v>4.7852943303980853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30.145292212184255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149.96877706162724</v>
      </c>
      <c r="T70" s="59">
        <f t="shared" si="88"/>
        <v>388.17721230127887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32.450274838006926</v>
      </c>
      <c r="AA70" s="21">
        <f>EXP(-LN(2)/25)*AA69+(1-EXP(-LN(2)/25))/(LN(2)/25)*Calculateur!V70*Calculateur!X70*VLOOKUP('Données projet'!$B$9,Paramètres!$A$1:$I$89,3,0)*0.475*44/12</f>
        <v>5.9793887949269315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38.42966363293386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101.36506596657455</v>
      </c>
      <c r="AO70" s="59">
        <f t="shared" si="90"/>
        <v>296.08579066872488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24.862703791395706</v>
      </c>
      <c r="AV70" s="21">
        <f>EXP(-LN(2)/25)*AV69+(1-EXP(-LN(2)/25))/(LN(2)/25)*Calculateur!AQ70*Calculateur!AS70*VLOOKUP('Données projet'!$B$10,Paramètres!$A$1:$I$89,3,0)*0.475*44/12</f>
        <v>4.6544402052856579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29.517143996681362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149.96877706162724</v>
      </c>
      <c r="T71" s="59">
        <f t="shared" si="88"/>
        <v>388.17721230127887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31.813944741146894</v>
      </c>
      <c r="AA71" s="21">
        <f>EXP(-LN(2)/25)*AA70+(1-EXP(-LN(2)/25))/(LN(2)/25)*Calculateur!V71*Calculateur!X71*VLOOKUP('Données projet'!$B$9,Paramètres!$A$1:$I$89,3,0)*0.475*44/12</f>
        <v>5.8158820938872635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37.629826835034159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101.36506596657455</v>
      </c>
      <c r="AO71" s="59">
        <f t="shared" si="90"/>
        <v>296.08579066872488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24.375161334798353</v>
      </c>
      <c r="AV71" s="21">
        <f>EXP(-LN(2)/25)*AV70+(1-EXP(-LN(2)/25))/(LN(2)/25)*Calculateur!AQ71*Calculateur!AS71*VLOOKUP('Données projet'!$B$10,Paramètres!$A$1:$I$89,3,0)*0.475*44/12</f>
        <v>4.5271642931057494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28.902325627904101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149.96877706162724</v>
      </c>
      <c r="T72" s="59">
        <f t="shared" si="88"/>
        <v>388.17721230127887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31.190092689363251</v>
      </c>
      <c r="AA72" s="21">
        <f>EXP(-LN(2)/25)*AA71+(1-EXP(-LN(2)/25))/(LN(2)/25)*Calculateur!V72*Calculateur!X72*VLOOKUP('Données projet'!$B$9,Paramètres!$A$1:$I$89,3,0)*0.475*44/12</f>
        <v>5.6568464921859691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36.846939181549217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101.36506596657455</v>
      </c>
      <c r="AO72" s="59">
        <f t="shared" si="90"/>
        <v>296.08579066872488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23.89717928840334</v>
      </c>
      <c r="AV72" s="21">
        <f>EXP(-LN(2)/25)*AV71+(1-EXP(-LN(2)/25))/(LN(2)/25)*Calculateur!AQ72*Calculateur!AS72*VLOOKUP('Données projet'!$B$10,Paramètres!$A$1:$I$89,3,0)*0.475*44/12</f>
        <v>4.4033687474375496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28.30054803584089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149.96877706162724</v>
      </c>
      <c r="T73" s="59">
        <f t="shared" si="88"/>
        <v>388.17721230127887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30.578473995802906</v>
      </c>
      <c r="AA73" s="21">
        <f>EXP(-LN(2)/25)*AA72+(1-EXP(-LN(2)/25))/(LN(2)/25)*Calculateur!V73*Calculateur!X73*VLOOKUP('Données projet'!$B$9,Paramètres!$A$1:$I$89,3,0)*0.475*44/12</f>
        <v>5.5021597273765153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36.080633723179417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101.36506596657455</v>
      </c>
      <c r="AO73" s="59">
        <f t="shared" si="90"/>
        <v>296.08579066872488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23.428570178397873</v>
      </c>
      <c r="AV73" s="21">
        <f>EXP(-LN(2)/25)*AV72+(1-EXP(-LN(2)/25))/(LN(2)/25)*Calculateur!AQ73*Calculateur!AS73*VLOOKUP('Données projet'!$B$10,Paramètres!$A$1:$I$89,3,0)*0.475*44/12</f>
        <v>4.2829583974757712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27.711528575873643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149.96877706162724</v>
      </c>
      <c r="T74" s="59">
        <f t="shared" si="88"/>
        <v>388.17721230127887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29.978848771772711</v>
      </c>
      <c r="AA74" s="21">
        <f>EXP(-LN(2)/25)*AA73+(1-EXP(-LN(2)/25))/(LN(2)/25)*Calculateur!V74*Calculateur!X74*VLOOKUP('Données projet'!$B$9,Paramètres!$A$1:$I$89,3,0)*0.475*44/12</f>
        <v>5.3517028802853996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35.330551652058112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101.36506596657455</v>
      </c>
      <c r="AO74" s="59">
        <f t="shared" si="90"/>
        <v>296.08579066872488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22.969150207216277</v>
      </c>
      <c r="AV74" s="21">
        <f>EXP(-LN(2)/25)*AV73+(1-EXP(-LN(2)/25))/(LN(2)/25)*Calculateur!AQ74*Calculateur!AS74*VLOOKUP('Données projet'!$B$10,Paramètres!$A$1:$I$89,3,0)*0.475*44/12</f>
        <v>4.1658406748658026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27.134990882082079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149.96877706162724</v>
      </c>
      <c r="T75" s="59">
        <f t="shared" si="88"/>
        <v>388.17721230127887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29.390981832650475</v>
      </c>
      <c r="AA75" s="21">
        <f>EXP(-LN(2)/25)*AA74+(1-EXP(-LN(2)/25))/(LN(2)/25)*Calculateur!V75*Calculateur!X75*VLOOKUP('Données projet'!$B$9,Paramètres!$A$1:$I$89,3,0)*0.475*44/12</f>
        <v>5.2053602835901724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34.596342116240649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101.36506596657455</v>
      </c>
      <c r="AO75" s="59">
        <f t="shared" si="90"/>
        <v>296.08579066872488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22.518739181451039</v>
      </c>
      <c r="AV75" s="21">
        <f>EXP(-LN(2)/25)*AV74+(1-EXP(-LN(2)/25))/(LN(2)/25)*Calculateur!AQ75*Calculateur!AS75*VLOOKUP('Données projet'!$B$10,Paramètres!$A$1:$I$89,3,0)*0.475*44/12</f>
        <v>4.0519255425395571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26.570664723990596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149.96877706162724</v>
      </c>
      <c r="T76" s="59">
        <f t="shared" si="88"/>
        <v>388.17721230127887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28.814642605640998</v>
      </c>
      <c r="AA76" s="21">
        <f>EXP(-LN(2)/25)*AA75+(1-EXP(-LN(2)/25))/(LN(2)/25)*Calculateur!V76*Calculateur!X76*VLOOKUP('Données projet'!$B$9,Paramètres!$A$1:$I$89,3,0)*0.475*44/12</f>
        <v>5.0630194328973985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33.877662038538396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101.36506596657455</v>
      </c>
      <c r="AO76" s="59">
        <f t="shared" si="90"/>
        <v>296.08579066872488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22.077160441177458</v>
      </c>
      <c r="AV76" s="21">
        <f>EXP(-LN(2)/25)*AV75+(1-EXP(-LN(2)/25))/(LN(2)/25)*Calculateur!AQ76*Calculateur!AS76*VLOOKUP('Données projet'!$B$10,Paramètres!$A$1:$I$89,3,0)*0.475*44/12</f>
        <v>3.9411254254973094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26.018285866674766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149.96877706162724</v>
      </c>
      <c r="T77" s="59">
        <f t="shared" si="88"/>
        <v>388.17721230127887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28.24960503934096</v>
      </c>
      <c r="AA77" s="21">
        <f>EXP(-LN(2)/25)*AA76+(1-EXP(-LN(2)/25))/(LN(2)/25)*Calculateur!V77*Calculateur!X77*VLOOKUP('Données projet'!$B$9,Paramètres!$A$1:$I$89,3,0)*0.475*44/12</f>
        <v>4.9245709002521991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33.174175939593155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101.36506596657455</v>
      </c>
      <c r="AO77" s="59">
        <f t="shared" si="90"/>
        <v>296.08579066872488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21.644240790664206</v>
      </c>
      <c r="AV77" s="21">
        <f>EXP(-LN(2)/25)*AV76+(1-EXP(-LN(2)/25))/(LN(2)/25)*Calculateur!AQ77*Calculateur!AS77*VLOOKUP('Données projet'!$B$10,Paramètres!$A$1:$I$89,3,0)*0.475*44/12</f>
        <v>3.833355143482307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25.477595934146514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149.96877706162724</v>
      </c>
      <c r="T78" s="59">
        <f t="shared" si="88"/>
        <v>388.17721230127887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27.69564751507718</v>
      </c>
      <c r="AA78" s="21">
        <f>EXP(-LN(2)/25)*AA77+(1-EXP(-LN(2)/25))/(LN(2)/25)*Calculateur!V78*Calculateur!X78*VLOOKUP('Données projet'!$B$9,Paramètres!$A$1:$I$89,3,0)*0.475*44/12</f>
        <v>4.789908250012874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32.485555765090055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101.36506596657455</v>
      </c>
      <c r="AO78" s="59">
        <f t="shared" si="90"/>
        <v>296.08579066872488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21.219810430442607</v>
      </c>
      <c r="AV78" s="21">
        <f>EXP(-LN(2)/25)*AV77+(1-EXP(-LN(2)/25))/(LN(2)/25)*Calculateur!AQ78*Calculateur!AS78*VLOOKUP('Données projet'!$B$10,Paramètres!$A$1:$I$89,3,0)*0.475*44/12</f>
        <v>3.7285318454963976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24.948342275939005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149.96877706162724</v>
      </c>
      <c r="T79" s="59">
        <f t="shared" si="88"/>
        <v>388.17721230127887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27.152552759983486</v>
      </c>
      <c r="AA79" s="21">
        <f>EXP(-LN(2)/25)*AA78+(1-EXP(-LN(2)/25))/(LN(2)/25)*Calculateur!V79*Calculateur!X79*VLOOKUP('Données projet'!$B$9,Paramètres!$A$1:$I$89,3,0)*0.475*44/12</f>
        <v>4.658927957025945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31.811480717009431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101.36506596657455</v>
      </c>
      <c r="AO79" s="59">
        <f t="shared" si="90"/>
        <v>296.08579066872488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20.803702890707992</v>
      </c>
      <c r="AV79" s="21">
        <f>EXP(-LN(2)/25)*AV78+(1-EXP(-LN(2)/25))/(LN(2)/25)*Calculateur!AQ79*Calculateur!AS79*VLOOKUP('Données projet'!$B$10,Paramètres!$A$1:$I$89,3,0)*0.475*44/12</f>
        <v>3.6265749461063304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24.430277836814323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149.96877706162724</v>
      </c>
      <c r="T80" s="59">
        <f t="shared" si="88"/>
        <v>388.17721230127887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26.620107761782087</v>
      </c>
      <c r="AA80" s="21">
        <f>EXP(-LN(2)/25)*AA79+(1-EXP(-LN(2)/25))/(LN(2)/25)*Calculateur!V80*Calculateur!X80*VLOOKUP('Données projet'!$B$9,Paramètres!$A$1:$I$89,3,0)*0.475*44/12</f>
        <v>4.5315293270386974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31.151637088820785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101.36506596657455</v>
      </c>
      <c r="AO80" s="59">
        <f t="shared" si="90"/>
        <v>296.08579066872488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20.395754966027038</v>
      </c>
      <c r="AV80" s="21">
        <f>EXP(-LN(2)/25)*AV79+(1-EXP(-LN(2)/25))/(LN(2)/25)*Calculateur!AQ80*Calculateur!AS80*VLOOKUP('Données projet'!$B$10,Paramètres!$A$1:$I$89,3,0)*0.475*44/12</f>
        <v>3.5274060634917648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23.923161029518802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149.96877706162724</v>
      </c>
      <c r="T81" s="59">
        <f t="shared" si="88"/>
        <v>388.17721230127887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26.098103685236037</v>
      </c>
      <c r="AA81" s="21">
        <f>EXP(-LN(2)/25)*AA80+(1-EXP(-LN(2)/25))/(LN(2)/25)*Calculateur!V81*Calculateur!X81*VLOOKUP('Données projet'!$B$9,Paramètres!$A$1:$I$89,3,0)*0.475*44/12</f>
        <v>4.4076144192880538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30.505718104524092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101.36506596657455</v>
      </c>
      <c r="AO81" s="59">
        <f t="shared" si="90"/>
        <v>296.08579066872488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19.99580665132541</v>
      </c>
      <c r="AV81" s="21">
        <f>EXP(-LN(2)/25)*AV80+(1-EXP(-LN(2)/25))/(LN(2)/25)*Calculateur!AQ81*Calculateur!AS81*VLOOKUP('Données projet'!$B$10,Paramètres!$A$1:$I$89,3,0)*0.475*44/12</f>
        <v>3.4309489591873596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23.426755610512771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149.96877706162724</v>
      </c>
      <c r="T82" s="59">
        <f t="shared" si="88"/>
        <v>388.17721230127887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25.586335790240007</v>
      </c>
      <c r="AA82" s="21">
        <f>EXP(-LN(2)/25)*AA81+(1-EXP(-LN(2)/25))/(LN(2)/25)*Calculateur!V82*Calculateur!X82*VLOOKUP('Données projet'!$B$9,Paramètres!$A$1:$I$89,3,0)*0.475*44/12</f>
        <v>4.2870879712062537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29.873423761446261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101.36506596657455</v>
      </c>
      <c r="AO82" s="59">
        <f t="shared" si="90"/>
        <v>296.08579066872488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19.603701079130698</v>
      </c>
      <c r="AV82" s="21">
        <f>EXP(-LN(2)/25)*AV81+(1-EXP(-LN(2)/25))/(LN(2)/25)*Calculateur!AQ82*Calculateur!AS82*VLOOKUP('Données projet'!$B$10,Paramètres!$A$1:$I$89,3,0)*0.475*44/12</f>
        <v>3.3371294794726172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22.940830558603317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149.96877706162724</v>
      </c>
      <c r="T83" s="59">
        <f t="shared" si="88"/>
        <v>388.17721230127887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25.084603351517256</v>
      </c>
      <c r="AA83" s="21">
        <f>EXP(-LN(2)/25)*AA82+(1-EXP(-LN(2)/25))/(LN(2)/25)*Calculateur!V83*Calculateur!X83*VLOOKUP('Données projet'!$B$9,Paramètres!$A$1:$I$89,3,0)*0.475*44/12</f>
        <v>4.1698573251854603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29.254460676702717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101.36506596657455</v>
      </c>
      <c r="AO83" s="59">
        <f t="shared" si="90"/>
        <v>296.08579066872488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19.219284458045941</v>
      </c>
      <c r="AV83" s="21">
        <f>EXP(-LN(2)/25)*AV82+(1-EXP(-LN(2)/25))/(LN(2)/25)*Calculateur!AQ83*Calculateur!AS83*VLOOKUP('Données projet'!$B$10,Paramètres!$A$1:$I$89,3,0)*0.475*44/12</f>
        <v>3.2458754983644265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22.465159956410368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149.96877706162724</v>
      </c>
      <c r="T84" s="59">
        <f t="shared" si="88"/>
        <v>388.17721230127887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24.592709579891288</v>
      </c>
      <c r="AA84" s="21">
        <f>EXP(-LN(2)/25)*AA83+(1-EXP(-LN(2)/25))/(LN(2)/25)*Calculateur!V84*Calculateur!X84*VLOOKUP('Données projet'!$B$9,Paramètres!$A$1:$I$89,3,0)*0.475*44/12</f>
        <v>4.0558323573449977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28.648541937236285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101.36506596657455</v>
      </c>
      <c r="AO84" s="59">
        <f t="shared" si="90"/>
        <v>296.08579066872488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18.842406012429667</v>
      </c>
      <c r="AV84" s="21">
        <f>EXP(-LN(2)/25)*AV83+(1-EXP(-LN(2)/25))/(LN(2)/25)*Calculateur!AQ84*Calculateur!AS84*VLOOKUP('Données projet'!$B$10,Paramètres!$A$1:$I$89,3,0)*0.475*44/12</f>
        <v>3.1571168621684773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21.999522874598142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149.96877706162724</v>
      </c>
      <c r="T85" s="59">
        <f t="shared" si="88"/>
        <v>388.17721230127887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24.11046154510133</v>
      </c>
      <c r="AA85" s="21">
        <f>EXP(-LN(2)/25)*AA84+(1-EXP(-LN(2)/25))/(LN(2)/25)*Calculateur!V85*Calculateur!X85*VLOOKUP('Données projet'!$B$9,Paramètres!$A$1:$I$89,3,0)*0.475*44/12</f>
        <v>3.9449254082464447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28.055386953347774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101.36506596657455</v>
      </c>
      <c r="AO85" s="59">
        <f t="shared" si="90"/>
        <v>296.08579066872488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18.472917923258777</v>
      </c>
      <c r="AV85" s="21">
        <f>EXP(-LN(2)/25)*AV84+(1-EXP(-LN(2)/25))/(LN(2)/25)*Calculateur!AQ85*Calculateur!AS85*VLOOKUP('Données projet'!$B$10,Paramètres!$A$1:$I$89,3,0)*0.475*44/12</f>
        <v>3.0707853355469203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21.543703258805696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149.96877706162724</v>
      </c>
      <c r="T86" s="59">
        <f t="shared" si="88"/>
        <v>388.17721230127887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23.637670100131345</v>
      </c>
      <c r="AA86" s="21">
        <f>EXP(-LN(2)/25)*AA85+(1-EXP(-LN(2)/25))/(LN(2)/25)*Calculateur!V86*Calculateur!X86*VLOOKUP('Données projet'!$B$9,Paramètres!$A$1:$I$89,3,0)*0.475*44/12</f>
        <v>3.8370512155033345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27.474721315634678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101.36506596657455</v>
      </c>
      <c r="AO86" s="59">
        <f t="shared" si="90"/>
        <v>296.08579066872488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18.110675270151045</v>
      </c>
      <c r="AV86" s="21">
        <f>EXP(-LN(2)/25)*AV85+(1-EXP(-LN(2)/25))/(LN(2)/25)*Calculateur!AQ86*Calculateur!AS86*VLOOKUP('Données projet'!$B$10,Paramètres!$A$1:$I$89,3,0)*0.475*44/12</f>
        <v>2.9868145490608073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21.097489819211852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149.96877706162724</v>
      </c>
      <c r="T87" s="59">
        <f t="shared" si="88"/>
        <v>388.17721230127887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23.174149807022914</v>
      </c>
      <c r="AA87" s="21">
        <f>EXP(-LN(2)/25)*AA86+(1-EXP(-LN(2)/25))/(LN(2)/25)*Calculateur!V87*Calculateur!X87*VLOOKUP('Données projet'!$B$9,Paramètres!$A$1:$I$89,3,0)*0.475*44/12</f>
        <v>3.732126848233642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26.906276655256555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101.36506596657455</v>
      </c>
      <c r="AO87" s="59">
        <f t="shared" si="90"/>
        <v>296.08579066872488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17.755535974524555</v>
      </c>
      <c r="AV87" s="21">
        <f>EXP(-LN(2)/25)*AV86+(1-EXP(-LN(2)/25))/(LN(2)/25)*Calculateur!AQ87*Calculateur!AS87*VLOOKUP('Données projet'!$B$10,Paramètres!$A$1:$I$89,3,0)*0.475*44/12</f>
        <v>2.9051399481469891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20.660675922671544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149.96877706162724</v>
      </c>
      <c r="T88" s="59">
        <f t="shared" si="88"/>
        <v>388.17721230127887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22.719718864142877</v>
      </c>
      <c r="AA88" s="21">
        <f>EXP(-LN(2)/25)*AA87+(1-EXP(-LN(2)/25))/(LN(2)/25)*Calculateur!V88*Calculateur!X88*VLOOKUP('Données projet'!$B$9,Paramètres!$A$1:$I$89,3,0)*0.475*44/12</f>
        <v>3.6300716433046722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26.349790507447548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101.36506596657455</v>
      </c>
      <c r="AO88" s="59">
        <f t="shared" si="90"/>
        <v>296.08579066872488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17.407360743871717</v>
      </c>
      <c r="AV88" s="21">
        <f>EXP(-LN(2)/25)*AV87+(1-EXP(-LN(2)/25))/(LN(2)/25)*Calculateur!AQ88*Calculateur!AS88*VLOOKUP('Données projet'!$B$10,Paramètres!$A$1:$I$89,3,0)*0.475*44/12</f>
        <v>2.8256987434902396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20.233059487361956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149.96877706162724</v>
      </c>
      <c r="T89" s="59">
        <f t="shared" si="88"/>
        <v>388.17721230127887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22.274199034877213</v>
      </c>
      <c r="AA89" s="21">
        <f>EXP(-LN(2)/25)*AA88+(1-EXP(-LN(2)/25))/(LN(2)/25)*Calculateur!V89*Calculateur!X89*VLOOKUP('Données projet'!$B$9,Paramètres!$A$1:$I$89,3,0)*0.475*44/12</f>
        <v>3.5308071433213351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25.80500617819855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101.36506596657455</v>
      </c>
      <c r="AO89" s="59">
        <f t="shared" si="90"/>
        <v>296.08579066872488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17.06601301712606</v>
      </c>
      <c r="AV89" s="21">
        <f>EXP(-LN(2)/25)*AV88+(1-EXP(-LN(2)/25))/(LN(2)/25)*Calculateur!AQ89*Calculateur!AS89*VLOOKUP('Données projet'!$B$10,Paramètres!$A$1:$I$89,3,0)*0.475*44/12</f>
        <v>2.7484298627524604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19.81444287987852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149.96877706162724</v>
      </c>
      <c r="T90" s="59">
        <f t="shared" si="88"/>
        <v>388.17721230127887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21.837415577723185</v>
      </c>
      <c r="AA90" s="21">
        <f>EXP(-LN(2)/25)*AA89+(1-EXP(-LN(2)/25))/(LN(2)/25)*Calculateur!V90*Calculateur!X90*VLOOKUP('Données projet'!$B$9,Paramètres!$A$1:$I$89,3,0)*0.475*44/12</f>
        <v>3.4342570363101355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25.271672614033321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101.36506596657455</v>
      </c>
      <c r="AO90" s="59">
        <f t="shared" si="90"/>
        <v>296.08579066872488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16.731358911100333</v>
      </c>
      <c r="AV90" s="21">
        <f>EXP(-LN(2)/25)*AV89+(1-EXP(-LN(2)/25))/(LN(2)/25)*Calculateur!AQ90*Calculateur!AS90*VLOOKUP('Données projet'!$B$10,Paramètres!$A$1:$I$89,3,0)*0.475*44/12</f>
        <v>2.6732739036218494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19.404632814722184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149.96877706162724</v>
      </c>
      <c r="T91" s="59">
        <f t="shared" si="88"/>
        <v>388.17721230127887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21.409197177752343</v>
      </c>
      <c r="AA91" s="21">
        <f>EXP(-LN(2)/25)*AA90+(1-EXP(-LN(2)/25))/(LN(2)/25)*Calculateur!V91*Calculateur!X91*VLOOKUP('Données projet'!$B$9,Paramètres!$A$1:$I$89,3,0)*0.475*44/12</f>
        <v>3.3403470970525064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24.749544274804851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101.36506596657455</v>
      </c>
      <c r="AO91" s="59">
        <f t="shared" si="90"/>
        <v>296.08579066872488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16.403267167974921</v>
      </c>
      <c r="AV91" s="21">
        <f>EXP(-LN(2)/25)*AV90+(1-EXP(-LN(2)/25))/(LN(2)/25)*Calculateur!AQ91*Calculateur!AS91*VLOOKUP('Données projet'!$B$10,Paramètres!$A$1:$I$89,3,0)*0.475*44/12</f>
        <v>2.6001730881459451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19.003440256120864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149.96877706162724</v>
      </c>
      <c r="T92" s="59">
        <f t="shared" si="88"/>
        <v>388.17721230127887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20.989375879417498</v>
      </c>
      <c r="AA92" s="21">
        <f>EXP(-LN(2)/25)*AA91+(1-EXP(-LN(2)/25))/(LN(2)/25)*Calculateur!V92*Calculateur!X92*VLOOKUP('Données projet'!$B$9,Paramètres!$A$1:$I$89,3,0)*0.475*44/12</f>
        <v>3.2490051300223861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24.238381009439884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101.36506596657455</v>
      </c>
      <c r="AO92" s="59">
        <f t="shared" si="90"/>
        <v>296.08579066872488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16.081609103815993</v>
      </c>
      <c r="AV92" s="21">
        <f>EXP(-LN(2)/25)*AV91+(1-EXP(-LN(2)/25))/(LN(2)/25)*Calculateur!AQ92*Calculateur!AS92*VLOOKUP('Données projet'!$B$10,Paramètres!$A$1:$I$89,3,0)*0.475*44/12</f>
        <v>2.5290712183134341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18.610680322129426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149.96877706162724</v>
      </c>
      <c r="T93" s="59">
        <f t="shared" si="88"/>
        <v>388.17721230127887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20.577787020677288</v>
      </c>
      <c r="AA93" s="21">
        <f>EXP(-LN(2)/25)*AA92+(1-EXP(-LN(2)/25))/(LN(2)/25)*Calculateur!V93*Calculateur!X93*VLOOKUP('Données projet'!$B$9,Paramètres!$A$1:$I$89,3,0)*0.475*44/12</f>
        <v>3.16016091388417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23.737947934561458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101.36506596657455</v>
      </c>
      <c r="AO93" s="59">
        <f t="shared" si="90"/>
        <v>296.08579066872488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15.766258558103175</v>
      </c>
      <c r="AV93" s="21">
        <f>EXP(-LN(2)/25)*AV92+(1-EXP(-LN(2)/25))/(LN(2)/25)*Calculateur!AQ93*Calculateur!AS93*VLOOKUP('Données projet'!$B$10,Paramètres!$A$1:$I$89,3,0)*0.475*44/12</f>
        <v>2.459913632850578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18.226172190953754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149.96877706162724</v>
      </c>
      <c r="T94" s="59">
        <f t="shared" si="88"/>
        <v>388.17721230127887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20.174269168412561</v>
      </c>
      <c r="AA94" s="21">
        <f>EXP(-LN(2)/25)*AA93+(1-EXP(-LN(2)/25))/(LN(2)/25)*Calculateur!V94*Calculateur!X94*VLOOKUP('Données projet'!$B$9,Paramètres!$A$1:$I$89,3,0)*0.475*44/12</f>
        <v>3.0737461475083676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23.248015315920927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101.36506596657455</v>
      </c>
      <c r="AO94" s="59">
        <f t="shared" si="90"/>
        <v>296.08579066872488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15.457091844246944</v>
      </c>
      <c r="AV94" s="21">
        <f>EXP(-LN(2)/25)*AV93+(1-EXP(-LN(2)/25))/(LN(2)/25)*Calculateur!AQ94*Calculateur!AS94*VLOOKUP('Données projet'!$B$10,Paramètres!$A$1:$I$89,3,0)*0.475*44/12</f>
        <v>2.3926471651990431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17.849739009445987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149.96877706162724</v>
      </c>
      <c r="T95" s="59">
        <f t="shared" si="88"/>
        <v>388.17721230127887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19.778664055109157</v>
      </c>
      <c r="AA95" s="21">
        <f>EXP(-LN(2)/25)*AA94+(1-EXP(-LN(2)/25))/(LN(2)/25)*Calculateur!V95*Calculateur!X95*VLOOKUP('Données projet'!$B$9,Paramètres!$A$1:$I$89,3,0)*0.475*44/12</f>
        <v>2.9896943974634667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22.768358452572624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101.36506596657455</v>
      </c>
      <c r="AO95" s="59">
        <f t="shared" si="90"/>
        <v>296.08579066872488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15.15398770107636</v>
      </c>
      <c r="AV95" s="21">
        <f>EXP(-LN(2)/25)*AV94+(1-EXP(-LN(2)/25))/(LN(2)/25)*Calculateur!AQ95*Calculateur!AS95*VLOOKUP('Données projet'!$B$10,Paramètres!$A$1:$I$89,3,0)*0.475*44/12</f>
        <v>2.3272201026428294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17.48120780371919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149.96877706162724</v>
      </c>
      <c r="T96" s="59">
        <f t="shared" si="88"/>
        <v>388.17721230127887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19.390816516782341</v>
      </c>
      <c r="AA96" s="21">
        <f>EXP(-LN(2)/25)*AA95+(1-EXP(-LN(2)/25))/(LN(2)/25)*Calculateur!V96*Calculateur!X96*VLOOKUP('Données projet'!$B$9,Paramètres!$A$1:$I$89,3,0)*0.475*44/12</f>
        <v>2.9079410469436326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22.298757563725975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101.36506596657455</v>
      </c>
      <c r="AO96" s="59">
        <f t="shared" si="90"/>
        <v>296.08579066872488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14.856827245278078</v>
      </c>
      <c r="AV96" s="21">
        <f>EXP(-LN(2)/25)*AV95+(1-EXP(-LN(2)/25))/(LN(2)/25)*Calculateur!AQ96*Calculateur!AS96*VLOOKUP('Données projet'!$B$10,Paramètres!$A$1:$I$89,3,0)*0.475*44/12</f>
        <v>2.2635821465528752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17.120409391830954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149.96877706162724</v>
      </c>
      <c r="T97" s="59">
        <f t="shared" si="88"/>
        <v>388.17721230127887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19.010574432118471</v>
      </c>
      <c r="AA97" s="21">
        <f>EXP(-LN(2)/25)*AA96+(1-EXP(-LN(2)/25))/(LN(2)/25)*Calculateur!V97*Calculateur!X97*VLOOKUP('Données projet'!$B$9,Paramètres!$A$1:$I$89,3,0)*0.475*44/12</f>
        <v>2.8284232460929855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21.838997678211456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101.36506596657455</v>
      </c>
      <c r="AO97" s="59">
        <f t="shared" si="90"/>
        <v>296.08579066872488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14.565493924768019</v>
      </c>
      <c r="AV97" s="21">
        <f>EXP(-LN(2)/25)*AV96+(1-EXP(-LN(2)/25))/(LN(2)/25)*Calculateur!AQ97*Calculateur!AS97*VLOOKUP('Données projet'!$B$10,Paramètres!$A$1:$I$89,3,0)*0.475*44/12</f>
        <v>2.2016843737187752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16.767178298486794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149.96877706162724</v>
      </c>
      <c r="T98" s="59">
        <f t="shared" si="88"/>
        <v>388.17721230127887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18.637788662810088</v>
      </c>
      <c r="AA98" s="21">
        <f>EXP(-LN(2)/25)*AA97+(1-EXP(-LN(2)/25))/(LN(2)/25)*Calculateur!V98*Calculateur!X98*VLOOKUP('Données projet'!$B$9,Paramètres!$A$1:$I$89,3,0)*0.475*44/12</f>
        <v>2.7510798636882585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21.388868526498346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101.36506596657455</v>
      </c>
      <c r="AO98" s="59">
        <f t="shared" si="90"/>
        <v>296.08579066872488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14.279873472977382</v>
      </c>
      <c r="AV98" s="21">
        <f>EXP(-LN(2)/25)*AV97+(1-EXP(-LN(2)/25))/(LN(2)/25)*Calculateur!AQ98*Calculateur!AS98*VLOOKUP('Données projet'!$B$10,Paramètres!$A$1:$I$89,3,0)*0.475*44/12</f>
        <v>2.1414791987378861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16.421352671715269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149.96877706162724</v>
      </c>
      <c r="T99" s="59">
        <f t="shared" si="88"/>
        <v>388.17721230127887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18.272312995060975</v>
      </c>
      <c r="AA99" s="21">
        <f>EXP(-LN(2)/25)*AA98+(1-EXP(-LN(2)/25))/(LN(2)/25)*Calculateur!V99*Calculateur!X99*VLOOKUP('Données projet'!$B$9,Paramètres!$A$1:$I$89,3,0)*0.475*44/12</f>
        <v>2.6758514401427007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20.948164435203676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101.36506596657455</v>
      </c>
      <c r="AO99" s="59">
        <f t="shared" si="90"/>
        <v>296.08579066872488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13.999853864035087</v>
      </c>
      <c r="AV99" s="21">
        <f>EXP(-LN(2)/25)*AV98+(1-EXP(-LN(2)/25))/(LN(2)/25)*Calculateur!AQ99*Calculateur!AS99*VLOOKUP('Données projet'!$B$10,Paramètres!$A$1:$I$89,3,0)*0.475*44/12</f>
        <v>2.0829203374329017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16.082774201467988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149.96877706162724</v>
      </c>
      <c r="T100" s="59">
        <f t="shared" si="88"/>
        <v>388.17721230127887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17.914004082238279</v>
      </c>
      <c r="AA100" s="21">
        <f>EXP(-LN(2)/25)*AA99+(1-EXP(-LN(2)/25))/(LN(2)/25)*Calculateur!V100*Calculateur!X100*VLOOKUP('Données projet'!$B$9,Paramètres!$A$1:$I$89,3,0)*0.475*44/12</f>
        <v>2.6026801417950871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20.516684224033366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101.36506596657455</v>
      </c>
      <c r="AO100" s="59">
        <f t="shared" si="90"/>
        <v>296.08579066872488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13.725325268829053</v>
      </c>
      <c r="AV100" s="21">
        <f>EXP(-LN(2)/25)*AV99+(1-EXP(-LN(2)/25))/(LN(2)/25)*Calculateur!AQ100*Calculateur!AS100*VLOOKUP('Données projet'!$B$10,Paramètres!$A$1:$I$89,3,0)*0.475*44/12</f>
        <v>2.025962771269779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15.751288040098832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149.96877706162724</v>
      </c>
      <c r="T101" s="59">
        <f t="shared" si="88"/>
        <v>388.17721230127887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17.562721388649177</v>
      </c>
      <c r="AA101" s="21">
        <f>EXP(-LN(2)/25)*AA100+(1-EXP(-LN(2)/25))/(LN(2)/25)*Calculateur!V101*Calculateur!X101*VLOOKUP('Données projet'!$B$9,Paramètres!$A$1:$I$89,3,0)*0.475*44/12</f>
        <v>2.5315097164487002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20.094231105097876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101.36506596657455</v>
      </c>
      <c r="AO101" s="59">
        <f t="shared" si="90"/>
        <v>296.08579066872488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13.456180011929101</v>
      </c>
      <c r="AV101" s="21">
        <f>EXP(-LN(2)/25)*AV100+(1-EXP(-LN(2)/25))/(LN(2)/25)*Calculateur!AQ101*Calculateur!AS101*VLOOKUP('Données projet'!$B$10,Paramètres!$A$1:$I$89,3,0)*0.475*44/12</f>
        <v>1.9705627127486551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15.426742724677757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149.96877706162724</v>
      </c>
      <c r="T102" s="59">
        <f t="shared" si="88"/>
        <v>388.17721230127887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17.218327134420072</v>
      </c>
      <c r="AA102" s="21">
        <f>EXP(-LN(2)/25)*AA101+(1-EXP(-LN(2)/25))/(LN(2)/25)*Calculateur!V102*Calculateur!X102*VLOOKUP('Données projet'!$B$9,Paramètres!$A$1:$I$89,3,0)*0.475*44/12</f>
        <v>2.4622854501261005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19.680612584546171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101.36506596657455</v>
      </c>
      <c r="AO102" s="59">
        <f t="shared" si="90"/>
        <v>296.08579066872488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13.19231252935456</v>
      </c>
      <c r="AV102" s="21">
        <f>EXP(-LN(2)/25)*AV101+(1-EXP(-LN(2)/25))/(LN(2)/25)*Calculateur!AQ102*Calculateur!AS102*VLOOKUP('Données projet'!$B$10,Paramètres!$A$1:$I$89,3,0)*0.475*44/12</f>
        <v>1.9166775717411539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15.108990101095713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149.96877706162724</v>
      </c>
      <c r="T103" s="59">
        <f t="shared" si="88"/>
        <v>388.17721230127887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16.880686241456647</v>
      </c>
      <c r="AA103" s="21">
        <f>EXP(-LN(2)/25)*AA102+(1-EXP(-LN(2)/25))/(LN(2)/25)*Calculateur!V103*Calculateur!X103*VLOOKUP('Données projet'!$B$9,Paramètres!$A$1:$I$89,3,0)*0.475*44/12</f>
        <v>2.3949541250064379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19.275640366463087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101.36506596657455</v>
      </c>
      <c r="AO103" s="59">
        <f t="shared" si="90"/>
        <v>296.08579066872488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12.933619327170032</v>
      </c>
      <c r="AV103" s="21">
        <f>EXP(-LN(2)/25)*AV102+(1-EXP(-LN(2)/25))/(LN(2)/25)*Calculateur!AQ103*Calculateur!AS103*VLOOKUP('Données projet'!$B$10,Paramètres!$A$1:$I$89,3,0)*0.475*44/12</f>
        <v>1.8642659227481992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14.797885249918231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149.96877706162724</v>
      </c>
      <c r="T104" s="59">
        <f t="shared" si="88"/>
        <v>388.17721230127887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16.549666280463626</v>
      </c>
      <c r="AA104" s="21">
        <f>EXP(-LN(2)/25)*AA103+(1-EXP(-LN(2)/25))/(LN(2)/25)*Calculateur!V104*Calculateur!X104*VLOOKUP('Données projet'!$B$9,Paramètres!$A$1:$I$89,3,0)*0.475*44/12</f>
        <v>2.3294639785129734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18.879130258976598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101.36506596657455</v>
      </c>
      <c r="AO104" s="59">
        <f t="shared" si="90"/>
        <v>296.08579066872488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12.67999894089307</v>
      </c>
      <c r="AV104" s="21">
        <f>EXP(-LN(2)/25)*AV103+(1-EXP(-LN(2)/25))/(LN(2)/25)*Calculateur!AQ104*Calculateur!AS104*VLOOKUP('Données projet'!$B$10,Paramètres!$A$1:$I$89,3,0)*0.475*44/12</f>
        <v>1.8132874730531656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14.493286413946235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149.96877706162724</v>
      </c>
      <c r="T105" s="59">
        <f t="shared" si="88"/>
        <v>388.17721230127887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16.225137419003435</v>
      </c>
      <c r="AA105" s="21">
        <f>EXP(-LN(2)/25)*AA104+(1-EXP(-LN(2)/25))/(LN(2)/25)*Calculateur!V105*Calculateur!X105*VLOOKUP('Données projet'!$B$9,Paramètres!$A$1:$I$89,3,0)*0.475*44/12</f>
        <v>2.2657646635193496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18.490902082522783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101.36506596657455</v>
      </c>
      <c r="AO105" s="59">
        <f t="shared" si="90"/>
        <v>296.08579066872488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12.431351895697837</v>
      </c>
      <c r="AV105" s="21">
        <f>EXP(-LN(2)/25)*AV104+(1-EXP(-LN(2)/25))/(LN(2)/25)*Calculateur!AQ105*Calculateur!AS105*VLOOKUP('Données projet'!$B$10,Paramètres!$A$1:$I$89,3,0)*0.475*44/12</f>
        <v>1.7637030317458828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14.195054927443721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149.96877706162724</v>
      </c>
      <c r="T106" s="59">
        <f t="shared" si="88"/>
        <v>388.17721230127887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15.906972370573419</v>
      </c>
      <c r="AA106" s="21">
        <f>EXP(-LN(2)/25)*AA105+(1-EXP(-LN(2)/25))/(LN(2)/25)*Calculateur!V106*Calculateur!X106*VLOOKUP('Données projet'!$B$9,Paramètres!$A$1:$I$89,3,0)*0.475*44/12</f>
        <v>2.2038072096440278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18.110779580217446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101.36506596657455</v>
      </c>
      <c r="AO106" s="59">
        <f t="shared" si="90"/>
        <v>296.08579066872488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12.187580667399162</v>
      </c>
      <c r="AV106" s="21">
        <f>EXP(-LN(2)/25)*AV105+(1-EXP(-LN(2)/25))/(LN(2)/25)*Calculateur!AQ106*Calculateur!AS106*VLOOKUP('Données projet'!$B$10,Paramètres!$A$1:$I$89,3,0)*0.475*44/12</f>
        <v>1.7154744795936803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13.903055146992843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149.96877706162724</v>
      </c>
      <c r="T107" s="59">
        <f t="shared" si="88"/>
        <v>388.17721230127887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15.595046344681599</v>
      </c>
      <c r="AA107" s="21">
        <f>EXP(-LN(2)/25)*AA106+(1-EXP(-LN(2)/25))/(LN(2)/25)*Calculateur!V107*Calculateur!X107*VLOOKUP('Données projet'!$B$9,Paramètres!$A$1:$I$89,3,0)*0.475*44/12</f>
        <v>2.1435439856031278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17.738590330284726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101.36506596657455</v>
      </c>
      <c r="AO107" s="59">
        <f t="shared" si="90"/>
        <v>296.08579066872488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11.948589644201656</v>
      </c>
      <c r="AV107" s="21">
        <f>EXP(-LN(2)/25)*AV106+(1-EXP(-LN(2)/25))/(LN(2)/25)*Calculateur!AQ107*Calculateur!AS107*VLOOKUP('Données projet'!$B$10,Paramètres!$A$1:$I$89,3,0)*0.475*44/12</f>
        <v>1.668564739736309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13.617154383937965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149.96877706162724</v>
      </c>
      <c r="T108" s="59">
        <f t="shared" si="88"/>
        <v>388.17721230127887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15.289236997901426</v>
      </c>
      <c r="AA108" s="21">
        <f>EXP(-LN(2)/25)*AA107+(1-EXP(-LN(2)/25))/(LN(2)/25)*Calculateur!V108*Calculateur!X108*VLOOKUP('Données projet'!$B$9,Paramètres!$A$1:$I$89,3,0)*0.475*44/12</f>
        <v>2.084928662592731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17.374165660494157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101.36506596657455</v>
      </c>
      <c r="AO108" s="59">
        <f t="shared" si="90"/>
        <v>296.08579066872488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11.714285089198922</v>
      </c>
      <c r="AV108" s="21">
        <f>EXP(-LN(2)/25)*AV107+(1-EXP(-LN(2)/25))/(LN(2)/25)*Calculateur!AQ108*Calculateur!AS108*VLOOKUP('Données projet'!$B$10,Paramètres!$A$1:$I$89,3,0)*0.475*44/12</f>
        <v>1.6229377491822135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13.337222838381136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149.96877706162724</v>
      </c>
      <c r="T109" s="59">
        <f t="shared" si="88"/>
        <v>388.17721230127887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14.989424385886331</v>
      </c>
      <c r="AA109" s="21">
        <f>EXP(-LN(2)/25)*AA108+(1-EXP(-LN(2)/25))/(LN(2)/25)*Calculateur!V109*Calculateur!X109*VLOOKUP('Données projet'!$B$9,Paramètres!$A$1:$I$89,3,0)*0.475*44/12</f>
        <v>2.0279161786724997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17.017340564558829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101.36506596657455</v>
      </c>
      <c r="AO109" s="59">
        <f t="shared" si="90"/>
        <v>296.08579066872488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11.484575103608124</v>
      </c>
      <c r="AV109" s="21">
        <f>EXP(-LN(2)/25)*AV108+(1-EXP(-LN(2)/25))/(LN(2)/25)*Calculateur!AQ109*Calculateur!AS109*VLOOKUP('Données projet'!$B$10,Paramètres!$A$1:$I$89,3,0)*0.475*44/12</f>
        <v>1.5785584310842389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13.063133534692364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149.96877706162724</v>
      </c>
      <c r="T110" s="59">
        <f t="shared" si="88"/>
        <v>388.17721230127887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14.695490916325214</v>
      </c>
      <c r="AA110" s="21">
        <f>EXP(-LN(2)/25)*AA109+(1-EXP(-LN(2)/25))/(LN(2)/25)*Calculateur!V110*Calculateur!X110*VLOOKUP('Données projet'!$B$9,Paramètres!$A$1:$I$89,3,0)*0.475*44/12</f>
        <v>1.9724627041232232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16.667953620448436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101.36506596657455</v>
      </c>
      <c r="AO110" s="59">
        <f t="shared" si="90"/>
        <v>296.08579066872488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11.259369590725505</v>
      </c>
      <c r="AV110" s="21">
        <f>EXP(-LN(2)/25)*AV109+(1-EXP(-LN(2)/25))/(LN(2)/25)*Calculateur!AQ110*Calculateur!AS110*VLOOKUP('Données projet'!$B$10,Paramètres!$A$1:$I$89,3,0)*0.475*44/12</f>
        <v>1.5353926677734604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12.794762258498967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149.96877706162724</v>
      </c>
      <c r="T111" s="59">
        <f t="shared" si="88"/>
        <v>388.17721230127887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14.407321302820478</v>
      </c>
      <c r="AA111" s="21">
        <f>EXP(-LN(2)/25)*AA110+(1-EXP(-LN(2)/25))/(LN(2)/25)*Calculateur!V111*Calculateur!X111*VLOOKUP('Données projet'!$B$9,Paramètres!$A$1:$I$89,3,0)*0.475*44/12</f>
        <v>1.9185256077516681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16.325846910572146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101.36506596657455</v>
      </c>
      <c r="AO111" s="59">
        <f t="shared" si="90"/>
        <v>296.08579066872488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11.038580220588715</v>
      </c>
      <c r="AV111" s="21">
        <f>EXP(-LN(2)/25)*AV110+(1-EXP(-LN(2)/25))/(LN(2)/25)*Calculateur!AQ111*Calculateur!AS111*VLOOKUP('Données projet'!$B$10,Paramètres!$A$1:$I$89,3,0)*0.475*44/12</f>
        <v>1.4934072745304039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12.531987495119118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149.96877706162724</v>
      </c>
      <c r="T112" s="59">
        <f t="shared" si="88"/>
        <v>388.17721230127887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14.12480251967046</v>
      </c>
      <c r="AA112" s="21">
        <f>EXP(-LN(2)/25)*AA111+(1-EXP(-LN(2)/25))/(LN(2)/25)*Calculateur!V112*Calculateur!X112*VLOOKUP('Données projet'!$B$9,Paramètres!$A$1:$I$89,3,0)*0.475*44/12</f>
        <v>1.8660634241168219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15.990865943787282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101.36506596657455</v>
      </c>
      <c r="AO112" s="59">
        <f t="shared" si="90"/>
        <v>296.08579066872488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10.822120395332089</v>
      </c>
      <c r="AV112" s="21">
        <f>EXP(-LN(2)/25)*AV111+(1-EXP(-LN(2)/25))/(LN(2)/25)*Calculateur!AQ112*Calculateur!AS112*VLOOKUP('Données projet'!$B$10,Paramètres!$A$1:$I$89,3,0)*0.475*44/12</f>
        <v>1.4525699740734948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12.274690369405583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149.96877706162724</v>
      </c>
      <c r="T113" s="59">
        <f t="shared" si="88"/>
        <v>388.17721230127887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13.847823757538572</v>
      </c>
      <c r="AA113" s="21">
        <f>EXP(-LN(2)/25)*AA112+(1-EXP(-LN(2)/25))/(LN(2)/25)*Calculateur!V113*Calculateur!X113*VLOOKUP('Données projet'!$B$9,Paramètres!$A$1:$I$89,3,0)*0.475*44/12</f>
        <v>1.8150358216523368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15.66285957919091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101.36506596657455</v>
      </c>
      <c r="AO113" s="59">
        <f t="shared" si="90"/>
        <v>296.08579066872488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10.609905215221289</v>
      </c>
      <c r="AV113" s="21">
        <f>EXP(-LN(2)/25)*AV112+(1-EXP(-LN(2)/25))/(LN(2)/25)*Calculateur!AQ113*Calculateur!AS113*VLOOKUP('Données projet'!$B$10,Paramètres!$A$1:$I$89,3,0)*0.475*44/12</f>
        <v>1.41284937174512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12.022754586966409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149.96877706162724</v>
      </c>
      <c r="T114" s="59">
        <f t="shared" si="88"/>
        <v>388.17721230127887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13.576276379991727</v>
      </c>
      <c r="AA114" s="21">
        <f>EXP(-LN(2)/25)*AA113+(1-EXP(-LN(2)/25))/(LN(2)/25)*Calculateur!V114*Calculateur!X114*VLOOKUP('Données projet'!$B$9,Paramètres!$A$1:$I$89,3,0)*0.475*44/12</f>
        <v>1.7654035716606682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15.341679951652395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101.36506596657455</v>
      </c>
      <c r="AO114" s="59">
        <f t="shared" si="90"/>
        <v>296.08579066872488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10.401851445353984</v>
      </c>
      <c r="AV114" s="21">
        <f>EXP(-LN(2)/25)*AV113+(1-EXP(-LN(2)/25))/(LN(2)/25)*Calculateur!AQ114*Calculateur!AS114*VLOOKUP('Données projet'!$B$10,Paramètres!$A$1:$I$89,3,0)*0.475*44/12</f>
        <v>1.3742149313762304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11.776066376730213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149.96877706162724</v>
      </c>
      <c r="T115" s="59">
        <f t="shared" si="88"/>
        <v>388.17721230127887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13.310053880891029</v>
      </c>
      <c r="AA115" s="21">
        <f>EXP(-LN(2)/25)*AA114+(1-EXP(-LN(2)/25))/(LN(2)/25)*Calculateur!V115*Calculateur!X115*VLOOKUP('Données projet'!$B$9,Paramètres!$A$1:$I$89,3,0)*0.475*44/12</f>
        <v>1.7171285181550682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15.027182399046097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101.36506596657455</v>
      </c>
      <c r="AO115" s="59">
        <f t="shared" si="90"/>
        <v>296.08579066872488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10.197877483013507</v>
      </c>
      <c r="AV115" s="21">
        <f>EXP(-LN(2)/25)*AV114+(1-EXP(-LN(2)/25))/(LN(2)/25)*Calculateur!AQ115*Calculateur!AS115*VLOOKUP('Données projet'!$B$10,Paramètres!$A$1:$I$89,3,0)*0.475*44/12</f>
        <v>1.3366369518109249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11.534514434824432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149.96877706162724</v>
      </c>
      <c r="T116" s="59">
        <f t="shared" si="88"/>
        <v>388.17721230127887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13.049051842618004</v>
      </c>
      <c r="AA116" s="21">
        <f>EXP(-LN(2)/25)*AA115+(1-EXP(-LN(2)/25))/(LN(2)/25)*Calculateur!V116*Calculateur!X116*VLOOKUP('Données projet'!$B$9,Paramètres!$A$1:$I$89,3,0)*0.475*44/12</f>
        <v>1.6701735485262537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14.719225391144258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101.36506596657455</v>
      </c>
      <c r="AO116" s="59">
        <f t="shared" si="90"/>
        <v>296.08579066872488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9.9979033256626941</v>
      </c>
      <c r="AV116" s="21">
        <f>EXP(-LN(2)/25)*AV115+(1-EXP(-LN(2)/25))/(LN(2)/25)*Calculateur!AQ116*Calculateur!AS116*VLOOKUP('Données projet'!$B$10,Paramètres!$A$1:$I$89,3,0)*0.475*44/12</f>
        <v>1.3000865440729727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11.297989869735666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149.96877706162724</v>
      </c>
      <c r="T117" s="59">
        <f t="shared" si="88"/>
        <v>388.17721230127887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12.793167895119989</v>
      </c>
      <c r="AA117" s="21">
        <f>EXP(-LN(2)/25)*AA116+(1-EXP(-LN(2)/25))/(LN(2)/25)*Calculateur!V117*Calculateur!X117*VLOOKUP('Données projet'!$B$9,Paramètres!$A$1:$I$89,3,0)*0.475*44/12</f>
        <v>1.6245025650111935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14.417670460131182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101.36506596657455</v>
      </c>
      <c r="AO117" s="59">
        <f t="shared" si="90"/>
        <v>296.08579066872488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9.8018505395653381</v>
      </c>
      <c r="AV117" s="21">
        <f>EXP(-LN(2)/25)*AV116+(1-EXP(-LN(2)/25))/(LN(2)/25)*Calculateur!AQ117*Calculateur!AS117*VLOOKUP('Données projet'!$B$10,Paramètres!$A$1:$I$89,3,0)*0.475*44/12</f>
        <v>1.2645356091567173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11.066386148722055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149.96877706162724</v>
      </c>
      <c r="T118" s="59">
        <f t="shared" si="88"/>
        <v>388.17721230127887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12.542301675758614</v>
      </c>
      <c r="AA118" s="21">
        <f>EXP(-LN(2)/25)*AA117+(1-EXP(-LN(2)/25))/(LN(2)/25)*Calculateur!V118*Calculateur!X118*VLOOKUP('Données projet'!$B$9,Paramètres!$A$1:$I$89,3,0)*0.475*44/12</f>
        <v>1.5800804569420854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14.122382132700698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101.36506596657455</v>
      </c>
      <c r="AO118" s="59">
        <f t="shared" si="90"/>
        <v>296.08579066872488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9.6096422290229597</v>
      </c>
      <c r="AV118" s="21">
        <f>EXP(-LN(2)/25)*AV117+(1-EXP(-LN(2)/25))/(LN(2)/25)*Calculateur!AQ118*Calculateur!AS118*VLOOKUP('Données projet'!$B$10,Paramètres!$A$1:$I$89,3,0)*0.475*44/12</f>
        <v>1.2299568164252892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10.839599045448249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149.96877706162724</v>
      </c>
      <c r="T119" s="59">
        <f t="shared" si="88"/>
        <v>388.17721230127887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12.29635478994563</v>
      </c>
      <c r="AA119" s="21">
        <f>EXP(-LN(2)/25)*AA118+(1-EXP(-LN(2)/25))/(LN(2)/25)*Calculateur!V119*Calculateur!X119*VLOOKUP('Données projet'!$B$9,Paramètres!$A$1:$I$89,3,0)*0.475*44/12</f>
        <v>1.5368730737541842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13.833227863699815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101.36506596657455</v>
      </c>
      <c r="AO119" s="59">
        <f t="shared" si="90"/>
        <v>296.08579066872488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9.4212030062148244</v>
      </c>
      <c r="AV119" s="21">
        <f>EXP(-LN(2)/25)*AV118+(1-EXP(-LN(2)/25))/(LN(2)/25)*Calculateur!AQ119*Calculateur!AS119*VLOOKUP('Données projet'!$B$10,Paramètres!$A$1:$I$89,3,0)*0.475*44/12</f>
        <v>1.1963235825995218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10.617526588814346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149.96877706162724</v>
      </c>
      <c r="T120" s="59">
        <f t="shared" si="88"/>
        <v>388.17721230127887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12.055230772550651</v>
      </c>
      <c r="AA120" s="21">
        <f>EXP(-LN(2)/25)*AA119+(1-EXP(-LN(2)/25))/(LN(2)/25)*Calculateur!V120*Calculateur!X120*VLOOKUP('Données projet'!$B$9,Paramètres!$A$1:$I$89,3,0)*0.475*44/12</f>
        <v>1.4948471987317338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13.550077971282384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101.36506596657455</v>
      </c>
      <c r="AO120" s="59">
        <f t="shared" si="90"/>
        <v>296.08579066872488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9.2364589616293795</v>
      </c>
      <c r="AV120" s="21">
        <f>EXP(-LN(2)/25)*AV119+(1-EXP(-LN(2)/25))/(LN(2)/25)*Calculateur!AQ120*Calculateur!AS120*VLOOKUP('Données projet'!$B$10,Paramètres!$A$1:$I$89,3,0)*0.475*44/12</f>
        <v>1.1636100513214149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10.400069012950794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149.96877706162724</v>
      </c>
      <c r="T121" s="59">
        <f t="shared" si="88"/>
        <v>388.17721230127887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11.818835050065658</v>
      </c>
      <c r="AA121" s="21">
        <f>EXP(-LN(2)/25)*AA120+(1-EXP(-LN(2)/25))/(LN(2)/25)*Calculateur!V121*Calculateur!X121*VLOOKUP('Données projet'!$B$9,Paramètres!$A$1:$I$89,3,0)*0.475*44/12</f>
        <v>1.4539705234718168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13.272805573537475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101.36506596657455</v>
      </c>
      <c r="AO121" s="59">
        <f t="shared" si="90"/>
        <v>296.08579066872488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9.0553376350755137</v>
      </c>
      <c r="AV121" s="21">
        <f>EXP(-LN(2)/25)*AV120+(1-EXP(-LN(2)/25))/(LN(2)/25)*Calculateur!AQ121*Calculateur!AS121*VLOOKUP('Données projet'!$B$10,Paramètres!$A$1:$I$89,3,0)*0.475*44/12</f>
        <v>1.1317910732764378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10.187128708351951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149.96877706162724</v>
      </c>
      <c r="T122" s="59">
        <f t="shared" si="88"/>
        <v>388.17721230127887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11.587074903511443</v>
      </c>
      <c r="AA122" s="21">
        <f>EXP(-LN(2)/25)*AA121+(1-EXP(-LN(2)/25))/(LN(2)/25)*Calculateur!V122*Calculateur!X122*VLOOKUP('Données projet'!$B$9,Paramètres!$A$1:$I$89,3,0)*0.475*44/12</f>
        <v>1.4142116230464932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13.001286526557935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101.36506596657455</v>
      </c>
      <c r="AO122" s="59">
        <f t="shared" si="90"/>
        <v>296.08579066872488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8.8777679872622688</v>
      </c>
      <c r="AV122" s="21">
        <f>EXP(-LN(2)/25)*AV121+(1-EXP(-LN(2)/25))/(LN(2)/25)*Calculateur!AQ122*Calculateur!AS122*VLOOKUP('Données projet'!$B$10,Paramètres!$A$1:$I$89,3,0)*0.475*44/12</f>
        <v>1.1008421868593878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9.9786101741216573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149.96877706162724</v>
      </c>
      <c r="T123" s="59">
        <f t="shared" si="88"/>
        <v>388.17721230127887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11.359859432071426</v>
      </c>
      <c r="AA123" s="21">
        <f>EXP(-LN(2)/25)*AA122+(1-EXP(-LN(2)/25))/(LN(2)/25)*Calculateur!V123*Calculateur!X123*VLOOKUP('Données projet'!$B$9,Paramètres!$A$1:$I$89,3,0)*0.475*44/12</f>
        <v>1.3755399318441297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12.735399363915555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101.36506596657455</v>
      </c>
      <c r="AO123" s="59">
        <f t="shared" si="90"/>
        <v>296.08579066872488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8.7036803719358513</v>
      </c>
      <c r="AV123" s="21">
        <f>EXP(-LN(2)/25)*AV122+(1-EXP(-LN(2)/25))/(LN(2)/25)*Calculateur!AQ123*Calculateur!AS123*VLOOKUP('Données projet'!$B$10,Paramètres!$A$1:$I$89,3,0)*0.475*44/12</f>
        <v>1.0707395993689433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9.7744199713047948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149.96877706162724</v>
      </c>
      <c r="T124" s="59">
        <f t="shared" si="88"/>
        <v>388.17721230127887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11.137099517438594</v>
      </c>
      <c r="AA124" s="21">
        <f>EXP(-LN(2)/25)*AA123+(1-EXP(-LN(2)/25))/(LN(2)/25)*Calculateur!V124*Calculateur!X124*VLOOKUP('Données projet'!$B$9,Paramètres!$A$1:$I$89,3,0)*0.475*44/12</f>
        <v>1.3379257200713508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12.475025237509945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101.36506596657455</v>
      </c>
      <c r="AO124" s="59">
        <f t="shared" si="90"/>
        <v>296.08579066872488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8.5330065085630231</v>
      </c>
      <c r="AV124" s="21">
        <f>EXP(-LN(2)/25)*AV123+(1-EXP(-LN(2)/25))/(LN(2)/25)*Calculateur!AQ124*Calculateur!AS124*VLOOKUP('Données projet'!$B$10,Paramètres!$A$1:$I$89,3,0)*0.475*44/12</f>
        <v>1.0414601687164511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9.5744666772794744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149.96877706162724</v>
      </c>
      <c r="T125" s="59">
        <f t="shared" si="88"/>
        <v>388.17721230127887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10.91870778886158</v>
      </c>
      <c r="AA125" s="21">
        <f>EXP(-LN(2)/25)*AA124+(1-EXP(-LN(2)/25))/(LN(2)/25)*Calculateur!V125*Calculateur!X125*VLOOKUP('Données projet'!$B$9,Paramètres!$A$1:$I$89,3,0)*0.475*44/12</f>
        <v>1.301340070897544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12.220047859759124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101.36506596657455</v>
      </c>
      <c r="AO125" s="59">
        <f t="shared" si="90"/>
        <v>296.08579066872488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8.3656794555501595</v>
      </c>
      <c r="AV125" s="21">
        <f>EXP(-LN(2)/25)*AV124+(1-EXP(-LN(2)/25))/(LN(2)/25)*Calculateur!AQ125*Calculateur!AS125*VLOOKUP('Données projet'!$B$10,Paramètres!$A$1:$I$89,3,0)*0.475*44/12</f>
        <v>1.0129813856348897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9.3786608411850487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149.96877706162724</v>
      </c>
      <c r="T126" s="59">
        <f t="shared" si="88"/>
        <v>388.17721230127887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10.704598588876159</v>
      </c>
      <c r="AA126" s="21">
        <f>EXP(-LN(2)/25)*AA125+(1-EXP(-LN(2)/25))/(LN(2)/25)*Calculateur!V126*Calculateur!X126*VLOOKUP('Données projet'!$B$9,Paramètres!$A$1:$I$89,3,0)*0.475*44/12</f>
        <v>1.2657548582243505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11.970353447100511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101.36506596657455</v>
      </c>
      <c r="AO126" s="59">
        <f t="shared" si="90"/>
        <v>296.08579066872488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8.2016335839874532</v>
      </c>
      <c r="AV126" s="21">
        <f>EXP(-LN(2)/25)*AV125+(1-EXP(-LN(2)/25))/(LN(2)/25)*Calculateur!AQ126*Calculateur!AS126*VLOOKUP('Données projet'!$B$10,Paramètres!$A$1:$I$89,3,0)*0.475*44/12</f>
        <v>0.98528135637432779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9.1869149403617811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149.96877706162724</v>
      </c>
      <c r="T127" s="59">
        <f t="shared" si="88"/>
        <v>388.17721230127887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10.494687939708736</v>
      </c>
      <c r="AA127" s="21">
        <f>EXP(-LN(2)/25)*AA126+(1-EXP(-LN(2)/25))/(LN(2)/25)*Calculateur!V127*Calculateur!X127*VLOOKUP('Données projet'!$B$9,Paramètres!$A$1:$I$89,3,0)*0.475*44/12</f>
        <v>1.2311427250630507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11.725830664771788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101.36506596657455</v>
      </c>
      <c r="AO127" s="59">
        <f t="shared" si="90"/>
        <v>296.08579066872488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8.0408045519079892</v>
      </c>
      <c r="AV127" s="21">
        <f>EXP(-LN(2)/25)*AV126+(1-EXP(-LN(2)/25))/(LN(2)/25)*Calculateur!AQ127*Calculateur!AS127*VLOOKUP('Données projet'!$B$10,Paramètres!$A$1:$I$89,3,0)*0.475*44/12</f>
        <v>0.95833878587057719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8.9991433377785661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149.96877706162724</v>
      </c>
      <c r="T128" s="59">
        <f t="shared" si="88"/>
        <v>388.17721230127887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10.288893510338632</v>
      </c>
      <c r="AA128" s="21">
        <f>EXP(-LN(2)/25)*AA127+(1-EXP(-LN(2)/25))/(LN(2)/25)*Calculateur!V128*Calculateur!X128*VLOOKUP('Données projet'!$B$9,Paramètres!$A$1:$I$89,3,0)*0.475*44/12</f>
        <v>1.1974770625032194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11.486370572841851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101.36506596657455</v>
      </c>
      <c r="AO128" s="59">
        <f t="shared" si="90"/>
        <v>296.08579066872488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7.8831292790515803</v>
      </c>
      <c r="AV128" s="21">
        <f>EXP(-LN(2)/25)*AV127+(1-EXP(-LN(2)/25))/(LN(2)/25)*Calculateur!AQ128*Calculateur!AS128*VLOOKUP('Données projet'!$B$10,Paramètres!$A$1:$I$89,3,0)*0.475*44/12</f>
        <v>0.93213296137409984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8.81526224042568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149.96877706162724</v>
      </c>
      <c r="T129" s="59">
        <f t="shared" si="88"/>
        <v>388.17721230127887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10.087134584206268</v>
      </c>
      <c r="AA129" s="21">
        <f>EXP(-LN(2)/25)*AA128+(1-EXP(-LN(2)/25))/(LN(2)/25)*Calculateur!V129*Calculateur!X129*VLOOKUP('Données projet'!$B$9,Paramètres!$A$1:$I$89,3,0)*0.475*44/12</f>
        <v>1.1647319892564869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11.251866573462754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101.36506596657455</v>
      </c>
      <c r="AO129" s="59">
        <f t="shared" si="90"/>
        <v>296.08579066872488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7.7285459221234651</v>
      </c>
      <c r="AV129" s="21">
        <f>EXP(-LN(2)/25)*AV128+(1-EXP(-LN(2)/25))/(LN(2)/25)*Calculateur!AQ129*Calculateur!AS129*VLOOKUP('Données projet'!$B$10,Paramètres!$A$1:$I$89,3,0)*0.475*44/12</f>
        <v>0.90664373652658303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8.6351896586500487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149.96877706162724</v>
      </c>
      <c r="T130" s="59">
        <f t="shared" si="88"/>
        <v>388.17721230127887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9.8893320275545662</v>
      </c>
      <c r="AA130" s="21">
        <f>EXP(-LN(2)/25)*AA129+(1-EXP(-LN(2)/25))/(LN(2)/25)*Calculateur!V130*Calculateur!X130*VLOOKUP('Données projet'!$B$9,Paramètres!$A$1:$I$89,3,0)*0.475*44/12</f>
        <v>1.132882331759675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11.022214359314241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101.36506596657455</v>
      </c>
      <c r="AO130" s="59">
        <f t="shared" si="90"/>
        <v>296.08579066872488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7.5769938505381731</v>
      </c>
      <c r="AV130" s="21">
        <f>EXP(-LN(2)/25)*AV129+(1-EXP(-LN(2)/25))/(LN(2)/25)*Calculateur!AQ130*Calculateur!AS130*VLOOKUP('Données projet'!$B$10,Paramètres!$A$1:$I$89,3,0)*0.475*44/12</f>
        <v>0.88185151587294164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8.458845366411115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149.96877706162724</v>
      </c>
      <c r="T131" s="59">
        <f t="shared" si="88"/>
        <v>388.17721230127887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9.6954082583911578</v>
      </c>
      <c r="AA131" s="21">
        <f>EXP(-LN(2)/25)*AA130+(1-EXP(-LN(2)/25))/(LN(2)/25)*Calculateur!V131*Calculateur!X131*VLOOKUP('Données projet'!$B$9,Paramètres!$A$1:$I$89,3,0)*0.475*44/12</f>
        <v>1.1019036048220141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10.797311863213173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101.36506596657455</v>
      </c>
      <c r="AO131" s="59">
        <f t="shared" si="90"/>
        <v>296.08579066872488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7.4284136226390318</v>
      </c>
      <c r="AV131" s="21">
        <f>EXP(-LN(2)/25)*AV130+(1-EXP(-LN(2)/25))/(LN(2)/25)*Calculateur!AQ131*Calculateur!AS131*VLOOKUP('Données projet'!$B$10,Paramètres!$A$1:$I$89,3,0)*0.475*44/12</f>
        <v>0.85773723979684036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8.2861508624358713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149.96877706162724</v>
      </c>
      <c r="T132" s="59">
        <f t="shared" si="88"/>
        <v>388.17721230127887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9.505287216059223</v>
      </c>
      <c r="AA132" s="21">
        <f>EXP(-LN(2)/25)*AA131+(1-EXP(-LN(2)/25))/(LN(2)/25)*Calculateur!V132*Calculateur!X132*VLOOKUP('Données projet'!$B$9,Paramètres!$A$1:$I$89,3,0)*0.475*44/12</f>
        <v>1.0717719928015639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10.577059208860787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101.36506596657455</v>
      </c>
      <c r="AO132" s="59">
        <f t="shared" si="90"/>
        <v>296.08579066872488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7.2827469623840022</v>
      </c>
      <c r="AV132" s="21">
        <f>EXP(-LN(2)/25)*AV131+(1-EXP(-LN(2)/25))/(LN(2)/25)*Calculateur!AQ132*Calculateur!AS132*VLOOKUP('Données projet'!$B$10,Paramètres!$A$1:$I$89,3,0)*0.475*44/12</f>
        <v>0.83428236986815474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8.1170293322521569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149.96877706162724</v>
      </c>
      <c r="T133" s="59">
        <f t="shared" ref="T133:T196" si="142">$T$3</f>
        <v>388.17721230127887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9.3188943314050334</v>
      </c>
      <c r="AA133" s="21">
        <f>EXP(-LN(2)/25)*AA132+(1-EXP(-LN(2)/25))/(LN(2)/25)*Calculateur!V133*Calculateur!X133*VLOOKUP('Données projet'!$B$9,Paramètres!$A$1:$I$89,3,0)*0.475*44/12</f>
        <v>1.0424643312963655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10.361358662701399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101.36506596657455</v>
      </c>
      <c r="AO133" s="59">
        <f t="shared" ref="AO133:AO196" si="144">$AO$3</f>
        <v>296.08579066872488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7.1399367364886839</v>
      </c>
      <c r="AV133" s="21">
        <f>EXP(-LN(2)/25)*AV132+(1-EXP(-LN(2)/25))/(LN(2)/25)*Calculateur!AQ133*Calculateur!AS133*VLOOKUP('Données projet'!$B$10,Paramètres!$A$1:$I$89,3,0)*0.475*44/12</f>
        <v>0.81146887459110695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7.9514056110797906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149.96877706162724</v>
      </c>
      <c r="T134" s="59">
        <f t="shared" si="142"/>
        <v>388.17721230127887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9.1361564975304788</v>
      </c>
      <c r="AA134" s="21">
        <f>EXP(-LN(2)/25)*AA133+(1-EXP(-LN(2)/25))/(LN(2)/25)*Calculateur!V134*Calculateur!X134*VLOOKUP('Données projet'!$B$9,Paramètres!$A$1:$I$89,3,0)*0.475*44/12</f>
        <v>1.0139580893362499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10.150114586866728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101.36506596657455</v>
      </c>
      <c r="AO134" s="59">
        <f t="shared" si="144"/>
        <v>296.08579066872488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6.9999269320175364</v>
      </c>
      <c r="AV134" s="21">
        <f>EXP(-LN(2)/25)*AV133+(1-EXP(-LN(2)/25))/(LN(2)/25)*Calculateur!AQ134*Calculateur!AS134*VLOOKUP('Données projet'!$B$10,Paramètres!$A$1:$I$89,3,0)*0.475*44/12</f>
        <v>0.78927921554211966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7.7892061475596561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149.96877706162724</v>
      </c>
      <c r="T135" s="59">
        <f t="shared" si="142"/>
        <v>388.17721230127887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8.9570020411191305</v>
      </c>
      <c r="AA135" s="21">
        <f>EXP(-LN(2)/25)*AA134+(1-EXP(-LN(2)/25))/(LN(2)/25)*Calculateur!V135*Calculateur!X135*VLOOKUP('Données projet'!$B$9,Paramètres!$A$1:$I$89,3,0)*0.475*44/12</f>
        <v>0.98623135206161161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9.9432333931807424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101.36506596657455</v>
      </c>
      <c r="AO135" s="59">
        <f t="shared" si="144"/>
        <v>296.08579066872488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6.8626626344145194</v>
      </c>
      <c r="AV135" s="21">
        <f>EXP(-LN(2)/25)*AV134+(1-EXP(-LN(2)/25))/(LN(2)/25)*Calculateur!AQ135*Calculateur!AS135*VLOOKUP('Données projet'!$B$10,Paramètres!$A$1:$I$89,3,0)*0.475*44/12</f>
        <v>0.76769633388673042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7.63035896830125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149.96877706162724</v>
      </c>
      <c r="T136" s="59">
        <f t="shared" si="142"/>
        <v>388.17721230127887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8.7813606943245794</v>
      </c>
      <c r="AA136" s="21">
        <f>EXP(-LN(2)/25)*AA135+(1-EXP(-LN(2)/25))/(LN(2)/25)*Calculateur!V136*Calculateur!X136*VLOOKUP('Données projet'!$B$9,Paramètres!$A$1:$I$89,3,0)*0.475*44/12</f>
        <v>0.95926280387583407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9.7406234982004136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101.36506596657455</v>
      </c>
      <c r="AO136" s="59">
        <f t="shared" si="144"/>
        <v>296.08579066872488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6.7280900059645434</v>
      </c>
      <c r="AV136" s="21">
        <f>EXP(-LN(2)/25)*AV135+(1-EXP(-LN(2)/25))/(LN(2)/25)*Calculateur!AQ136*Calculateur!AS136*VLOOKUP('Données projet'!$B$10,Paramètres!$A$1:$I$89,3,0)*0.475*44/12</f>
        <v>0.74670363726520217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7.4747936432297459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149.96877706162724</v>
      </c>
      <c r="T137" s="59">
        <f t="shared" si="142"/>
        <v>388.17721230127887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8.6091635672100271</v>
      </c>
      <c r="AA137" s="21">
        <f>EXP(-LN(2)/25)*AA136+(1-EXP(-LN(2)/25))/(LN(2)/25)*Calculateur!V137*Calculateur!X137*VLOOKUP('Données projet'!$B$9,Paramètres!$A$1:$I$89,3,0)*0.475*44/12</f>
        <v>0.93303171205841096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9.5421952792684372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101.36506596657455</v>
      </c>
      <c r="AO137" s="59">
        <f t="shared" si="144"/>
        <v>296.08579066872488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6.5961562646772727</v>
      </c>
      <c r="AV137" s="21">
        <f>EXP(-LN(2)/25)*AV136+(1-EXP(-LN(2)/25))/(LN(2)/25)*Calculateur!AQ137*Calculateur!AS137*VLOOKUP('Données projet'!$B$10,Paramètres!$A$1:$I$89,3,0)*0.475*44/12</f>
        <v>0.7262849870367476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7.3224412517140198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149.96877706162724</v>
      </c>
      <c r="T138" s="59">
        <f t="shared" si="142"/>
        <v>388.17721230127887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8.4403431207283148</v>
      </c>
      <c r="AA138" s="21">
        <f>EXP(-LN(2)/25)*AA137+(1-EXP(-LN(2)/25))/(LN(2)/25)*Calculateur!V138*Calculateur!X138*VLOOKUP('Données projet'!$B$9,Paramètres!$A$1:$I$89,3,0)*0.475*44/12</f>
        <v>0.90751791082616839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9.3478610315544834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101.36506596657455</v>
      </c>
      <c r="AO138" s="59">
        <f t="shared" si="144"/>
        <v>296.08579066872488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6.4668096635850087</v>
      </c>
      <c r="AV138" s="21">
        <f>EXP(-LN(2)/25)*AV137+(1-EXP(-LN(2)/25))/(LN(2)/25)*Calculateur!AQ138*Calculateur!AS138*VLOOKUP('Données projet'!$B$10,Paramètres!$A$1:$I$89,3,0)*0.475*44/12</f>
        <v>0.70642468587256024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7.1732343494575694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149.96877706162724</v>
      </c>
      <c r="T139" s="59">
        <f t="shared" si="142"/>
        <v>388.17721230127887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8.2748331402318041</v>
      </c>
      <c r="AA139" s="21">
        <f>EXP(-LN(2)/25)*AA138+(1-EXP(-LN(2)/25))/(LN(2)/25)*Calculateur!V139*Calculateur!X139*VLOOKUP('Données projet'!$B$9,Paramètres!$A$1:$I$89,3,0)*0.475*44/12</f>
        <v>0.8827017858303341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9.1575349260621373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101.36506596657455</v>
      </c>
      <c r="AO139" s="59">
        <f t="shared" si="144"/>
        <v>296.08579066872488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6.3399994704465277</v>
      </c>
      <c r="AV139" s="21">
        <f>EXP(-LN(2)/25)*AV138+(1-EXP(-LN(2)/25))/(LN(2)/25)*Calculateur!AQ139*Calculateur!AS139*VLOOKUP('Données projet'!$B$10,Paramètres!$A$1:$I$89,3,0)*0.475*44/12</f>
        <v>0.68710746568811543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7.0271069361346434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149.96877706162724</v>
      </c>
      <c r="T140" s="59">
        <f t="shared" si="142"/>
        <v>388.17721230127887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8.1125687095017085</v>
      </c>
      <c r="AA140" s="21">
        <f>EXP(-LN(2)/25)*AA139+(1-EXP(-LN(2)/25))/(LN(2)/25)*Calculateur!V140*Calculateur!X140*VLOOKUP('Données projet'!$B$9,Paramètres!$A$1:$I$89,3,0)*0.475*44/12</f>
        <v>0.85856425907753409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8.9711329685792425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101.36506596657455</v>
      </c>
      <c r="AO140" s="59">
        <f t="shared" si="144"/>
        <v>296.08579066872488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6.2156759478489123</v>
      </c>
      <c r="AV140" s="21">
        <f>EXP(-LN(2)/25)*AV139+(1-EXP(-LN(2)/25))/(LN(2)/25)*Calculateur!AQ140*Calculateur!AS140*VLOOKUP('Données projet'!$B$10,Paramètres!$A$1:$I$89,3,0)*0.475*44/12</f>
        <v>0.66831847590546267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6.8839944237543751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149.96877706162724</v>
      </c>
      <c r="T141" s="59">
        <f t="shared" si="142"/>
        <v>388.17721230127887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7.9534861852867005</v>
      </c>
      <c r="AA141" s="21">
        <f>EXP(-LN(2)/25)*AA140+(1-EXP(-LN(2)/25))/(LN(2)/25)*Calculateur!V141*Calculateur!X141*VLOOKUP('Données projet'!$B$9,Paramètres!$A$1:$I$89,3,0)*0.475*44/12</f>
        <v>0.83508677426312683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8.7885729595498265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101.36506596657455</v>
      </c>
      <c r="AO141" s="59">
        <f t="shared" si="144"/>
        <v>296.08579066872488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6.0937903336995749</v>
      </c>
      <c r="AV141" s="21">
        <f>EXP(-LN(2)/25)*AV140+(1-EXP(-LN(2)/25))/(LN(2)/25)*Calculateur!AQ141*Calculateur!AS141*VLOOKUP('Données projet'!$B$10,Paramètres!$A$1:$I$89,3,0)*0.475*44/12</f>
        <v>0.6500432720364866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6.7438336057360617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149.96877706162724</v>
      </c>
      <c r="T142" s="59">
        <f t="shared" si="142"/>
        <v>388.17721230127887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7.7975231723407905</v>
      </c>
      <c r="AA142" s="21">
        <f>EXP(-LN(2)/25)*AA141+(1-EXP(-LN(2)/25))/(LN(2)/25)*Calculateur!V142*Calculateur!X142*VLOOKUP('Données projet'!$B$9,Paramètres!$A$1:$I$89,3,0)*0.475*44/12</f>
        <v>0.81225128250559675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8.6097744548463879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101.36506596657455</v>
      </c>
      <c r="AO142" s="59">
        <f t="shared" si="144"/>
        <v>296.08579066872488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5.9742948221008216</v>
      </c>
      <c r="AV142" s="21">
        <f>EXP(-LN(2)/25)*AV141+(1-EXP(-LN(2)/25))/(LN(2)/25)*Calculateur!AQ142*Calculateur!AS142*VLOOKUP('Données projet'!$B$10,Paramètres!$A$1:$I$89,3,0)*0.475*44/12</f>
        <v>0.63226780457835885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6.6065626266791808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149.96877706162724</v>
      </c>
      <c r="T143" s="59">
        <f t="shared" si="142"/>
        <v>388.17721230127887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7.6446184989507051</v>
      </c>
      <c r="AA143" s="21">
        <f>EXP(-LN(2)/25)*AA142+(1-EXP(-LN(2)/25))/(LN(2)/25)*Calculateur!V143*Calculateur!X143*VLOOKUP('Données projet'!$B$9,Paramètres!$A$1:$I$89,3,0)*0.475*44/12</f>
        <v>0.79004022847104272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8.4346587274217484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101.36506596657455</v>
      </c>
      <c r="AO143" s="59">
        <f t="shared" si="144"/>
        <v>296.08579066872488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5.8571425445994549</v>
      </c>
      <c r="AV143" s="21">
        <f>EXP(-LN(2)/25)*AV142+(1-EXP(-LN(2)/25))/(LN(2)/25)*Calculateur!AQ143*Calculateur!AS143*VLOOKUP('Données projet'!$B$10,Paramètres!$A$1:$I$89,3,0)*0.475*44/12</f>
        <v>0.61497840821264482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6.4721209528120998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149.96877706162724</v>
      </c>
      <c r="T144" s="59">
        <f t="shared" si="142"/>
        <v>388.17721230127887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7.4947121929431573</v>
      </c>
      <c r="AA144" s="21">
        <f>EXP(-LN(2)/25)*AA143+(1-EXP(-LN(2)/25))/(LN(2)/25)*Calculateur!V144*Calculateur!X144*VLOOKUP('Données projet'!$B$9,Paramètres!$A$1:$I$89,3,0)*0.475*44/12</f>
        <v>0.76843653687709212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8.2631487298202497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101.36506596657455</v>
      </c>
      <c r="AO144" s="59">
        <f t="shared" si="144"/>
        <v>296.08579066872488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5.7422875518040559</v>
      </c>
      <c r="AV144" s="21">
        <f>EXP(-LN(2)/25)*AV143+(1-EXP(-LN(2)/25))/(LN(2)/25)*Calculateur!AQ144*Calculateur!AS144*VLOOKUP('Données projet'!$B$10,Paramètres!$A$1:$I$89,3,0)*0.475*44/12</f>
        <v>0.5981617912997611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6.3404493431038169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149.96877706162724</v>
      </c>
      <c r="T145" s="59">
        <f t="shared" si="142"/>
        <v>388.17721230127887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7.3477454581625992</v>
      </c>
      <c r="AA145" s="21">
        <f>EXP(-LN(2)/25)*AA144+(1-EXP(-LN(2)/25))/(LN(2)/25)*Calculateur!V145*Calculateur!X145*VLOOKUP('Données projet'!$B$9,Paramètres!$A$1:$I$89,3,0)*0.475*44/12</f>
        <v>0.74742359936586689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8.0951690575284658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101.36506596657455</v>
      </c>
      <c r="AO145" s="59">
        <f t="shared" si="144"/>
        <v>296.08579066872488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5.6296847953627465</v>
      </c>
      <c r="AV145" s="21">
        <f>EXP(-LN(2)/25)*AV144+(1-EXP(-LN(2)/25))/(LN(2)/25)*Calculateur!AQ145*Calculateur!AS145*VLOOKUP('Données projet'!$B$10,Paramètres!$A$1:$I$89,3,0)*0.475*44/12</f>
        <v>0.58180502566070769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6.2114898210234539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149.96877706162724</v>
      </c>
      <c r="T146" s="59">
        <f t="shared" si="142"/>
        <v>388.17721230127887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7.2036606514102308</v>
      </c>
      <c r="AA146" s="21">
        <f>EXP(-LN(2)/25)*AA145+(1-EXP(-LN(2)/25))/(LN(2)/25)*Calculateur!V146*Calculateur!X146*VLOOKUP('Données projet'!$B$9,Paramètres!$A$1:$I$89,3,0)*0.475*44/12</f>
        <v>0.72698526173590838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7.9306459131461393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101.36506596657455</v>
      </c>
      <c r="AO146" s="59">
        <f t="shared" si="144"/>
        <v>296.08579066872488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5.5192901102943521</v>
      </c>
      <c r="AV146" s="21">
        <f>EXP(-LN(2)/25)*AV145+(1-EXP(-LN(2)/25))/(LN(2)/25)*Calculateur!AQ146*Calculateur!AS146*VLOOKUP('Données projet'!$B$10,Paramètres!$A$1:$I$89,3,0)*0.475*44/12</f>
        <v>0.56589553663821912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6.0851856469325716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149.96877706162724</v>
      </c>
      <c r="T147" s="59">
        <f t="shared" si="142"/>
        <v>388.17721230127887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7.0624012598352222</v>
      </c>
      <c r="AA147" s="21">
        <f>EXP(-LN(2)/25)*AA146+(1-EXP(-LN(2)/25))/(LN(2)/25)*Calculateur!V147*Calculateur!X147*VLOOKUP('Données projet'!$B$9,Paramètres!$A$1:$I$89,3,0)*0.475*44/12</f>
        <v>0.70710581152324659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7.7695070713584684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101.36506596657455</v>
      </c>
      <c r="AO147" s="59">
        <f t="shared" si="144"/>
        <v>296.08579066872488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5.4110601976660391</v>
      </c>
      <c r="AV147" s="21">
        <f>EXP(-LN(2)/25)*AV146+(1-EXP(-LN(2)/25))/(LN(2)/25)*Calculateur!AQ147*Calculateur!AS147*VLOOKUP('Données projet'!$B$10,Paramètres!$A$1:$I$89,3,0)*0.475*44/12</f>
        <v>0.55042109342969414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5.9614812910957333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149.96877706162724</v>
      </c>
      <c r="T148" s="59">
        <f t="shared" si="142"/>
        <v>388.17721230127887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6.9239118787692782</v>
      </c>
      <c r="AA148" s="21">
        <f>EXP(-LN(2)/25)*AA147+(1-EXP(-LN(2)/25))/(LN(2)/25)*Calculateur!V148*Calculateur!X148*VLOOKUP('Données projet'!$B$9,Paramètres!$A$1:$I$89,3,0)*0.475*44/12</f>
        <v>0.68776996592206485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7.6116818446913435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101.36506596657455</v>
      </c>
      <c r="AO148" s="59">
        <f t="shared" si="144"/>
        <v>296.08579066872488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5.3049526076106392</v>
      </c>
      <c r="AV148" s="21">
        <f>EXP(-LN(2)/25)*AV147+(1-EXP(-LN(2)/25))/(LN(2)/25)*Calculateur!AQ148*Calculateur!AS148*VLOOKUP('Données projet'!$B$10,Paramètres!$A$1:$I$89,3,0)*0.475*44/12</f>
        <v>0.53536979968447185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5.840322407295111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149.96877706162724</v>
      </c>
      <c r="T149" s="59">
        <f t="shared" si="142"/>
        <v>388.17721230127887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6.7881381899958555</v>
      </c>
      <c r="AA149" s="21">
        <f>EXP(-LN(2)/25)*AA148+(1-EXP(-LN(2)/25))/(LN(2)/25)*Calculateur!V149*Calculateur!X149*VLOOKUP('Données projet'!$B$9,Paramètres!$A$1:$I$89,3,0)*0.475*44/12</f>
        <v>0.6689628600356754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7.4571010500315307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101.36506596657455</v>
      </c>
      <c r="AO149" s="59">
        <f t="shared" si="144"/>
        <v>296.08579066872488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5.2009257226769865</v>
      </c>
      <c r="AV149" s="21">
        <f>EXP(-LN(2)/25)*AV148+(1-EXP(-LN(2)/25))/(LN(2)/25)*Calculateur!AQ149*Calculateur!AS149*VLOOKUP('Données projet'!$B$10,Paramètres!$A$1:$I$89,3,0)*0.475*44/12</f>
        <v>0.52073008435822576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5.7216558070352121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149.96877706162724</v>
      </c>
      <c r="T150" s="59">
        <f t="shared" si="142"/>
        <v>388.17721230127887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6.6550269404455067</v>
      </c>
      <c r="AA150" s="21">
        <f>EXP(-LN(2)/25)*AA149+(1-EXP(-LN(2)/25))/(LN(2)/25)*Calculateur!V150*Calculateur!X150*VLOOKUP('Données projet'!$B$9,Paramètres!$A$1:$I$89,3,0)*0.475*44/12</f>
        <v>0.650670035448772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7.3056969758942785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101.36506596657455</v>
      </c>
      <c r="AO150" s="59">
        <f t="shared" si="144"/>
        <v>296.08579066872488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5.098938741506748</v>
      </c>
      <c r="AV150" s="21">
        <f>EXP(-LN(2)/25)*AV149+(1-EXP(-LN(2)/25))/(LN(2)/25)*Calculateur!AQ150*Calculateur!AS150*VLOOKUP('Données projet'!$B$10,Paramètres!$A$1:$I$89,3,0)*0.475*44/12</f>
        <v>0.50649069281744508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5.6054294343241935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149.96877706162724</v>
      </c>
      <c r="T151" s="59">
        <f t="shared" si="142"/>
        <v>388.17721230127887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6.524525921308995</v>
      </c>
      <c r="AA151" s="21">
        <f>EXP(-LN(2)/25)*AA150+(1-EXP(-LN(2)/25))/(LN(2)/25)*Calculateur!V151*Calculateur!X151*VLOOKUP('Données projet'!$B$9,Paramètres!$A$1:$I$89,3,0)*0.475*44/12</f>
        <v>0.63287742911217526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7.1574033504211698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101.36506596657455</v>
      </c>
      <c r="AO151" s="59">
        <f t="shared" si="144"/>
        <v>296.08579066872488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4.9989516628313417</v>
      </c>
      <c r="AV151" s="21">
        <f>EXP(-LN(2)/25)*AV150+(1-EXP(-LN(2)/25))/(LN(2)/25)*Calculateur!AQ151*Calculateur!AS151*VLOOKUP('Données projet'!$B$10,Paramètres!$A$1:$I$89,3,0)*0.475*44/12</f>
        <v>0.49264067818716412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5.4915923410185057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149.96877706162724</v>
      </c>
      <c r="T152" s="59">
        <f t="shared" si="142"/>
        <v>388.17721230127887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6.3965839475599875</v>
      </c>
      <c r="AA152" s="21">
        <f>EXP(-LN(2)/25)*AA151+(1-EXP(-LN(2)/25))/(LN(2)/25)*Calculateur!V152*Calculateur!X152*VLOOKUP('Données projet'!$B$9,Paramètres!$A$1:$I$89,3,0)*0.475*44/12</f>
        <v>0.61557136253152533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7.0121553100915133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101.36506596657455</v>
      </c>
      <c r="AO152" s="59">
        <f t="shared" si="144"/>
        <v>296.08579066872488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4.9009252697826637</v>
      </c>
      <c r="AV152" s="21">
        <f>EXP(-LN(2)/25)*AV151+(1-EXP(-LN(2)/25))/(LN(2)/25)*Calculateur!AQ152*Calculateur!AS152*VLOOKUP('Données projet'!$B$10,Paramètres!$A$1:$I$89,3,0)*0.475*44/12</f>
        <v>0.47916939293528882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5.3800946627179522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149.96877706162724</v>
      </c>
      <c r="T153" s="59">
        <f t="shared" si="142"/>
        <v>388.17721230127887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6.2711508378792997</v>
      </c>
      <c r="AA153" s="21">
        <f>EXP(-LN(2)/25)*AA152+(1-EXP(-LN(2)/25))/(LN(2)/25)*Calculateur!V153*Calculateur!X153*VLOOKUP('Données projet'!$B$9,Paramètres!$A$1:$I$89,3,0)*0.475*44/12</f>
        <v>0.5987385312516097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6.8698893691309095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101.36506596657455</v>
      </c>
      <c r="AO153" s="59">
        <f t="shared" si="144"/>
        <v>296.08579066872488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4.8048211145114745</v>
      </c>
      <c r="AV153" s="21">
        <f>EXP(-LN(2)/25)*AV152+(1-EXP(-LN(2)/25))/(LN(2)/25)*Calculateur!AQ153*Calculateur!AS153*VLOOKUP('Données projet'!$B$10,Paramètres!$A$1:$I$89,3,0)*0.475*44/12</f>
        <v>0.46606648068705014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5.2708875951985243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149.96877706162724</v>
      </c>
      <c r="T154" s="59">
        <f t="shared" si="142"/>
        <v>388.17721230127887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6.1481773949728078</v>
      </c>
      <c r="AA154" s="21">
        <f>EXP(-LN(2)/25)*AA153+(1-EXP(-LN(2)/25))/(LN(2)/25)*Calculateur!V154*Calculateur!X154*VLOOKUP('Données projet'!$B$9,Paramètres!$A$1:$I$89,3,0)*0.475*44/12</f>
        <v>0.58236599462824346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6.7305433896010509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101.36506596657455</v>
      </c>
      <c r="AO154" s="59">
        <f t="shared" si="144"/>
        <v>296.08579066872488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4.7106015031074069</v>
      </c>
      <c r="AV154" s="21">
        <f>EXP(-LN(2)/25)*AV153+(1-EXP(-LN(2)/25))/(LN(2)/25)*Calculateur!AQ154*Calculateur!AS154*VLOOKUP('Données projet'!$B$10,Paramètres!$A$1:$I$89,3,0)*0.475*44/12</f>
        <v>0.45332186826329174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5.1639233713706982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149.96877706162724</v>
      </c>
      <c r="T155" s="59">
        <f t="shared" si="142"/>
        <v>388.17721230127887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6.0276153862753183</v>
      </c>
      <c r="AA155" s="21">
        <f>EXP(-LN(2)/25)*AA154+(1-EXP(-LN(2)/25))/(LN(2)/25)*Calculateur!V155*Calculateur!X155*VLOOKUP('Données projet'!$B$9,Paramètres!$A$1:$I$89,3,0)*0.475*44/12</f>
        <v>0.5664411658798375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6.5940565521551555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101.36506596657455</v>
      </c>
      <c r="AO155" s="59">
        <f t="shared" si="144"/>
        <v>296.08579066872488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4.6182294808146844</v>
      </c>
      <c r="AV155" s="21">
        <f>EXP(-LN(2)/25)*AV154+(1-EXP(-LN(2)/25))/(LN(2)/25)*Calculateur!AQ155*Calculateur!AS155*VLOOKUP('Données projet'!$B$10,Paramètres!$A$1:$I$89,3,0)*0.475*44/12</f>
        <v>0.44092575793647104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5.0591552387511554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149.96877706162724</v>
      </c>
      <c r="T156" s="59">
        <f t="shared" si="142"/>
        <v>388.17721230127887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5.9094175250328229</v>
      </c>
      <c r="AA156" s="21">
        <f>EXP(-LN(2)/25)*AA155+(1-EXP(-LN(2)/25))/(LN(2)/25)*Calculateur!V156*Calculateur!X156*VLOOKUP('Données projet'!$B$9,Paramètres!$A$1:$I$89,3,0)*0.475*44/12</f>
        <v>0.55095180241100705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6.4603693274438303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101.36506596657455</v>
      </c>
      <c r="AO156" s="59">
        <f t="shared" si="144"/>
        <v>296.08579066872488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4.5276688175377515</v>
      </c>
      <c r="AV156" s="21">
        <f>EXP(-LN(2)/25)*AV155+(1-EXP(-LN(2)/25))/(LN(2)/25)*Calculateur!AQ156*Calculateur!AS156*VLOOKUP('Données projet'!$B$10,Paramètres!$A$1:$I$89,3,0)*0.475*44/12</f>
        <v>0.4288686198984204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4.9565374374361717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149.96877706162724</v>
      </c>
      <c r="T157" s="59">
        <f t="shared" si="142"/>
        <v>388.17721230127887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5.7935374517557161</v>
      </c>
      <c r="AA157" s="21">
        <f>EXP(-LN(2)/25)*AA156+(1-EXP(-LN(2)/25))/(LN(2)/25)*Calculateur!V157*Calculateur!X157*VLOOKUP('Données projet'!$B$9,Paramètres!$A$1:$I$89,3,0)*0.475*44/12</f>
        <v>0.53588599640078194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6.3294234481564979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101.36506596657455</v>
      </c>
      <c r="AO157" s="59">
        <f t="shared" si="144"/>
        <v>296.08579066872488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4.4388839936311291</v>
      </c>
      <c r="AV157" s="21">
        <f>EXP(-LN(2)/25)*AV156+(1-EXP(-LN(2)/25))/(LN(2)/25)*Calculateur!AQ157*Calculateur!AS157*VLOOKUP('Données projet'!$B$10,Paramètres!$A$1:$I$89,3,0)*0.475*44/12</f>
        <v>0.41714118493407759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4.8560251785652069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149.96877706162724</v>
      </c>
      <c r="T158" s="59">
        <f t="shared" si="142"/>
        <v>388.17721230127887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5.6799297160357076</v>
      </c>
      <c r="AA158" s="21">
        <f>EXP(-LN(2)/25)*AA157+(1-EXP(-LN(2)/25))/(LN(2)/25)*Calculateur!V158*Calculateur!X158*VLOOKUP('Données projet'!$B$9,Paramètres!$A$1:$I$89,3,0)*0.475*44/12</f>
        <v>0.52123216564818275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6.2011618816838903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101.36506596657455</v>
      </c>
      <c r="AO158" s="59">
        <f t="shared" si="144"/>
        <v>296.08579066872488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4.3518401859679203</v>
      </c>
      <c r="AV158" s="21">
        <f>EXP(-LN(2)/25)*AV157+(1-EXP(-LN(2)/25))/(LN(2)/25)*Calculateur!AQ158*Calculateur!AS158*VLOOKUP('Données projet'!$B$10,Paramètres!$A$1:$I$89,3,0)*0.475*44/12</f>
        <v>0.4057344372955537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4.7575746232634737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149.96877706162724</v>
      </c>
      <c r="T159" s="59">
        <f t="shared" si="142"/>
        <v>388.17721230127887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5.5685497587192918</v>
      </c>
      <c r="AA159" s="21">
        <f>EXP(-LN(2)/25)*AA158+(1-EXP(-LN(2)/25))/(LN(2)/25)*Calculateur!V159*Calculateur!X159*VLOOKUP('Données projet'!$B$9,Paramètres!$A$1:$I$89,3,0)*0.475*44/12</f>
        <v>0.50697904466812493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6.0755288033874164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101.36506596657455</v>
      </c>
      <c r="AO159" s="59">
        <f t="shared" si="144"/>
        <v>296.08579066872488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4.2665032542815062</v>
      </c>
      <c r="AV159" s="21">
        <f>EXP(-LN(2)/25)*AV158+(1-EXP(-LN(2)/25))/(LN(2)/25)*Calculateur!AQ159*Calculateur!AS159*VLOOKUP('Données projet'!$B$10,Paramètres!$A$1:$I$89,3,0)*0.475*44/12</f>
        <v>0.39463960777106005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4.6611428620525661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149.96877706162724</v>
      </c>
      <c r="T160" s="59">
        <f t="shared" si="142"/>
        <v>388.17721230127887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5.4593538944307847</v>
      </c>
      <c r="AA160" s="21">
        <f>EXP(-LN(2)/25)*AA159+(1-EXP(-LN(2)/25))/(LN(2)/25)*Calculateur!V160*Calculateur!X160*VLOOKUP('Données projet'!$B$9,Paramètres!$A$1:$I$89,3,0)*0.475*44/12</f>
        <v>0.49311567603080581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5.9524695704615906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101.36506596657455</v>
      </c>
      <c r="AO160" s="59">
        <f t="shared" si="144"/>
        <v>296.08579066872488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4.1828397277750744</v>
      </c>
      <c r="AV160" s="21">
        <f>EXP(-LN(2)/25)*AV159+(1-EXP(-LN(2)/25))/(LN(2)/25)*Calculateur!AQ160*Calculateur!AS160*VLOOKUP('Données projet'!$B$10,Paramètres!$A$1:$I$89,3,0)*0.475*44/12</f>
        <v>0.38384816694336538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4.5666878947184397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149.96877706162724</v>
      </c>
      <c r="T161" s="59">
        <f t="shared" si="142"/>
        <v>388.17721230127887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5.3522992944380743</v>
      </c>
      <c r="AA161" s="21">
        <f>EXP(-LN(2)/25)*AA160+(1-EXP(-LN(2)/25))/(LN(2)/25)*Calculateur!V161*Calculateur!X161*VLOOKUP('Données projet'!$B$9,Paramètres!$A$1:$I$89,3,0)*0.475*44/12</f>
        <v>0.47963140193791703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5.8319306963759914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101.36506596657455</v>
      </c>
      <c r="AO161" s="59">
        <f t="shared" si="144"/>
        <v>296.08579066872488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4.1008167919937213</v>
      </c>
      <c r="AV161" s="21">
        <f>EXP(-LN(2)/25)*AV160+(1-EXP(-LN(2)/25))/(LN(2)/25)*Calculateur!AQ161*Calculateur!AS161*VLOOKUP('Données projet'!$B$10,Paramètres!$A$1:$I$89,3,0)*0.475*44/12</f>
        <v>0.37335181863260125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4.4741686106263225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149.96877706162724</v>
      </c>
      <c r="T162" s="59">
        <f t="shared" si="142"/>
        <v>388.17721230127887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5.2473439698543629</v>
      </c>
      <c r="AA162" s="21">
        <f>EXP(-LN(2)/25)*AA161+(1-EXP(-LN(2)/25))/(LN(2)/25)*Calculateur!V162*Calculateur!X162*VLOOKUP('Données projet'!$B$9,Paramètres!$A$1:$I$89,3,0)*0.475*44/12</f>
        <v>0.46651585602920548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5.713859825883568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101.36506596657455</v>
      </c>
      <c r="AO162" s="59">
        <f t="shared" si="144"/>
        <v>296.08579066872488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4.0204022759539892</v>
      </c>
      <c r="AV162" s="21">
        <f>EXP(-LN(2)/25)*AV161+(1-EXP(-LN(2)/25))/(LN(2)/25)*Calculateur!AQ162*Calculateur!AS162*VLOOKUP('Données projet'!$B$10,Paramètres!$A$1:$I$89,3,0)*0.475*44/12</f>
        <v>0.36314249351837391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4.3835447694723628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149.96877706162724</v>
      </c>
      <c r="T163" s="59">
        <f t="shared" si="142"/>
        <v>388.17721230127887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5.1444467551693114</v>
      </c>
      <c r="AA163" s="21">
        <f>EXP(-LN(2)/25)*AA162+(1-EXP(-LN(2)/25))/(LN(2)/25)*Calculateur!V163*Calculateur!X163*VLOOKUP('Données projet'!$B$9,Paramètres!$A$1:$I$89,3,0)*0.475*44/12</f>
        <v>0.4537589554130842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5.5982057105823957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101.36506596657455</v>
      </c>
      <c r="AO163" s="59">
        <f t="shared" si="144"/>
        <v>296.08579066872488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3.9415646395257848</v>
      </c>
      <c r="AV163" s="21">
        <f>EXP(-LN(2)/25)*AV162+(1-EXP(-LN(2)/25))/(LN(2)/25)*Calculateur!AQ163*Calculateur!AS163*VLOOKUP('Données projet'!$B$10,Paramètres!$A$1:$I$89,3,0)*0.475*44/12</f>
        <v>0.35321234293628023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4.2947769824620652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149.96877706162724</v>
      </c>
      <c r="T164" s="59">
        <f t="shared" si="142"/>
        <v>388.17721230127887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5.0435672921031296</v>
      </c>
      <c r="AA164" s="21">
        <f>EXP(-LN(2)/25)*AA163+(1-EXP(-LN(2)/25))/(LN(2)/25)*Calculateur!V164*Calculateur!X164*VLOOKUP('Données projet'!$B$9,Paramètres!$A$1:$I$89,3,0)*0.475*44/12</f>
        <v>0.44135089291516705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5.4849181850182962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101.36506596657455</v>
      </c>
      <c r="AO164" s="59">
        <f t="shared" si="144"/>
        <v>296.08579066872488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3.8642729610617277</v>
      </c>
      <c r="AV164" s="21">
        <f>EXP(-LN(2)/25)*AV163+(1-EXP(-LN(2)/25))/(LN(2)/25)*Calculateur!AQ164*Calculateur!AS164*VLOOKUP('Données projet'!$B$10,Paramètres!$A$1:$I$89,3,0)*0.475*44/12</f>
        <v>0.34355373284405782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4.2078266939057851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149.96877706162724</v>
      </c>
      <c r="T165" s="59">
        <f t="shared" si="142"/>
        <v>388.17721230127887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4.9446660137772787</v>
      </c>
      <c r="AA165" s="21">
        <f>EXP(-LN(2)/25)*AA164+(1-EXP(-LN(2)/25))/(LN(2)/25)*Calculateur!V165*Calculateur!X165*VLOOKUP('Données projet'!$B$9,Paramètres!$A$1:$I$89,3,0)*0.475*44/12</f>
        <v>0.42928212953876704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5.3739481433160456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101.36506596657455</v>
      </c>
      <c r="AO165" s="59">
        <f t="shared" si="144"/>
        <v>296.08579066872488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3.7884969252690817</v>
      </c>
      <c r="AV165" s="21">
        <f>EXP(-LN(2)/25)*AV164+(1-EXP(-LN(2)/25))/(LN(2)/25)*Calculateur!AQ165*Calculateur!AS165*VLOOKUP('Données projet'!$B$10,Paramètres!$A$1:$I$89,3,0)*0.475*44/12</f>
        <v>0.33415923795273145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4.1226561632218131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149.96877706162724</v>
      </c>
      <c r="T166" s="59">
        <f t="shared" si="142"/>
        <v>388.17721230127887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4.8477041291955745</v>
      </c>
      <c r="AA166" s="21">
        <f>EXP(-LN(2)/25)*AA165+(1-EXP(-LN(2)/25))/(LN(2)/25)*Calculateur!V166*Calculateur!X166*VLOOKUP('Données projet'!$B$9,Paramètres!$A$1:$I$89,3,0)*0.475*44/12</f>
        <v>0.41754338713156341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5.2652475163271379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101.36506596657455</v>
      </c>
      <c r="AO166" s="59">
        <f t="shared" si="144"/>
        <v>296.08579066872488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3.7142068113195115</v>
      </c>
      <c r="AV166" s="21">
        <f>EXP(-LN(2)/25)*AV165+(1-EXP(-LN(2)/25))/(LN(2)/25)*Calculateur!AQ166*Calculateur!AS166*VLOOKUP('Données projet'!$B$10,Paramètres!$A$1:$I$89,3,0)*0.475*44/12</f>
        <v>0.32502163601824341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4.0392284473377549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149.96877706162724</v>
      </c>
      <c r="T167" s="59">
        <f t="shared" si="142"/>
        <v>388.17721230127887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4.7526436080296079</v>
      </c>
      <c r="AA167" s="21">
        <f>EXP(-LN(2)/25)*AA166+(1-EXP(-LN(2)/25))/(LN(2)/25)*Calculateur!V167*Calculateur!X167*VLOOKUP('Données projet'!$B$9,Paramètres!$A$1:$I$89,3,0)*0.475*44/12</f>
        <v>0.40612564125279838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5.1587692492824067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101.36506596657455</v>
      </c>
      <c r="AO167" s="59">
        <f t="shared" si="144"/>
        <v>296.08579066872488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3.6413734811919971</v>
      </c>
      <c r="AV167" s="21">
        <f>EXP(-LN(2)/25)*AV166+(1-EXP(-LN(2)/25))/(LN(2)/25)*Calculateur!AQ167*Calculateur!AS167*VLOOKUP('Données projet'!$B$10,Paramètres!$A$1:$I$89,3,0)*0.475*44/12</f>
        <v>0.31613390228917954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3.9575073834811767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149.96877706162724</v>
      </c>
      <c r="T168" s="59">
        <f t="shared" si="142"/>
        <v>388.17721230127887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4.6594471657025132</v>
      </c>
      <c r="AA168" s="21">
        <f>EXP(-LN(2)/25)*AA167+(1-EXP(-LN(2)/25))/(LN(2)/25)*Calculateur!V168*Calculateur!X168*VLOOKUP('Données projet'!$B$9,Paramètres!$A$1:$I$89,3,0)*0.475*44/12</f>
        <v>0.39502011423552136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5.0544672799380344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101.36506596657455</v>
      </c>
      <c r="AO168" s="59">
        <f t="shared" si="144"/>
        <v>296.08579066872488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3.5699683682443384</v>
      </c>
      <c r="AV168" s="21">
        <f>EXP(-LN(2)/25)*AV167+(1-EXP(-LN(2)/25))/(LN(2)/25)*Calculateur!AQ168*Calculateur!AS168*VLOOKUP('Données projet'!$B$10,Paramètres!$A$1:$I$89,3,0)*0.475*44/12</f>
        <v>0.30748920410632252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3.8774575723506608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149.96877706162724</v>
      </c>
      <c r="T169" s="59">
        <f t="shared" si="142"/>
        <v>388.17721230127887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4.5680782487652358</v>
      </c>
      <c r="AA169" s="21">
        <f>EXP(-LN(2)/25)*AA168+(1-EXP(-LN(2)/25))/(LN(2)/25)*Calculateur!V169*Calculateur!X169*VLOOKUP('Données projet'!$B$9,Paramètres!$A$1:$I$89,3,0)*0.475*44/12</f>
        <v>0.38421826843854606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4.9522965172037816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101.36506596657455</v>
      </c>
      <c r="AO169" s="59">
        <f t="shared" si="144"/>
        <v>296.08579066872488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3.4999634660087646</v>
      </c>
      <c r="AV169" s="21">
        <f>EXP(-LN(2)/25)*AV168+(1-EXP(-LN(2)/25))/(LN(2)/25)*Calculateur!AQ169*Calculateur!AS169*VLOOKUP('Données projet'!$B$10,Paramètres!$A$1:$I$89,3,0)*0.475*44/12</f>
        <v>0.29908089564988066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3.7990443616586451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149.96877706162724</v>
      </c>
      <c r="T170" s="59">
        <f t="shared" si="142"/>
        <v>388.17721230127887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4.4785010205595617</v>
      </c>
      <c r="AA170" s="21">
        <f>EXP(-LN(2)/25)*AA169+(1-EXP(-LN(2)/25))/(LN(2)/25)*Calculateur!V170*Calculateur!X170*VLOOKUP('Données projet'!$B$9,Paramètres!$A$1:$I$89,3,0)*0.475*44/12</f>
        <v>0.37371179968293344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4.852212820242495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101.36506596657455</v>
      </c>
      <c r="AO170" s="59">
        <f t="shared" si="144"/>
        <v>296.08579066872488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3.4313313172072561</v>
      </c>
      <c r="AV170" s="21">
        <f>EXP(-LN(2)/25)*AV169+(1-EXP(-LN(2)/25))/(LN(2)/25)*Calculateur!AQ170*Calculateur!AS170*VLOOKUP('Données projet'!$B$10,Paramètres!$A$1:$I$89,3,0)*0.475*44/12</f>
        <v>0.29090251283035395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3.7222338300376103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149.96877706162724</v>
      </c>
      <c r="T171" s="59">
        <f t="shared" si="142"/>
        <v>388.17721230127887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4.3906803471622862</v>
      </c>
      <c r="AA171" s="21">
        <f>EXP(-LN(2)/25)*AA170+(1-EXP(-LN(2)/25))/(LN(2)/25)*Calculateur!V171*Calculateur!X171*VLOOKUP('Données projet'!$B$9,Paramètres!$A$1:$I$89,3,0)*0.475*44/12</f>
        <v>0.36349263086795419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4.7541729780302404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101.36506596657455</v>
      </c>
      <c r="AO171" s="59">
        <f t="shared" si="144"/>
        <v>296.08579066872488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3.3640450029822682</v>
      </c>
      <c r="AV171" s="21">
        <f>EXP(-LN(2)/25)*AV170+(1-EXP(-LN(2)/25))/(LN(2)/25)*Calculateur!AQ171*Calculateur!AS171*VLOOKUP('Données projet'!$B$10,Paramètres!$A$1:$I$89,3,0)*0.475*44/12</f>
        <v>0.28294776831910962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3.6469927713013779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149.96877706162724</v>
      </c>
      <c r="T172" s="59">
        <f t="shared" si="142"/>
        <v>388.17721230127887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4.30458178360501</v>
      </c>
      <c r="AA172" s="21">
        <f>EXP(-LN(2)/25)*AA171+(1-EXP(-LN(2)/25))/(LN(2)/25)*Calculateur!V172*Calculateur!X172*VLOOKUP('Données projet'!$B$9,Paramètres!$A$1:$I$89,3,0)*0.475*44/12</f>
        <v>0.35355290576162329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4.6581346893666336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101.36506596657455</v>
      </c>
      <c r="AO172" s="59">
        <f t="shared" si="144"/>
        <v>296.08579066872488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3.2980781323386328</v>
      </c>
      <c r="AV172" s="21">
        <f>EXP(-LN(2)/25)*AV171+(1-EXP(-LN(2)/25))/(LN(2)/25)*Calculateur!AQ172*Calculateur!AS172*VLOOKUP('Données projet'!$B$10,Paramètres!$A$1:$I$89,3,0)*0.475*44/12</f>
        <v>0.27521054671484713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3.5732886790534799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149.96877706162724</v>
      </c>
      <c r="T173" s="59">
        <f t="shared" si="142"/>
        <v>388.17721230127887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4.2201715603641539</v>
      </c>
      <c r="AA173" s="21">
        <f>EXP(-LN(2)/25)*AA172+(1-EXP(-LN(2)/25))/(LN(2)/25)*Calculateur!V173*Calculateur!X173*VLOOKUP('Données projet'!$B$9,Paramètres!$A$1:$I$89,3,0)*0.475*44/12</f>
        <v>0.34388498296103243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4.5640565433251865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101.36506596657455</v>
      </c>
      <c r="AO173" s="59">
        <f t="shared" si="144"/>
        <v>296.08579066872488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3.2334048317925013</v>
      </c>
      <c r="AV173" s="21">
        <f>EXP(-LN(2)/25)*AV172+(1-EXP(-LN(2)/25))/(LN(2)/25)*Calculateur!AQ173*Calculateur!AS173*VLOOKUP('Données projet'!$B$10,Paramètres!$A$1:$I$89,3,0)*0.475*44/12</f>
        <v>0.26768489984223598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3.5010897316347371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149.96877706162724</v>
      </c>
      <c r="T174" s="59">
        <f t="shared" si="142"/>
        <v>388.17721230127887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4.1374165701158985</v>
      </c>
      <c r="AA174" s="21">
        <f>EXP(-LN(2)/25)*AA173+(1-EXP(-LN(2)/25))/(LN(2)/25)*Calculateur!V174*Calculateur!X174*VLOOKUP('Données projet'!$B$9,Paramètres!$A$1:$I$89,3,0)*0.475*44/12</f>
        <v>0.3344814300178377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4.4718980001337361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101.36506596657455</v>
      </c>
      <c r="AO174" s="59">
        <f t="shared" si="144"/>
        <v>296.08579066872488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3.1699997352232607</v>
      </c>
      <c r="AV174" s="21">
        <f>EXP(-LN(2)/25)*AV173+(1-EXP(-LN(2)/25))/(LN(2)/25)*Calculateur!AQ174*Calculateur!AS174*VLOOKUP('Données projet'!$B$10,Paramètres!$A$1:$I$89,3,0)*0.475*44/12</f>
        <v>0.26036504217911294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3.4303647774023736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149.96877706162724</v>
      </c>
      <c r="T175" s="59">
        <f t="shared" si="142"/>
        <v>388.17721230127887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4.0562843547508516</v>
      </c>
      <c r="AA175" s="21">
        <f>EXP(-LN(2)/25)*AA174+(1-EXP(-LN(2)/25))/(LN(2)/25)*Calculateur!V175*Calculateur!X175*VLOOKUP('Données projet'!$B$9,Paramètres!$A$1:$I$89,3,0)*0.475*44/12</f>
        <v>0.325335017724386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4.3816193724752379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101.36506596657455</v>
      </c>
      <c r="AO175" s="59">
        <f t="shared" si="144"/>
        <v>296.08579066872488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3.107837973924453</v>
      </c>
      <c r="AV175" s="21">
        <f>EXP(-LN(2)/25)*AV174+(1-EXP(-LN(2)/25))/(LN(2)/25)*Calculateur!AQ175*Calculateur!AS175*VLOOKUP('Données projet'!$B$10,Paramètres!$A$1:$I$89,3,0)*0.475*44/12</f>
        <v>0.25324534640872259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3.3610833203331758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149.96877706162724</v>
      </c>
      <c r="T176" s="59">
        <f t="shared" si="142"/>
        <v>388.17721230127887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3.9767430926433476</v>
      </c>
      <c r="AA176" s="21">
        <f>EXP(-LN(2)/25)*AA175+(1-EXP(-LN(2)/25))/(LN(2)/25)*Calculateur!V176*Calculateur!X176*VLOOKUP('Données projet'!$B$9,Paramètres!$A$1:$I$89,3,0)*0.475*44/12</f>
        <v>0.31643871455608763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4.293181807199435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101.36506596657455</v>
      </c>
      <c r="AO176" s="59">
        <f t="shared" si="144"/>
        <v>296.08579066872488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3.0468951668497843</v>
      </c>
      <c r="AV176" s="21">
        <f>EXP(-LN(2)/25)*AV175+(1-EXP(-LN(2)/25))/(LN(2)/25)*Calculateur!AQ176*Calculateur!AS176*VLOOKUP('Données projet'!$B$10,Paramètres!$A$1:$I$89,3,0)*0.475*44/12</f>
        <v>0.24632033909358211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3.2932155059433663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149.96877706162724</v>
      </c>
      <c r="T177" s="59">
        <f t="shared" si="142"/>
        <v>388.17721230127887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3.8987615861703926</v>
      </c>
      <c r="AA177" s="21">
        <f>EXP(-LN(2)/25)*AA176+(1-EXP(-LN(2)/25))/(LN(2)/25)*Calculateur!V177*Calculateur!X177*VLOOKUP('Données projet'!$B$9,Paramètres!$A$1:$I$89,3,0)*0.475*44/12</f>
        <v>0.30778568126576267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4.2065472674361555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101.36506596657455</v>
      </c>
      <c r="AO177" s="59">
        <f t="shared" si="144"/>
        <v>296.08579066872488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2.9871474110504077</v>
      </c>
      <c r="AV177" s="21">
        <f>EXP(-LN(2)/25)*AV176+(1-EXP(-LN(2)/25))/(LN(2)/25)*Calculateur!AQ177*Calculateur!AS177*VLOOKUP('Données projet'!$B$10,Paramètres!$A$1:$I$89,3,0)*0.475*44/12</f>
        <v>0.23958469646764444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3.226732107518052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149.96877706162724</v>
      </c>
      <c r="T178" s="59">
        <f t="shared" si="142"/>
        <v>388.17721230127887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3.8223092494753499</v>
      </c>
      <c r="AA178" s="21">
        <f>EXP(-LN(2)/25)*AA177+(1-EXP(-LN(2)/25))/(LN(2)/25)*Calculateur!V178*Calculateur!X178*VLOOKUP('Données projet'!$B$9,Paramètres!$A$1:$I$89,3,0)*0.475*44/12</f>
        <v>0.29936926562580485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4.1216785151011548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101.36506596657455</v>
      </c>
      <c r="AO178" s="59">
        <f t="shared" si="144"/>
        <v>296.08579066872488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2.9285712722997244</v>
      </c>
      <c r="AV178" s="21">
        <f>EXP(-LN(2)/25)*AV177+(1-EXP(-LN(2)/25))/(LN(2)/25)*Calculateur!AQ178*Calculateur!AS178*VLOOKUP('Données projet'!$B$10,Paramètres!$A$1:$I$89,3,0)*0.475*44/12</f>
        <v>0.2330332403435251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3.1616045126432493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149.96877706162724</v>
      </c>
      <c r="T179" s="59">
        <f t="shared" si="142"/>
        <v>388.17721230127887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3.747356096471576</v>
      </c>
      <c r="AA179" s="21">
        <f>EXP(-LN(2)/25)*AA178+(1-EXP(-LN(2)/25))/(LN(2)/25)*Calculateur!V179*Calculateur!X179*VLOOKUP('Données projet'!$B$9,Paramètres!$A$1:$I$89,3,0)*0.475*44/12</f>
        <v>0.29118299731412173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4.0385390937856975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101.36506596657455</v>
      </c>
      <c r="AO179" s="59">
        <f t="shared" si="144"/>
        <v>296.08579066872488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2.8711437759020253</v>
      </c>
      <c r="AV179" s="21">
        <f>EXP(-LN(2)/25)*AV178+(1-EXP(-LN(2)/25))/(LN(2)/25)*Calculateur!AQ179*Calculateur!AS179*VLOOKUP('Données projet'!$B$10,Paramètres!$A$1:$I$89,3,0)*0.475*44/12</f>
        <v>0.2266609341316459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3.097804710033671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149.96877706162724</v>
      </c>
      <c r="T180" s="59">
        <f t="shared" si="142"/>
        <v>388.17721230127887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3.6738727290812969</v>
      </c>
      <c r="AA180" s="21">
        <f>EXP(-LN(2)/25)*AA179+(1-EXP(-LN(2)/25))/(LN(2)/25)*Calculateur!V180*Calculateur!X180*VLOOKUP('Données projet'!$B$9,Paramètres!$A$1:$I$89,3,0)*0.475*44/12</f>
        <v>0.28322058293991875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3.9570933120212155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101.36506596657455</v>
      </c>
      <c r="AO180" s="59">
        <f t="shared" si="144"/>
        <v>296.08579066872488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2.814842397681371</v>
      </c>
      <c r="AV180" s="21">
        <f>EXP(-LN(2)/25)*AV179+(1-EXP(-LN(2)/25))/(LN(2)/25)*Calculateur!AQ180*Calculateur!AS180*VLOOKUP('Données projet'!$B$10,Paramètres!$A$1:$I$89,3,0)*0.475*44/12</f>
        <v>0.22046287896823555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3.0353052766496065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149.96877706162724</v>
      </c>
      <c r="T181" s="59">
        <f t="shared" si="142"/>
        <v>388.17721230127887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3.6018303257051127</v>
      </c>
      <c r="AA181" s="21">
        <f>EXP(-LN(2)/25)*AA180+(1-EXP(-LN(2)/25))/(LN(2)/25)*Calculateur!V181*Calculateur!X181*VLOOKUP('Données projet'!$B$9,Paramètres!$A$1:$I$89,3,0)*0.475*44/12</f>
        <v>0.27547590120550353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3.8773062269106164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101.36506596657455</v>
      </c>
      <c r="AO181" s="59">
        <f t="shared" si="144"/>
        <v>296.08579066872488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2.7596450551471738</v>
      </c>
      <c r="AV181" s="21">
        <f>EXP(-LN(2)/25)*AV180+(1-EXP(-LN(2)/25))/(LN(2)/25)*Calculateur!AQ181*Calculateur!AS181*VLOOKUP('Données projet'!$B$10,Paramètres!$A$1:$I$89,3,0)*0.475*44/12</f>
        <v>0.21443430994921023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2.9740793650963839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149.96877706162724</v>
      </c>
      <c r="T182" s="59">
        <f t="shared" si="142"/>
        <v>388.17721230127887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3.5312006299176084</v>
      </c>
      <c r="AA182" s="21">
        <f>EXP(-LN(2)/25)*AA181+(1-EXP(-LN(2)/25))/(LN(2)/25)*Calculateur!V182*Calculateur!X182*VLOOKUP('Données projet'!$B$9,Paramètres!$A$1:$I$89,3,0)*0.475*44/12</f>
        <v>0.26794299820039097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3.7991436281179993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101.36506596657455</v>
      </c>
      <c r="AO182" s="59">
        <f t="shared" si="144"/>
        <v>296.08579066872488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2.7055300988330173</v>
      </c>
      <c r="AV182" s="21">
        <f>EXP(-LN(2)/25)*AV181+(1-EXP(-LN(2)/25))/(LN(2)/25)*Calculateur!AQ182*Calculateur!AS182*VLOOKUP('Données projet'!$B$10,Paramètres!$A$1:$I$89,3,0)*0.475*44/12</f>
        <v>0.20857059246703882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2.9141006913000562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149.96877706162724</v>
      </c>
      <c r="T183" s="59">
        <f t="shared" si="142"/>
        <v>388.17721230127887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3.4619559393846364</v>
      </c>
      <c r="AA183" s="21">
        <f>EXP(-LN(2)/25)*AA182+(1-EXP(-LN(2)/25))/(LN(2)/25)*Calculateur!V183*Calculateur!X183*VLOOKUP('Données projet'!$B$9,Paramètres!$A$1:$I$89,3,0)*0.475*44/12</f>
        <v>0.26061608282409138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3.7225720222087277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101.36506596657455</v>
      </c>
      <c r="AO183" s="59">
        <f t="shared" si="144"/>
        <v>296.08579066872488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2.6524763038053174</v>
      </c>
      <c r="AV183" s="21">
        <f>EXP(-LN(2)/25)*AV182+(1-EXP(-LN(2)/25))/(LN(2)/25)*Calculateur!AQ183*Calculateur!AS183*VLOOKUP('Données projet'!$B$10,Paramètres!$A$1:$I$89,3,0)*0.475*44/12</f>
        <v>0.20286721864777688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2.8553435224530941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149.96877706162724</v>
      </c>
      <c r="T184" s="59">
        <f t="shared" si="142"/>
        <v>388.17721230127887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3.3940690949979251</v>
      </c>
      <c r="AA184" s="21">
        <f>EXP(-LN(2)/25)*AA183+(1-EXP(-LN(2)/25))/(LN(2)/25)*Calculateur!V184*Calculateur!X184*VLOOKUP('Données projet'!$B$9,Paramètres!$A$1:$I$89,3,0)*0.475*44/12</f>
        <v>0.25348952233406247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3.6475586173319874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101.36506596657455</v>
      </c>
      <c r="AO184" s="59">
        <f t="shared" si="144"/>
        <v>296.08579066872488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2.600462861338491</v>
      </c>
      <c r="AV184" s="21">
        <f>EXP(-LN(2)/25)*AV183+(1-EXP(-LN(2)/25))/(LN(2)/25)*Calculateur!AQ184*Calculateur!AS184*VLOOKUP('Données projet'!$B$10,Paramètres!$A$1:$I$89,3,0)*0.475*44/12</f>
        <v>0.19731980388553005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2.797782665224021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149.96877706162724</v>
      </c>
      <c r="T185" s="59">
        <f t="shared" si="142"/>
        <v>388.17721230127887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3.3275134702227507</v>
      </c>
      <c r="AA185" s="21">
        <f>EXP(-LN(2)/25)*AA184+(1-EXP(-LN(2)/25))/(LN(2)/25)*Calculateur!V185*Calculateur!X185*VLOOKUP('Données projet'!$B$9,Paramètres!$A$1:$I$89,3,0)*0.475*44/12</f>
        <v>0.2465578380154029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3.5740713082381537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101.36506596657455</v>
      </c>
      <c r="AO185" s="59">
        <f t="shared" si="144"/>
        <v>296.08579066872488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2.5494693707533718</v>
      </c>
      <c r="AV185" s="21">
        <f>EXP(-LN(2)/25)*AV184+(1-EXP(-LN(2)/25))/(LN(2)/25)*Calculateur!AQ185*Calculateur!AS185*VLOOKUP('Données projet'!$B$10,Paramètres!$A$1:$I$89,3,0)*0.475*44/12</f>
        <v>0.19192408347168272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2.7413934542250544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149.96877706162724</v>
      </c>
      <c r="T186" s="59">
        <f t="shared" si="142"/>
        <v>388.17721230127887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3.2622629606544948</v>
      </c>
      <c r="AA186" s="21">
        <f>EXP(-LN(2)/25)*AA185+(1-EXP(-LN(2)/25))/(LN(2)/25)*Calculateur!V186*Calculateur!X186*VLOOKUP('Données projet'!$B$9,Paramètres!$A$1:$I$89,3,0)*0.475*44/12</f>
        <v>0.23981570096895852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3.5020786616234534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101.36506596657455</v>
      </c>
      <c r="AO186" s="59">
        <f t="shared" si="144"/>
        <v>296.08579066872488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2.4994758314156686</v>
      </c>
      <c r="AV186" s="21">
        <f>EXP(-LN(2)/25)*AV185+(1-EXP(-LN(2)/25))/(LN(2)/25)*Calculateur!AQ186*Calculateur!AS186*VLOOKUP('Données projet'!$B$10,Paramètres!$A$1:$I$89,3,0)*0.475*44/12</f>
        <v>0.18667590931630065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2.6861517407319693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149.96877706162724</v>
      </c>
      <c r="T187" s="59">
        <f t="shared" si="142"/>
        <v>388.17721230127887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3.1982919737799915</v>
      </c>
      <c r="AA187" s="21">
        <f>EXP(-LN(2)/25)*AA186+(1-EXP(-LN(2)/25))/(LN(2)/25)*Calculateur!V187*Calculateur!X187*VLOOKUP('Données projet'!$B$9,Paramètres!$A$1:$I$89,3,0)*0.475*44/12</f>
        <v>0.23325792801460274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3.4315499017945941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101.36506596657455</v>
      </c>
      <c r="AO187" s="59">
        <f t="shared" si="144"/>
        <v>296.08579066872488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2.4504626348913296</v>
      </c>
      <c r="AV187" s="21">
        <f>EXP(-LN(2)/25)*AV186+(1-EXP(-LN(2)/25))/(LN(2)/25)*Calculateur!AQ187*Calculateur!AS187*VLOOKUP('Données projet'!$B$10,Paramètres!$A$1:$I$89,3,0)*0.475*44/12</f>
        <v>0.18157124675918698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2.6320338816505164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149.96877706162724</v>
      </c>
      <c r="T188" s="59">
        <f t="shared" si="142"/>
        <v>388.17721230127887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3.1355754189396476</v>
      </c>
      <c r="AA188" s="21">
        <f>EXP(-LN(2)/25)*AA187+(1-EXP(-LN(2)/25))/(LN(2)/25)*Calculateur!V188*Calculateur!X188*VLOOKUP('Données projet'!$B$9,Paramètres!$A$1:$I$89,3,0)*0.475*44/12</f>
        <v>0.2268794777065421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3.3624548966461898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101.36506596657455</v>
      </c>
      <c r="AO188" s="59">
        <f t="shared" si="144"/>
        <v>296.08579066872488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2.402410557255735</v>
      </c>
      <c r="AV188" s="21">
        <f>EXP(-LN(2)/25)*AV187+(1-EXP(-LN(2)/25))/(LN(2)/25)*Calculateur!AQ188*Calculateur!AS188*VLOOKUP('Données projet'!$B$10,Paramètres!$A$1:$I$89,3,0)*0.475*44/12</f>
        <v>0.17660617146814014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2.5790167287238752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149.96877706162724</v>
      </c>
      <c r="T189" s="59">
        <f t="shared" si="142"/>
        <v>388.17721230127887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3.0740886974864017</v>
      </c>
      <c r="AA189" s="21">
        <f>EXP(-LN(2)/25)*AA188+(1-EXP(-LN(2)/25))/(LN(2)/25)*Calculateur!V189*Calculateur!X189*VLOOKUP('Données projet'!$B$9,Paramètres!$A$1:$I$89,3,0)*0.475*44/12</f>
        <v>0.22067544645758352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3.2947641439439854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101.36506596657455</v>
      </c>
      <c r="AO189" s="59">
        <f t="shared" si="144"/>
        <v>296.08579066872488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2.3553007515537012</v>
      </c>
      <c r="AV189" s="21">
        <f>EXP(-LN(2)/25)*AV188+(1-EXP(-LN(2)/25))/(LN(2)/25)*Calculateur!AQ189*Calculateur!AS189*VLOOKUP('Données projet'!$B$10,Paramètres!$A$1:$I$89,3,0)*0.475*44/12</f>
        <v>0.17177686642202894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2.5270776179757304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149.96877706162724</v>
      </c>
      <c r="T190" s="59">
        <f t="shared" si="142"/>
        <v>388.17721230127887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3.013807693137657</v>
      </c>
      <c r="AA190" s="21">
        <f>EXP(-LN(2)/25)*AA189+(1-EXP(-LN(2)/25))/(LN(2)/25)*Calculateur!V190*Calculateur!X190*VLOOKUP('Données projet'!$B$9,Paramètres!$A$1:$I$89,3,0)*0.475*44/12</f>
        <v>0.21464106476938352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3.2284487579070404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101.36506596657455</v>
      </c>
      <c r="AO190" s="59">
        <f t="shared" si="144"/>
        <v>296.08579066872488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2.30911474040734</v>
      </c>
      <c r="AV190" s="21">
        <f>EXP(-LN(2)/25)*AV189+(1-EXP(-LN(2)/25))/(LN(2)/25)*Calculateur!AQ190*Calculateur!AS190*VLOOKUP('Données projet'!$B$10,Paramètres!$A$1:$I$89,3,0)*0.475*44/12</f>
        <v>0.16707961897636575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2.4761943593837059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149.96877706162724</v>
      </c>
      <c r="T191" s="59">
        <f t="shared" si="142"/>
        <v>388.17721230127887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2.9547087625164092</v>
      </c>
      <c r="AA191" s="21">
        <f>EXP(-LN(2)/25)*AA190+(1-EXP(-LN(2)/25))/(LN(2)/25)*Calculateur!V191*Calculateur!X191*VLOOKUP('Données projet'!$B$9,Paramètres!$A$1:$I$89,3,0)*0.475*44/12</f>
        <v>0.20877169356578171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3.163480456082191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101.36506596657455</v>
      </c>
      <c r="AO191" s="59">
        <f t="shared" si="144"/>
        <v>296.08579066872488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2.2638344087688735</v>
      </c>
      <c r="AV191" s="21">
        <f>EXP(-LN(2)/25)*AV190+(1-EXP(-LN(2)/25))/(LN(2)/25)*Calculateur!AQ191*Calculateur!AS191*VLOOKUP('Données projet'!$B$10,Paramètres!$A$1:$I$89,3,0)*0.475*44/12</f>
        <v>0.16251081800912173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2.4263452267779955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149.96877706162724</v>
      </c>
      <c r="T192" s="59">
        <f t="shared" si="142"/>
        <v>388.17721230127887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2.8967687258778558</v>
      </c>
      <c r="AA192" s="21">
        <f>EXP(-LN(2)/25)*AA191+(1-EXP(-LN(2)/25))/(LN(2)/25)*Calculateur!V192*Calculateur!X192*VLOOKUP('Données projet'!$B$9,Paramètres!$A$1:$I$89,3,0)*0.475*44/12</f>
        <v>0.20306282062639919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3.0998315465042552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101.36506596657455</v>
      </c>
      <c r="AO192" s="59">
        <f t="shared" si="144"/>
        <v>296.08579066872488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2.2194419968155623</v>
      </c>
      <c r="AV192" s="21">
        <f>EXP(-LN(2)/25)*AV191+(1-EXP(-LN(2)/25))/(LN(2)/25)*Calculateur!AQ192*Calculateur!AS192*VLOOKUP('Données projet'!$B$10,Paramètres!$A$1:$I$89,3,0)*0.475*44/12</f>
        <v>0.1580669511445898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2.3775089479601519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149.96877706162724</v>
      </c>
      <c r="T193" s="59">
        <f t="shared" si="142"/>
        <v>388.17721230127887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2.8399648580178516</v>
      </c>
      <c r="AA193" s="21">
        <f>EXP(-LN(2)/25)*AA192+(1-EXP(-LN(2)/25))/(LN(2)/25)*Calculateur!V193*Calculateur!X193*VLOOKUP('Données projet'!$B$9,Paramètres!$A$1:$I$89,3,0)*0.475*44/12</f>
        <v>0.19751005711776068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3.0374749151356122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101.36506596657455</v>
      </c>
      <c r="AO193" s="59">
        <f t="shared" si="144"/>
        <v>296.08579066872488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2.1759200929839579</v>
      </c>
      <c r="AV193" s="21">
        <f>EXP(-LN(2)/25)*AV192+(1-EXP(-LN(2)/25))/(LN(2)/25)*Calculateur!AQ193*Calculateur!AS193*VLOOKUP('Données projet'!$B$10,Paramètres!$A$1:$I$89,3,0)*0.475*44/12</f>
        <v>0.15374460205316129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2.3296646950371191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149.96877706162724</v>
      </c>
      <c r="T194" s="59">
        <f t="shared" si="142"/>
        <v>388.17721230127887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2.7842748793596437</v>
      </c>
      <c r="AA194" s="21">
        <f>EXP(-LN(2)/25)*AA193+(1-EXP(-LN(2)/25))/(LN(2)/25)*Calculateur!V194*Calculateur!X194*VLOOKUP('Données projet'!$B$9,Paramètres!$A$1:$I$89,3,0)*0.475*44/12</f>
        <v>0.19210913421927303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2.9763840135789166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101.36506596657455</v>
      </c>
      <c r="AO194" s="59">
        <f t="shared" si="144"/>
        <v>296.08579066872488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2.1332516271407509</v>
      </c>
      <c r="AV194" s="21">
        <f>EXP(-LN(2)/25)*AV193+(1-EXP(-LN(2)/25))/(LN(2)/25)*Calculateur!AQ194*Calculateur!AS194*VLOOKUP('Données projet'!$B$10,Paramètres!$A$1:$I$89,3,0)*0.475*44/12</f>
        <v>0.14954044782494036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2.2827920749656911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149.96877706162724</v>
      </c>
      <c r="T195" s="59">
        <f t="shared" si="142"/>
        <v>388.17721230127887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2.7296769472153901</v>
      </c>
      <c r="AA195" s="21">
        <f>EXP(-LN(2)/25)*AA194+(1-EXP(-LN(2)/25))/(LN(2)/25)*Calculateur!V195*Calculateur!X195*VLOOKUP('Données projet'!$B$9,Paramètres!$A$1:$I$89,3,0)*0.475*44/12</f>
        <v>0.18685589984146672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2.9165328470568568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101.36506596657455</v>
      </c>
      <c r="AO195" s="59">
        <f t="shared" si="144"/>
        <v>296.08579066872488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2.091419863887535</v>
      </c>
      <c r="AV195" s="21">
        <f>EXP(-LN(2)/25)*AV194+(1-EXP(-LN(2)/25))/(LN(2)/25)*Calculateur!AQ195*Calculateur!AS195*VLOOKUP('Données projet'!$B$10,Paramètres!$A$1:$I$89,3,0)*0.475*44/12</f>
        <v>0.145451256415177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2.2368711203027121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149.96877706162724</v>
      </c>
      <c r="T196" s="59">
        <f t="shared" si="142"/>
        <v>388.17721230127887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2.6761496472190349</v>
      </c>
      <c r="AA196" s="21">
        <f>EXP(-LN(2)/25)*AA195+(1-EXP(-LN(2)/25))/(LN(2)/25)*Calculateur!V196*Calculateur!X196*VLOOKUP('Données projet'!$B$9,Paramètres!$A$1:$I$89,3,0)*0.475*44/12</f>
        <v>0.1817463154339771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2.857895962653012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101.36506596657455</v>
      </c>
      <c r="AO196" s="59">
        <f t="shared" si="144"/>
        <v>296.08579066872488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2.0504083959968584</v>
      </c>
      <c r="AV196" s="21">
        <f>EXP(-LN(2)/25)*AV195+(1-EXP(-LN(2)/25))/(LN(2)/25)*Calculateur!AQ196*Calculateur!AS196*VLOOKUP('Données projet'!$B$10,Paramètres!$A$1:$I$89,3,0)*0.475*44/12</f>
        <v>0.14147388415955484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2.1918822801564133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149.96877706162724</v>
      </c>
      <c r="T197" s="59">
        <f t="shared" ref="T197:T203" si="204">$T$3</f>
        <v>388.17721230127887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2.6236719849271792</v>
      </c>
      <c r="AA197" s="21">
        <f>EXP(-LN(2)/25)*AA196+(1-EXP(-LN(2)/25))/(LN(2)/25)*Calculateur!V197*Calculateur!X197*VLOOKUP('Données projet'!$B$9,Paramètres!$A$1:$I$89,3,0)*0.475*44/12</f>
        <v>0.17677645288081165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2.800448437807991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101.36506596657455</v>
      </c>
      <c r="AO197" s="59">
        <f t="shared" ref="AO197:AO203" si="205">$AO$3</f>
        <v>296.08579066872488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2.0102011379769924</v>
      </c>
      <c r="AV197" s="21">
        <f>EXP(-LN(2)/25)*AV196+(1-EXP(-LN(2)/25))/(LN(2)/25)*Calculateur!AQ197*Calculateur!AS197*VLOOKUP('Données projet'!$B$10,Paramètres!$A$1:$I$89,3,0)*0.475*44/12</f>
        <v>0.13760527335742359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2.147806411334416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149.96877706162724</v>
      </c>
      <c r="T198" s="59">
        <f t="shared" si="204"/>
        <v>388.17721230127887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2.5722233775846535</v>
      </c>
      <c r="AA198" s="21">
        <f>EXP(-LN(2)/25)*AA197+(1-EXP(-LN(2)/25))/(LN(2)/25)*Calculateur!V198*Calculateur!X198*VLOOKUP('Données projet'!$B$9,Paramètres!$A$1:$I$89,3,0)*0.475*44/12</f>
        <v>0.17194249148051621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2.7441658690651698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101.36506596657455</v>
      </c>
      <c r="AO198" s="59">
        <f t="shared" si="205"/>
        <v>296.08579066872488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1.9707823197628902</v>
      </c>
      <c r="AV198" s="21">
        <f>EXP(-LN(2)/25)*AV197+(1-EXP(-LN(2)/25))/(LN(2)/25)*Calculateur!AQ198*Calculateur!AS198*VLOOKUP('Données projet'!$B$10,Paramètres!$A$1:$I$89,3,0)*0.475*44/12</f>
        <v>0.13384244992111802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2.1046247696840084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149.96877706162724</v>
      </c>
      <c r="T199" s="59">
        <f t="shared" si="204"/>
        <v>388.17721230127887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2.5217836460515626</v>
      </c>
      <c r="AA199" s="21">
        <f>EXP(-LN(2)/25)*AA198+(1-EXP(-LN(2)/25))/(LN(2)/25)*Calculateur!V199*Calculateur!X199*VLOOKUP('Données projet'!$B$9,Paramètres!$A$1:$I$89,3,0)*0.475*44/12</f>
        <v>0.16724071500891885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2.6890243610604814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101.36506596657455</v>
      </c>
      <c r="AO199" s="59">
        <f t="shared" si="205"/>
        <v>296.08579066872488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1.9321364805308616</v>
      </c>
      <c r="AV199" s="21">
        <f>EXP(-LN(2)/25)*AV198+(1-EXP(-LN(2)/25))/(LN(2)/25)*Calculateur!AQ199*Calculateur!AS199*VLOOKUP('Données projet'!$B$10,Paramètres!$A$1:$I$89,3,0)*0.475*44/12</f>
        <v>0.1301825210895565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2.062319001620418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149.96877706162724</v>
      </c>
      <c r="T200" s="59">
        <f t="shared" si="204"/>
        <v>388.17721230127887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2.4723330068886371</v>
      </c>
      <c r="AA200" s="21">
        <f>EXP(-LN(2)/25)*AA199+(1-EXP(-LN(2)/25))/(LN(2)/25)*Calculateur!V200*Calculateur!X200*VLOOKUP('Données projet'!$B$9,Paramètres!$A$1:$I$89,3,0)*0.475*44/12</f>
        <v>0.162667508862193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2.6350005157508303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101.36506596657455</v>
      </c>
      <c r="AO200" s="59">
        <f t="shared" si="205"/>
        <v>296.08579066872488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1.8942484626345386</v>
      </c>
      <c r="AV200" s="21">
        <f>EXP(-LN(2)/25)*AV199+(1-EXP(-LN(2)/25))/(LN(2)/25)*Calculateur!AQ200*Calculateur!AS200*VLOOKUP('Données projet'!$B$10,Paramètres!$A$1:$I$89,3,0)*0.475*44/12</f>
        <v>0.12662267320436132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2.0208711358388998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149.96877706162724</v>
      </c>
      <c r="T201" s="59">
        <f t="shared" si="204"/>
        <v>388.17721230127887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2.423852064597785</v>
      </c>
      <c r="AA201" s="21">
        <f>EXP(-LN(2)/25)*AA200+(1-EXP(-LN(2)/25))/(LN(2)/25)*Calculateur!V201*Calculateur!X201*VLOOKUP('Données projet'!$B$9,Paramètres!$A$1:$I$89,3,0)*0.475*44/12</f>
        <v>0.15821935727804382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2.5820714218758289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101.36506596657455</v>
      </c>
      <c r="AO201" s="59">
        <f t="shared" si="205"/>
        <v>296.08579066872488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1.8571034056597535</v>
      </c>
      <c r="AV201" s="21">
        <f>EXP(-LN(2)/25)*AV200+(1-EXP(-LN(2)/25))/(LN(2)/25)*Calculateur!AQ201*Calculateur!AS201*VLOOKUP('Données projet'!$B$10,Paramètres!$A$1:$I$89,3,0)*0.475*44/12</f>
        <v>0.12316016954679108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1.9802635752065445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149.96877706162724</v>
      </c>
      <c r="T202" s="59">
        <f t="shared" si="204"/>
        <v>388.17721230127887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2.3763218040148018</v>
      </c>
      <c r="AA202" s="21">
        <f>EXP(-LN(2)/25)*AA201+(1-EXP(-LN(2)/25))/(LN(2)/25)*Calculateur!V202*Calculateur!X202*VLOOKUP('Données projet'!$B$9,Paramètres!$A$1:$I$89,3,0)*0.475*44/12</f>
        <v>0.15389284063288133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2.5302146446476832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101.36506596657455</v>
      </c>
      <c r="AO202" s="59">
        <f t="shared" si="205"/>
        <v>296.08579066872488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1.8206867405959963</v>
      </c>
      <c r="AV202" s="21">
        <f>EXP(-LN(2)/25)*AV201+(1-EXP(-LN(2)/25))/(LN(2)/25)*Calculateur!AQ202*Calculateur!AS202*VLOOKUP('Données projet'!$B$10,Paramètres!$A$1:$I$89,3,0)*0.475*44/12</f>
        <v>0.11979234823382225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1.9404790888298187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149.96877706162724</v>
      </c>
      <c r="T203" s="59">
        <f t="shared" si="204"/>
        <v>388.17721230127887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2.3297235828512544</v>
      </c>
      <c r="AA203" s="21">
        <f>EXP(-LN(2)/25)*AA202+(1-EXP(-LN(2)/25))/(LN(2)/25)*Calculateur!V203*Calculateur!X203*VLOOKUP('Données projet'!$B$9,Paramètres!$A$1:$I$89,3,0)*0.475*44/12</f>
        <v>0.14968463281290242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2.4794082156641566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101.36506596657455</v>
      </c>
      <c r="AO203" s="59">
        <f t="shared" si="205"/>
        <v>296.08579066872488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1.784984184122167</v>
      </c>
      <c r="AV203" s="21">
        <f>EXP(-LN(2)/25)*AV202+(1-EXP(-LN(2)/25))/(LN(2)/25)*Calculateur!AQ203*Calculateur!AS203*VLOOKUP('Données projet'!$B$10,Paramètres!$A$1:$I$89,3,0)*0.475*44/12</f>
        <v>0.11651662017176258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1.9015008042939296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0.74310708200597775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0.33166247903554003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6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7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6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8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8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7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6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7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7" t="s">
        <v>271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Raspalje</v>
      </c>
      <c r="B6" s="144">
        <f>'Données projet'!D9</f>
        <v>0.71399999999999997</v>
      </c>
      <c r="C6" s="145">
        <f ca="1">IF(OR('Données projet'!B9="",'Données projet'!C9="",'Données projet'!C9=0%),0,Calculateur!S3)</f>
        <v>149.96877706162724</v>
      </c>
      <c r="D6" s="145">
        <f>IF(OR('Données projet'!B9="",'Données projet'!C9="",'Données projet'!C9=0%),0,Calculateur!T3)</f>
        <v>388.17721230127887</v>
      </c>
      <c r="E6" s="145">
        <f ca="1">MIN(C6,D6)</f>
        <v>149.96877706162724</v>
      </c>
      <c r="F6" s="145">
        <f ca="1">E6*B6</f>
        <v>107.07770682200184</v>
      </c>
      <c r="G6" s="145">
        <f ca="1">F6*(100%-'Données projet'!$C$24)*(100%-'Données projet'!$C$25)*(100%-'Données projet'!$C$26)*(100%-'Données projet'!$C$27)</f>
        <v>96.369936139801666</v>
      </c>
      <c r="H6" s="146">
        <f>IF(OR('Données projet'!B9="",'Données projet'!C9="",'Données projet'!C9=0%),0,AVERAGE(Calculateur!$AC$3:$AC$33)*B6)</f>
        <v>28.760932665291403</v>
      </c>
      <c r="I6" s="147">
        <f>H6*(100%-'Données projet'!$C$24)*(100%-'Données projet'!$C$25)*(100%-'Données projet'!$C$26)*(100%-'Données projet'!$C$27)</f>
        <v>25.884839398762264</v>
      </c>
      <c r="J6" s="148">
        <f>IF(OR('Données projet'!B9="",'Données projet'!C9="",'Données projet'!C9=0%),0,SUM(Calculateur!$V$3:$V$33)*VLOOKUP('Données projet'!$B$9,Paramètres!$A$1:$I$89,9,0)*B6)</f>
        <v>244.72571339999999</v>
      </c>
      <c r="K6" s="149">
        <f>J6*(100%-'Données projet'!$C$24)*(100%-'Données projet'!$C$25)*(100%-'Données projet'!$C$26)*(100%-'Données projet'!$C$27)</f>
        <v>220.25314205999999</v>
      </c>
      <c r="L6" s="150">
        <f ca="1">G6+I6+K6</f>
        <v>342.50791759856395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Peuplier Raspalje</v>
      </c>
      <c r="B7" s="152">
        <f>'Données projet'!D10</f>
        <v>0.68599999999999994</v>
      </c>
      <c r="C7" s="145">
        <f ca="1">IF(OR('Données projet'!B10="",'Données projet'!C10="",'Données projet'!C10=0%),0,Calculateur!AN3)</f>
        <v>101.36506596657455</v>
      </c>
      <c r="D7" s="145">
        <f>IF(OR('Données projet'!B10="",'Données projet'!C10="",'Données projet'!C10=0%),0,Calculateur!AO3)</f>
        <v>296.08579066872488</v>
      </c>
      <c r="E7" s="145">
        <f t="shared" ref="E7:E15" ca="1" si="0">MIN(C7,D7)</f>
        <v>101.36506596657455</v>
      </c>
      <c r="F7" s="145">
        <f t="shared" ref="F7:F15" ca="1" si="1">E7*B7</f>
        <v>69.536435253070138</v>
      </c>
      <c r="G7" s="145">
        <f ca="1">F7*(100%-'Données projet'!$C$24)*(100%-'Données projet'!$C$25)*(100%-'Données projet'!$C$26)*(100%-'Données projet'!$C$27)</f>
        <v>62.582791727763123</v>
      </c>
      <c r="H7" s="153">
        <f>IF(OR('Données projet'!B10="",'Données projet'!C10="",'Données projet'!C10=0%),0,AVERAGE(Calculateur!$AX$3:$AX$33)*B7)</f>
        <v>17.57562942793432</v>
      </c>
      <c r="I7" s="147">
        <f>H7*(100%-'Données projet'!$C$24)*(100%-'Données projet'!$C$25)*(100%-'Données projet'!$C$26)*(100%-'Données projet'!$C$27)</f>
        <v>15.818066485140889</v>
      </c>
      <c r="J7" s="148">
        <f>IF(OR('Données projet'!B10="",'Données projet'!C10="",'Données projet'!C10=0%),0,SUM(Calculateur!$AQ$3:$AQ$33)*VLOOKUP('Données projet'!$B$10,Paramètres!$A$1:$I$89,9,0)*B7)</f>
        <v>173.15449479999998</v>
      </c>
      <c r="K7" s="149">
        <f>J7*(100%-'Données projet'!$C$24)*(100%-'Données projet'!$C$25)*(100%-'Données projet'!$C$26)*(100%-'Données projet'!$C$27)</f>
        <v>155.83904532</v>
      </c>
      <c r="L7" s="150">
        <f t="shared" ref="L7:L15" ca="1" si="2">G7+I7+K7</f>
        <v>234.23990353290401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176.61414207507198</v>
      </c>
      <c r="G16" s="164">
        <f t="shared" ca="1" si="3"/>
        <v>158.95272786756479</v>
      </c>
      <c r="H16" s="165">
        <f t="shared" si="3"/>
        <v>46.336562093225723</v>
      </c>
      <c r="I16" s="165">
        <f t="shared" si="3"/>
        <v>41.702905883903156</v>
      </c>
      <c r="J16" s="166">
        <f t="shared" si="3"/>
        <v>417.88020819999997</v>
      </c>
      <c r="K16" s="166">
        <f t="shared" si="3"/>
        <v>376.09218737999998</v>
      </c>
      <c r="L16" s="167">
        <f t="shared" ca="1" si="3"/>
        <v>576.74782113146796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9" t="s">
        <v>246</v>
      </c>
      <c r="G17" s="300"/>
      <c r="H17" s="300"/>
      <c r="I17" s="300"/>
      <c r="J17" s="300"/>
      <c r="K17" s="300"/>
      <c r="L17" s="30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6"/>
      <c r="G18" s="286"/>
      <c r="H18" s="286"/>
      <c r="I18" s="286"/>
      <c r="J18" s="286"/>
      <c r="K18" s="286"/>
      <c r="L18" s="28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Raspalje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Peuplier Raspalje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E17" activeCellId="1" sqref="I20 E17:E2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7" t="s">
        <v>272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7" t="s">
        <v>315</v>
      </c>
      <c r="I4" s="277"/>
      <c r="K4" s="301" t="s">
        <v>253</v>
      </c>
      <c r="L4" s="302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11" t="s">
        <v>310</v>
      </c>
      <c r="S7" s="312"/>
      <c r="T7" s="312"/>
      <c r="U7" s="312"/>
      <c r="V7" s="31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Raspalje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716.27283544471356</v>
      </c>
      <c r="U10" s="176">
        <f>'Données projet'!D9</f>
        <v>0.71399999999999997</v>
      </c>
      <c r="V10" s="175">
        <f>U10*T10</f>
        <v>511.41880450752546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Raspalje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-1001.0371486978815</v>
      </c>
      <c r="U11" s="176">
        <f>'Données projet'!D10</f>
        <v>0.68599999999999994</v>
      </c>
      <c r="V11" s="175">
        <f t="shared" ref="V11" si="0">U11*T11</f>
        <v>-686.71148400674667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Raspalje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4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4"/>
      <c r="H16" s="188"/>
      <c r="I16" s="189"/>
      <c r="J16" s="200"/>
      <c r="K16" s="206"/>
      <c r="L16" s="301" t="s">
        <v>254</v>
      </c>
      <c r="M16" s="302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2520</v>
      </c>
      <c r="F17" s="228"/>
      <c r="G17" s="304"/>
      <c r="J17" s="200"/>
      <c r="K17" s="206"/>
      <c r="L17" s="274" t="s">
        <v>289</v>
      </c>
      <c r="M17" s="276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>
        <v>342.86</v>
      </c>
      <c r="F18" s="228"/>
      <c r="G18" s="304"/>
      <c r="J18" s="200"/>
      <c r="K18" s="206"/>
      <c r="L18" s="274" t="s">
        <v>255</v>
      </c>
      <c r="M18" s="276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>
        <v>342.86</v>
      </c>
      <c r="F19" s="228"/>
      <c r="G19" s="304"/>
      <c r="H19" s="210" t="s">
        <v>178</v>
      </c>
      <c r="I19" s="210" t="s">
        <v>287</v>
      </c>
      <c r="J19" s="91"/>
      <c r="K19" s="171"/>
      <c r="L19" s="301" t="s">
        <v>288</v>
      </c>
      <c r="M19" s="302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>
        <v>342.86</v>
      </c>
      <c r="F20" s="228"/>
      <c r="G20" s="304"/>
      <c r="H20" s="188">
        <v>0</v>
      </c>
      <c r="I20" s="189">
        <v>9622.08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>
        <v>456</v>
      </c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>
        <v>888</v>
      </c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03" t="s">
        <v>260</v>
      </c>
      <c r="M23" s="303"/>
      <c r="N23" s="303"/>
      <c r="O23" s="23"/>
      <c r="P23" s="23"/>
      <c r="Q23" s="232"/>
      <c r="R23" s="23"/>
      <c r="S23" s="36" t="s">
        <v>264</v>
      </c>
      <c r="T23" s="31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-13646.20467949922</v>
      </c>
      <c r="U23" s="316"/>
      <c r="V23" s="31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7"/>
      <c r="V24" s="31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8">
        <f ca="1">T23-T24</f>
        <v>-13646.20467949922</v>
      </c>
      <c r="U25" s="318"/>
      <c r="V25" s="31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305" t="s">
        <v>258</v>
      </c>
      <c r="M26" s="306"/>
      <c r="N26" s="306"/>
      <c r="O26" s="306"/>
      <c r="P26" s="307"/>
      <c r="Q26" s="232"/>
      <c r="R26" s="23"/>
      <c r="S26" s="184" t="s">
        <v>265</v>
      </c>
      <c r="T26" s="315" t="str">
        <f ca="1">IF(T25&lt;0,"Votre projet est additionnel","Votre projet n'est pas additionnel")</f>
        <v>Votre projet est additionnel</v>
      </c>
      <c r="U26" s="315"/>
      <c r="V26" s="31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8"/>
      <c r="M27" s="309"/>
      <c r="N27" s="309"/>
      <c r="O27" s="309"/>
      <c r="P27" s="310"/>
      <c r="Q27" s="232"/>
      <c r="R27" s="23"/>
      <c r="S27" s="314" t="s">
        <v>267</v>
      </c>
      <c r="T27" s="314"/>
      <c r="U27" s="314"/>
      <c r="V27" s="31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16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17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18</v>
      </c>
      <c r="B39" s="179">
        <f>'Données projet'!D52</f>
        <v>332.77</v>
      </c>
      <c r="C39" s="191">
        <v>35</v>
      </c>
      <c r="D39" s="180">
        <f t="shared" si="2"/>
        <v>11646.949999999999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Peuplier Raspalje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2520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>
        <v>342.86</v>
      </c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>
        <v>342.86</v>
      </c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>
        <v>342.86</v>
      </c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>
        <v>456</v>
      </c>
      <c r="F52" s="229"/>
      <c r="G52" s="23"/>
      <c r="H52" s="188"/>
      <c r="I52" s="189"/>
      <c r="J52" s="23"/>
      <c r="K52" s="171"/>
      <c r="L52" s="4"/>
      <c r="M52" s="4"/>
      <c r="N52" s="4"/>
      <c r="O52" s="192" t="str">
        <f>IF(O51+1&lt;=MIN('Données projet'!$E$9:$E$18),O51+1,"STOP")</f>
        <v>STOP</v>
      </c>
      <c r="P52" s="183" t="e">
        <f t="shared" si="3"/>
        <v>#VALUE!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>
        <v>888</v>
      </c>
      <c r="F53" s="229"/>
      <c r="G53" s="203"/>
      <c r="H53" s="188"/>
      <c r="I53" s="189"/>
      <c r="J53" s="23"/>
      <c r="K53" s="171"/>
      <c r="L53" s="4"/>
      <c r="M53" s="4"/>
      <c r="N53" s="4"/>
      <c r="O53" s="192" t="e">
        <f>IF(O52+1&lt;=MIN('Données projet'!$E$9:$E$18),O52+1,"STOP")</f>
        <v>#VALUE!</v>
      </c>
      <c r="P53" s="183" t="e">
        <f t="shared" si="3"/>
        <v>#VALUE!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e">
        <f>IF(O53+1&lt;=MIN('Données projet'!$E$9:$E$18),O53+1,"STOP")</f>
        <v>#VALUE!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18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19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20</v>
      </c>
      <c r="B72" s="179">
        <f>'Données projet'!D80</f>
        <v>245.06</v>
      </c>
      <c r="C72" s="189">
        <v>35</v>
      </c>
      <c r="D72" s="177">
        <f t="shared" si="4"/>
        <v>8577.1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A223-9DC9-4B2D-85A2-BCBE682D42B5}">
  <dimension ref="A1:S42"/>
  <sheetViews>
    <sheetView workbookViewId="0">
      <selection activeCell="L24" sqref="L24"/>
    </sheetView>
  </sheetViews>
  <sheetFormatPr baseColWidth="10" defaultRowHeight="14.4" x14ac:dyDescent="0.3"/>
  <cols>
    <col min="10" max="12" width="12.88671875" customWidth="1"/>
  </cols>
  <sheetData>
    <row r="1" spans="1:15" x14ac:dyDescent="0.3">
      <c r="A1" t="s">
        <v>324</v>
      </c>
      <c r="N1" t="s">
        <v>325</v>
      </c>
    </row>
    <row r="2" spans="1:15" x14ac:dyDescent="0.3">
      <c r="A2" t="s">
        <v>180</v>
      </c>
      <c r="B2" t="s">
        <v>326</v>
      </c>
      <c r="N2" t="s">
        <v>180</v>
      </c>
      <c r="O2" t="s">
        <v>326</v>
      </c>
    </row>
    <row r="3" spans="1:15" x14ac:dyDescent="0.3">
      <c r="A3">
        <v>0</v>
      </c>
      <c r="B3">
        <v>5.2459016393442202</v>
      </c>
      <c r="N3">
        <v>-8.9552238805971698E-2</v>
      </c>
      <c r="O3">
        <v>6.3414634146341404</v>
      </c>
    </row>
    <row r="4" spans="1:15" x14ac:dyDescent="0.3">
      <c r="A4">
        <v>1.0526315789473599</v>
      </c>
      <c r="B4">
        <v>5.9016393442622599</v>
      </c>
      <c r="N4">
        <v>1.55223880597014</v>
      </c>
      <c r="O4">
        <v>6.9918699186991899</v>
      </c>
    </row>
    <row r="5" spans="1:15" x14ac:dyDescent="0.3">
      <c r="A5">
        <v>2.4853801169590599</v>
      </c>
      <c r="B5">
        <v>12.786885245901599</v>
      </c>
      <c r="N5">
        <v>4.0597014925373101</v>
      </c>
      <c r="O5">
        <v>19.349593495934901</v>
      </c>
    </row>
    <row r="6" spans="1:15" x14ac:dyDescent="0.3">
      <c r="A6">
        <v>3.9181286549707499</v>
      </c>
      <c r="B6">
        <v>27.540983606557301</v>
      </c>
      <c r="N6">
        <v>6.08955223880597</v>
      </c>
      <c r="O6">
        <v>36.585365853658502</v>
      </c>
    </row>
    <row r="7" spans="1:15" x14ac:dyDescent="0.3">
      <c r="A7">
        <v>5.2923976608187102</v>
      </c>
      <c r="B7">
        <v>45.573770491803202</v>
      </c>
      <c r="N7">
        <v>8.08955223880597</v>
      </c>
      <c r="O7">
        <v>56.422764227642197</v>
      </c>
    </row>
    <row r="8" spans="1:15" x14ac:dyDescent="0.3">
      <c r="A8">
        <v>6.6959064327485303</v>
      </c>
      <c r="B8">
        <v>66.885245901639294</v>
      </c>
      <c r="N8">
        <v>9.7014925373134293</v>
      </c>
      <c r="O8">
        <v>72.682926829268297</v>
      </c>
    </row>
    <row r="9" spans="1:15" x14ac:dyDescent="0.3">
      <c r="A9">
        <v>8.5672514619883007</v>
      </c>
      <c r="B9">
        <v>91.475409836065495</v>
      </c>
      <c r="N9">
        <v>11.194029850746199</v>
      </c>
      <c r="O9">
        <v>86.341463414634106</v>
      </c>
    </row>
    <row r="10" spans="1:15" x14ac:dyDescent="0.3">
      <c r="A10">
        <v>10.789473684210501</v>
      </c>
      <c r="B10">
        <v>116.39344262295</v>
      </c>
      <c r="N10">
        <v>12.597014925373101</v>
      </c>
      <c r="O10">
        <v>99.024390243902403</v>
      </c>
    </row>
    <row r="11" spans="1:15" x14ac:dyDescent="0.3">
      <c r="A11">
        <v>12.6315789473684</v>
      </c>
      <c r="B11">
        <v>132.459016393442</v>
      </c>
      <c r="N11">
        <v>14.0597014925373</v>
      </c>
      <c r="O11">
        <v>109.75609756097499</v>
      </c>
    </row>
    <row r="12" spans="1:15" x14ac:dyDescent="0.3">
      <c r="A12">
        <v>14.766081871344999</v>
      </c>
      <c r="B12">
        <v>145.573770491803</v>
      </c>
      <c r="N12">
        <v>15.910447761194</v>
      </c>
      <c r="O12">
        <v>120.813008130081</v>
      </c>
    </row>
    <row r="13" spans="1:15" x14ac:dyDescent="0.3">
      <c r="A13">
        <v>16.6666666666666</v>
      </c>
      <c r="B13">
        <v>154.098360655737</v>
      </c>
      <c r="N13">
        <v>18.0597014925373</v>
      </c>
      <c r="O13">
        <v>132.19512195121899</v>
      </c>
    </row>
    <row r="14" spans="1:15" x14ac:dyDescent="0.3">
      <c r="A14">
        <v>18.245614035087701</v>
      </c>
      <c r="B14">
        <v>160.32786885245901</v>
      </c>
      <c r="N14">
        <v>19.641791044776099</v>
      </c>
      <c r="O14">
        <v>138.04878048780401</v>
      </c>
    </row>
    <row r="15" spans="1:15" x14ac:dyDescent="0.3">
      <c r="A15">
        <v>19.883040935672501</v>
      </c>
      <c r="B15">
        <v>165.245901639344</v>
      </c>
      <c r="N15">
        <v>21.731343283582</v>
      </c>
      <c r="O15">
        <v>145.528455284552</v>
      </c>
    </row>
    <row r="16" spans="1:15" x14ac:dyDescent="0.3">
      <c r="N16">
        <v>22.805970149253699</v>
      </c>
      <c r="O16">
        <v>148.455284552845</v>
      </c>
    </row>
    <row r="18" spans="1:19" x14ac:dyDescent="0.3">
      <c r="A18" s="266"/>
      <c r="B18" s="266" t="s">
        <v>327</v>
      </c>
      <c r="C18" s="266" t="s">
        <v>328</v>
      </c>
    </row>
    <row r="19" spans="1:19" x14ac:dyDescent="0.3">
      <c r="A19" s="266">
        <v>0</v>
      </c>
      <c r="B19" s="266">
        <v>0</v>
      </c>
      <c r="C19" s="266">
        <v>0</v>
      </c>
      <c r="E19" s="266" t="s">
        <v>329</v>
      </c>
      <c r="F19" s="266" t="s">
        <v>326</v>
      </c>
      <c r="G19" s="266" t="s">
        <v>330</v>
      </c>
      <c r="H19" s="266" t="s">
        <v>331</v>
      </c>
      <c r="I19" s="266" t="s">
        <v>332</v>
      </c>
      <c r="J19" s="266" t="s">
        <v>213</v>
      </c>
      <c r="N19" s="266" t="s">
        <v>329</v>
      </c>
      <c r="O19" s="266" t="s">
        <v>326</v>
      </c>
      <c r="P19" s="266" t="s">
        <v>330</v>
      </c>
      <c r="Q19" s="266" t="s">
        <v>331</v>
      </c>
      <c r="R19" s="266" t="s">
        <v>332</v>
      </c>
      <c r="S19" s="266" t="s">
        <v>213</v>
      </c>
    </row>
    <row r="20" spans="1:19" x14ac:dyDescent="0.3">
      <c r="A20" s="266">
        <v>1</v>
      </c>
      <c r="B20" s="266">
        <f>-0.0348*(A20)^3 + 0.8113*(A20)^2 + 5.7024*(A20)- 0.2343</f>
        <v>6.2445999999999993</v>
      </c>
      <c r="C20" s="266">
        <f t="shared" ref="C20:C39" si="0">-0.0208*(A20)^3+0.6233*(A20)^2+2.8337*A20+3.1087</f>
        <v>6.5449000000000002</v>
      </c>
      <c r="E20" s="266">
        <v>1</v>
      </c>
      <c r="F20" s="266">
        <v>0</v>
      </c>
      <c r="G20" s="266">
        <v>2.5</v>
      </c>
      <c r="H20" s="267">
        <f>0.496*(G20*(F20/100)^2)/(4*PI())</f>
        <v>0</v>
      </c>
      <c r="I20" s="268">
        <f>H20*200</f>
        <v>0</v>
      </c>
      <c r="J20" s="266"/>
      <c r="N20" s="266">
        <v>1</v>
      </c>
      <c r="O20" s="266">
        <v>0</v>
      </c>
      <c r="P20" s="266">
        <v>2.5</v>
      </c>
      <c r="Q20" s="267">
        <f>0.496*(P20*(O20/100)^2)/(4*PI())</f>
        <v>0</v>
      </c>
      <c r="R20" s="268">
        <f>Q20*200</f>
        <v>0</v>
      </c>
      <c r="S20" s="266"/>
    </row>
    <row r="21" spans="1:19" x14ac:dyDescent="0.3">
      <c r="A21" s="266">
        <v>2</v>
      </c>
      <c r="B21" s="266">
        <f t="shared" ref="B21:B39" si="1">-0.0348*(A21)^3 + 0.8113*(A21)^2 + 5.7024*(A21)- 0.2343</f>
        <v>14.137300000000002</v>
      </c>
      <c r="C21" s="266">
        <f t="shared" si="0"/>
        <v>11.102899999999998</v>
      </c>
      <c r="E21" s="266">
        <v>2</v>
      </c>
      <c r="F21" s="266">
        <f>-0.0348*(E21)^3 + 0.8113*(E21)^2 + 5.7024*(E21)- 0.2343</f>
        <v>14.137300000000002</v>
      </c>
      <c r="G21" s="266">
        <v>3.5</v>
      </c>
      <c r="H21" s="267">
        <f>0.496*(G21*(F21/100)^2)/(4*PI())</f>
        <v>2.7610406766371948E-3</v>
      </c>
      <c r="I21" s="268">
        <f t="shared" ref="I21:I37" si="2">H21*200</f>
        <v>0.55220813532743895</v>
      </c>
      <c r="J21" s="268">
        <f>I21-I20</f>
        <v>0.55220813532743895</v>
      </c>
      <c r="K21" s="269"/>
      <c r="L21" s="269"/>
      <c r="N21" s="266">
        <v>2</v>
      </c>
      <c r="O21" s="266">
        <v>6.5449000000000002</v>
      </c>
      <c r="P21" s="266">
        <v>3.5</v>
      </c>
      <c r="Q21" s="267">
        <f>0.496*(P21*(O21/100)^2)/(4*PI())</f>
        <v>5.9176038392810186E-4</v>
      </c>
      <c r="R21" s="268">
        <f t="shared" ref="R21:R40" si="3">Q21*200</f>
        <v>0.11835207678562037</v>
      </c>
      <c r="S21" s="268">
        <f>R21-R20</f>
        <v>0.11835207678562037</v>
      </c>
    </row>
    <row r="22" spans="1:19" x14ac:dyDescent="0.3">
      <c r="A22" s="266">
        <v>3</v>
      </c>
      <c r="B22" s="266">
        <f t="shared" si="1"/>
        <v>23.234999999999996</v>
      </c>
      <c r="C22" s="266">
        <f t="shared" si="0"/>
        <v>16.657899999999998</v>
      </c>
      <c r="E22" s="266">
        <v>3</v>
      </c>
      <c r="F22" s="266">
        <f t="shared" ref="F22:F37" si="4">-0.0348*(E22)^3 + 0.8113*(E22)^2 + 5.7024*(E22)- 0.2343</f>
        <v>23.234999999999996</v>
      </c>
      <c r="G22" s="266">
        <v>4</v>
      </c>
      <c r="H22" s="267">
        <f t="shared" ref="H22:H37" si="5">0.496*(G22*(F22/100)^2)/(4*PI())</f>
        <v>8.5234841408870898E-3</v>
      </c>
      <c r="I22" s="268">
        <f t="shared" si="2"/>
        <v>1.704696828177418</v>
      </c>
      <c r="J22" s="268">
        <f t="shared" ref="J22:J37" si="6">I22-I21</f>
        <v>1.1524886928499791</v>
      </c>
      <c r="K22" s="269"/>
      <c r="L22" s="269"/>
      <c r="N22" s="266">
        <v>3</v>
      </c>
      <c r="O22" s="266">
        <v>11.102899999999998</v>
      </c>
      <c r="P22" s="266">
        <v>4</v>
      </c>
      <c r="Q22" s="267">
        <f t="shared" ref="Q22:Q40" si="7">0.496*(P22*(O22/100)^2)/(4*PI())</f>
        <v>1.9462770445905094E-3</v>
      </c>
      <c r="R22" s="268">
        <f t="shared" si="3"/>
        <v>0.3892554089181019</v>
      </c>
      <c r="S22" s="268">
        <f t="shared" ref="S22:S40" si="8">R22-R21</f>
        <v>0.27090333213248152</v>
      </c>
    </row>
    <row r="23" spans="1:19" x14ac:dyDescent="0.3">
      <c r="A23" s="266">
        <v>4</v>
      </c>
      <c r="B23" s="266">
        <f t="shared" si="1"/>
        <v>33.328900000000004</v>
      </c>
      <c r="C23" s="266">
        <f t="shared" si="0"/>
        <v>23.085099999999997</v>
      </c>
      <c r="E23" s="266">
        <v>4</v>
      </c>
      <c r="F23" s="266">
        <f t="shared" si="4"/>
        <v>33.328900000000004</v>
      </c>
      <c r="G23" s="266">
        <v>4.5</v>
      </c>
      <c r="H23" s="267">
        <f t="shared" si="5"/>
        <v>1.9729963725848267E-2</v>
      </c>
      <c r="I23" s="268">
        <f t="shared" si="2"/>
        <v>3.9459927451696535</v>
      </c>
      <c r="J23" s="268">
        <f t="shared" si="6"/>
        <v>2.2412959169922355</v>
      </c>
      <c r="K23" s="269"/>
      <c r="L23" s="269"/>
      <c r="N23" s="266">
        <v>4</v>
      </c>
      <c r="O23" s="266">
        <v>16.657899999999998</v>
      </c>
      <c r="P23" s="266">
        <v>4.5</v>
      </c>
      <c r="Q23" s="267">
        <f t="shared" si="7"/>
        <v>4.9286142399095857E-3</v>
      </c>
      <c r="R23" s="268">
        <f t="shared" si="3"/>
        <v>0.98572284798191712</v>
      </c>
      <c r="S23" s="268">
        <f t="shared" si="8"/>
        <v>0.59646743906381516</v>
      </c>
    </row>
    <row r="24" spans="1:19" x14ac:dyDescent="0.3">
      <c r="A24" s="266">
        <v>5</v>
      </c>
      <c r="B24" s="266">
        <f t="shared" si="1"/>
        <v>44.2102</v>
      </c>
      <c r="C24" s="266">
        <f t="shared" si="0"/>
        <v>30.259699999999999</v>
      </c>
      <c r="E24" s="266">
        <v>5</v>
      </c>
      <c r="F24" s="266">
        <f t="shared" si="4"/>
        <v>44.2102</v>
      </c>
      <c r="G24" s="266">
        <v>7</v>
      </c>
      <c r="H24" s="267">
        <f t="shared" si="5"/>
        <v>5.4002617640709648E-2</v>
      </c>
      <c r="I24" s="268">
        <f t="shared" si="2"/>
        <v>10.80052352814193</v>
      </c>
      <c r="J24" s="268">
        <f t="shared" si="6"/>
        <v>6.8545307829722768</v>
      </c>
      <c r="K24" s="269"/>
      <c r="L24" s="269"/>
      <c r="N24" s="266">
        <v>5</v>
      </c>
      <c r="O24" s="266">
        <v>23.085099999999997</v>
      </c>
      <c r="P24" s="266">
        <v>7</v>
      </c>
      <c r="Q24" s="267">
        <f t="shared" si="7"/>
        <v>1.4724256447955131E-2</v>
      </c>
      <c r="R24" s="268">
        <f t="shared" si="3"/>
        <v>2.9448512895910262</v>
      </c>
      <c r="S24" s="268">
        <f t="shared" si="8"/>
        <v>1.959128441609109</v>
      </c>
    </row>
    <row r="25" spans="1:19" x14ac:dyDescent="0.3">
      <c r="A25" s="266">
        <v>6</v>
      </c>
      <c r="B25" s="266">
        <f t="shared" si="1"/>
        <v>55.670099999999998</v>
      </c>
      <c r="C25" s="266">
        <f t="shared" si="0"/>
        <v>38.056899999999999</v>
      </c>
      <c r="E25" s="266">
        <v>6</v>
      </c>
      <c r="F25" s="266">
        <f t="shared" si="4"/>
        <v>55.670099999999998</v>
      </c>
      <c r="G25" s="266">
        <v>9</v>
      </c>
      <c r="H25" s="267">
        <f t="shared" si="5"/>
        <v>0.11009264979032407</v>
      </c>
      <c r="I25" s="268">
        <f t="shared" si="2"/>
        <v>22.018529958064814</v>
      </c>
      <c r="J25" s="268">
        <f t="shared" si="6"/>
        <v>11.218006429922884</v>
      </c>
      <c r="K25" s="269"/>
      <c r="L25" s="269"/>
      <c r="N25" s="266">
        <v>6</v>
      </c>
      <c r="O25" s="266">
        <v>30.259699999999999</v>
      </c>
      <c r="P25" s="266">
        <v>9</v>
      </c>
      <c r="Q25" s="267">
        <f t="shared" si="7"/>
        <v>3.2526966169111368E-2</v>
      </c>
      <c r="R25" s="268">
        <f t="shared" si="3"/>
        <v>6.5053932338222733</v>
      </c>
      <c r="S25" s="268">
        <f t="shared" si="8"/>
        <v>3.5605419442312471</v>
      </c>
    </row>
    <row r="26" spans="1:19" x14ac:dyDescent="0.3">
      <c r="A26" s="266">
        <v>7</v>
      </c>
      <c r="B26" s="266">
        <f t="shared" si="1"/>
        <v>67.499800000000008</v>
      </c>
      <c r="C26" s="266">
        <f t="shared" si="0"/>
        <v>46.351900000000001</v>
      </c>
      <c r="E26" s="266">
        <v>7</v>
      </c>
      <c r="F26" s="266">
        <f t="shared" si="4"/>
        <v>67.499800000000008</v>
      </c>
      <c r="G26" s="270">
        <v>10</v>
      </c>
      <c r="H26" s="267">
        <f t="shared" si="5"/>
        <v>0.17983606224676707</v>
      </c>
      <c r="I26" s="268">
        <f t="shared" si="2"/>
        <v>35.967212449353411</v>
      </c>
      <c r="J26" s="268">
        <f t="shared" si="6"/>
        <v>13.948682491288597</v>
      </c>
      <c r="K26" s="269"/>
      <c r="L26" s="269"/>
      <c r="N26" s="266">
        <v>7</v>
      </c>
      <c r="O26" s="266">
        <v>38.056899999999999</v>
      </c>
      <c r="P26" s="270">
        <v>10</v>
      </c>
      <c r="Q26" s="267">
        <f t="shared" si="7"/>
        <v>5.7166108680075212E-2</v>
      </c>
      <c r="R26" s="268">
        <f t="shared" si="3"/>
        <v>11.433221736015042</v>
      </c>
      <c r="S26" s="268">
        <f t="shared" si="8"/>
        <v>4.927828502192769</v>
      </c>
    </row>
    <row r="27" spans="1:19" x14ac:dyDescent="0.3">
      <c r="A27" s="266">
        <v>8</v>
      </c>
      <c r="B27" s="266">
        <f t="shared" si="1"/>
        <v>79.490499999999997</v>
      </c>
      <c r="C27" s="266">
        <f t="shared" si="0"/>
        <v>55.019899999999993</v>
      </c>
      <c r="E27" s="266">
        <v>8</v>
      </c>
      <c r="F27" s="266">
        <f t="shared" si="4"/>
        <v>79.490499999999997</v>
      </c>
      <c r="G27" s="270">
        <v>11</v>
      </c>
      <c r="H27" s="267">
        <f t="shared" si="5"/>
        <v>0.27434367696437756</v>
      </c>
      <c r="I27" s="268">
        <f t="shared" si="2"/>
        <v>54.868735392875514</v>
      </c>
      <c r="J27" s="268">
        <f t="shared" si="6"/>
        <v>18.901522943522103</v>
      </c>
      <c r="K27" s="269"/>
      <c r="L27" s="269"/>
      <c r="N27" s="266">
        <v>8</v>
      </c>
      <c r="O27" s="266">
        <v>46.351900000000001</v>
      </c>
      <c r="P27" s="270">
        <v>11</v>
      </c>
      <c r="Q27" s="267">
        <f t="shared" si="7"/>
        <v>9.328237169435051E-2</v>
      </c>
      <c r="R27" s="268">
        <f t="shared" si="3"/>
        <v>18.656474338870101</v>
      </c>
      <c r="S27" s="268">
        <f t="shared" si="8"/>
        <v>7.2232526028550588</v>
      </c>
    </row>
    <row r="28" spans="1:19" x14ac:dyDescent="0.3">
      <c r="A28" s="266">
        <v>9</v>
      </c>
      <c r="B28" s="266">
        <f t="shared" si="1"/>
        <v>91.433399999999992</v>
      </c>
      <c r="C28" s="266">
        <f t="shared" si="0"/>
        <v>63.936099999999996</v>
      </c>
      <c r="E28" s="266">
        <v>9</v>
      </c>
      <c r="F28" s="266">
        <f t="shared" si="4"/>
        <v>91.433399999999992</v>
      </c>
      <c r="G28" s="270">
        <v>12</v>
      </c>
      <c r="H28" s="267">
        <f t="shared" si="5"/>
        <v>0.39597046865699648</v>
      </c>
      <c r="I28" s="268">
        <f t="shared" si="2"/>
        <v>79.194093731399292</v>
      </c>
      <c r="J28" s="268">
        <f t="shared" si="6"/>
        <v>24.325358338523777</v>
      </c>
      <c r="K28" s="269"/>
      <c r="L28" s="269"/>
      <c r="N28" s="266">
        <v>9</v>
      </c>
      <c r="O28" s="266">
        <v>55.019899999999993</v>
      </c>
      <c r="P28" s="270">
        <v>12</v>
      </c>
      <c r="Q28" s="267">
        <f t="shared" si="7"/>
        <v>0.14338134564058724</v>
      </c>
      <c r="R28" s="268">
        <f t="shared" si="3"/>
        <v>28.676269128117447</v>
      </c>
      <c r="S28" s="268">
        <f t="shared" si="8"/>
        <v>10.019794789247346</v>
      </c>
    </row>
    <row r="29" spans="1:19" x14ac:dyDescent="0.3">
      <c r="A29" s="266">
        <v>10</v>
      </c>
      <c r="B29" s="266">
        <f t="shared" si="1"/>
        <v>103.11969999999999</v>
      </c>
      <c r="C29" s="266">
        <f t="shared" si="0"/>
        <v>72.975700000000003</v>
      </c>
      <c r="E29" s="266">
        <v>10</v>
      </c>
      <c r="F29" s="266">
        <f t="shared" si="4"/>
        <v>103.11969999999999</v>
      </c>
      <c r="G29" s="270">
        <v>13</v>
      </c>
      <c r="H29" s="267">
        <f t="shared" si="5"/>
        <v>0.54563025845168311</v>
      </c>
      <c r="I29" s="268">
        <f t="shared" si="2"/>
        <v>109.12605169033662</v>
      </c>
      <c r="J29" s="268">
        <f t="shared" si="6"/>
        <v>29.931957958937332</v>
      </c>
      <c r="K29" s="269"/>
      <c r="L29" s="269"/>
      <c r="N29" s="266">
        <v>10</v>
      </c>
      <c r="O29" s="266">
        <v>63.936099999999996</v>
      </c>
      <c r="P29" s="270">
        <v>13</v>
      </c>
      <c r="Q29" s="267">
        <f t="shared" si="7"/>
        <v>0.20975264581819139</v>
      </c>
      <c r="R29" s="268">
        <f t="shared" si="3"/>
        <v>41.950529163638279</v>
      </c>
      <c r="S29" s="268">
        <f t="shared" si="8"/>
        <v>13.274260035520832</v>
      </c>
    </row>
    <row r="30" spans="1:19" x14ac:dyDescent="0.3">
      <c r="A30" s="266">
        <v>11</v>
      </c>
      <c r="B30" s="266">
        <f t="shared" si="1"/>
        <v>114.34059999999999</v>
      </c>
      <c r="C30" s="266">
        <f t="shared" si="0"/>
        <v>82.013899999999992</v>
      </c>
      <c r="E30" s="266">
        <v>11</v>
      </c>
      <c r="F30" s="266">
        <f t="shared" si="4"/>
        <v>114.34059999999999</v>
      </c>
      <c r="G30" s="270">
        <v>14</v>
      </c>
      <c r="H30" s="267">
        <f t="shared" si="5"/>
        <v>0.72243833297034588</v>
      </c>
      <c r="I30" s="268">
        <f t="shared" si="2"/>
        <v>144.48766659406917</v>
      </c>
      <c r="J30" s="268">
        <f t="shared" si="6"/>
        <v>35.361614903732544</v>
      </c>
      <c r="K30" s="269"/>
      <c r="L30" s="269"/>
      <c r="N30" s="266">
        <v>11</v>
      </c>
      <c r="O30" s="266">
        <v>72.975700000000003</v>
      </c>
      <c r="P30" s="270">
        <v>14</v>
      </c>
      <c r="Q30" s="267">
        <f t="shared" si="7"/>
        <v>0.29427704555288869</v>
      </c>
      <c r="R30" s="268">
        <f t="shared" si="3"/>
        <v>58.855409110577739</v>
      </c>
      <c r="S30" s="268">
        <f t="shared" si="8"/>
        <v>16.90487994693946</v>
      </c>
    </row>
    <row r="31" spans="1:19" x14ac:dyDescent="0.3">
      <c r="A31" s="266">
        <v>12</v>
      </c>
      <c r="B31" s="266">
        <f t="shared" si="1"/>
        <v>124.8873</v>
      </c>
      <c r="C31" s="266">
        <f t="shared" si="0"/>
        <v>90.925899999999999</v>
      </c>
      <c r="E31" s="266">
        <v>12</v>
      </c>
      <c r="F31" s="266">
        <f t="shared" si="4"/>
        <v>124.8873</v>
      </c>
      <c r="G31" s="270">
        <v>14</v>
      </c>
      <c r="H31" s="267">
        <f t="shared" si="5"/>
        <v>0.8618593571798836</v>
      </c>
      <c r="I31" s="268">
        <f t="shared" si="2"/>
        <v>172.37187143597671</v>
      </c>
      <c r="J31" s="268">
        <f t="shared" si="6"/>
        <v>27.884204841907547</v>
      </c>
      <c r="K31" s="269"/>
      <c r="L31" s="269"/>
      <c r="N31" s="266">
        <v>12</v>
      </c>
      <c r="O31" s="266">
        <v>82.013899999999992</v>
      </c>
      <c r="P31" s="270">
        <v>14</v>
      </c>
      <c r="Q31" s="267">
        <f t="shared" si="7"/>
        <v>0.37168477930039229</v>
      </c>
      <c r="R31" s="268">
        <f t="shared" si="3"/>
        <v>74.336955860078461</v>
      </c>
      <c r="S31" s="268">
        <f t="shared" si="8"/>
        <v>15.481546749500723</v>
      </c>
    </row>
    <row r="32" spans="1:19" x14ac:dyDescent="0.3">
      <c r="A32" s="266">
        <v>13</v>
      </c>
      <c r="B32" s="266">
        <f t="shared" si="1"/>
        <v>134.55100000000002</v>
      </c>
      <c r="C32" s="266">
        <f t="shared" si="0"/>
        <v>99.586899999999986</v>
      </c>
      <c r="E32" s="266">
        <v>13</v>
      </c>
      <c r="F32" s="266">
        <f t="shared" si="4"/>
        <v>134.55100000000002</v>
      </c>
      <c r="G32" s="270">
        <v>16</v>
      </c>
      <c r="H32" s="267">
        <f t="shared" si="5"/>
        <v>1.1433143509341159</v>
      </c>
      <c r="I32" s="268">
        <f t="shared" si="2"/>
        <v>228.6628701868232</v>
      </c>
      <c r="J32" s="268">
        <f t="shared" si="6"/>
        <v>56.290998750846484</v>
      </c>
      <c r="K32" s="269"/>
      <c r="L32" s="269"/>
      <c r="N32" s="266">
        <v>13</v>
      </c>
      <c r="O32" s="266">
        <v>90.925899999999999</v>
      </c>
      <c r="P32" s="270">
        <v>16</v>
      </c>
      <c r="Q32" s="267">
        <f t="shared" si="7"/>
        <v>0.52211601189683698</v>
      </c>
      <c r="R32" s="268">
        <f t="shared" si="3"/>
        <v>104.4232023793674</v>
      </c>
      <c r="S32" s="268">
        <f t="shared" si="8"/>
        <v>30.086246519288935</v>
      </c>
    </row>
    <row r="33" spans="1:19" x14ac:dyDescent="0.3">
      <c r="A33" s="266">
        <v>14</v>
      </c>
      <c r="B33" s="266">
        <f t="shared" si="1"/>
        <v>143.12290000000004</v>
      </c>
      <c r="C33" s="266">
        <f t="shared" si="0"/>
        <v>107.87209999999999</v>
      </c>
      <c r="E33" s="266">
        <v>14</v>
      </c>
      <c r="F33" s="266">
        <f t="shared" si="4"/>
        <v>143.12290000000004</v>
      </c>
      <c r="G33" s="270">
        <v>16</v>
      </c>
      <c r="H33" s="267">
        <f t="shared" si="5"/>
        <v>1.2936299150786092</v>
      </c>
      <c r="I33" s="268">
        <f t="shared" si="2"/>
        <v>258.72598301572185</v>
      </c>
      <c r="J33" s="268">
        <f t="shared" si="6"/>
        <v>30.063112828898653</v>
      </c>
      <c r="K33" s="269"/>
      <c r="L33" s="269"/>
      <c r="N33" s="266">
        <v>14</v>
      </c>
      <c r="O33" s="266">
        <v>99.586899999999986</v>
      </c>
      <c r="P33" s="270">
        <v>16</v>
      </c>
      <c r="Q33" s="267">
        <f t="shared" si="7"/>
        <v>0.62631991675657395</v>
      </c>
      <c r="R33" s="268">
        <f t="shared" si="3"/>
        <v>125.26398335131479</v>
      </c>
      <c r="S33" s="268">
        <f t="shared" si="8"/>
        <v>20.840780971947396</v>
      </c>
    </row>
    <row r="34" spans="1:19" x14ac:dyDescent="0.3">
      <c r="A34" s="266">
        <v>15</v>
      </c>
      <c r="B34" s="266">
        <f t="shared" si="1"/>
        <v>150.39420000000004</v>
      </c>
      <c r="C34" s="266">
        <f t="shared" si="0"/>
        <v>115.65669999999997</v>
      </c>
      <c r="E34" s="266">
        <v>15</v>
      </c>
      <c r="F34" s="266">
        <f t="shared" si="4"/>
        <v>150.39420000000004</v>
      </c>
      <c r="G34" s="270">
        <v>16</v>
      </c>
      <c r="H34" s="267">
        <f t="shared" si="5"/>
        <v>1.4284135815540786</v>
      </c>
      <c r="I34" s="268">
        <f t="shared" si="2"/>
        <v>285.68271631081575</v>
      </c>
      <c r="J34" s="268">
        <f t="shared" si="6"/>
        <v>26.956733295093898</v>
      </c>
      <c r="K34" s="269"/>
      <c r="L34" s="269"/>
      <c r="N34" s="266">
        <v>15</v>
      </c>
      <c r="O34" s="266">
        <v>107.87209999999999</v>
      </c>
      <c r="P34" s="270">
        <v>16</v>
      </c>
      <c r="Q34" s="267">
        <f t="shared" si="7"/>
        <v>0.73486922790913545</v>
      </c>
      <c r="R34" s="268">
        <f t="shared" si="3"/>
        <v>146.97384558182708</v>
      </c>
      <c r="S34" s="268">
        <f t="shared" si="8"/>
        <v>21.709862230512286</v>
      </c>
    </row>
    <row r="35" spans="1:19" x14ac:dyDescent="0.3">
      <c r="A35" s="266">
        <v>16</v>
      </c>
      <c r="B35" s="266">
        <f t="shared" si="1"/>
        <v>156.15610000000001</v>
      </c>
      <c r="C35" s="266">
        <f t="shared" si="0"/>
        <v>122.8159</v>
      </c>
      <c r="E35" s="266">
        <v>16</v>
      </c>
      <c r="F35" s="266">
        <f t="shared" si="4"/>
        <v>156.15610000000001</v>
      </c>
      <c r="G35" s="270">
        <v>16</v>
      </c>
      <c r="H35" s="267">
        <f t="shared" si="5"/>
        <v>1.5399609315378058</v>
      </c>
      <c r="I35" s="268">
        <f t="shared" si="2"/>
        <v>307.99218630756116</v>
      </c>
      <c r="J35" s="268">
        <f t="shared" si="6"/>
        <v>22.309469996745406</v>
      </c>
      <c r="K35" s="269"/>
      <c r="L35" s="269"/>
      <c r="N35" s="266">
        <v>16</v>
      </c>
      <c r="O35" s="266">
        <v>115.65669999999997</v>
      </c>
      <c r="P35" s="270">
        <v>16</v>
      </c>
      <c r="Q35" s="267">
        <f t="shared" si="7"/>
        <v>0.84476009082134196</v>
      </c>
      <c r="R35" s="268">
        <f t="shared" si="3"/>
        <v>168.9520181642684</v>
      </c>
      <c r="S35" s="268">
        <f t="shared" si="8"/>
        <v>21.978172582441317</v>
      </c>
    </row>
    <row r="36" spans="1:19" x14ac:dyDescent="0.3">
      <c r="A36" s="266">
        <v>17</v>
      </c>
      <c r="B36" s="266">
        <f t="shared" si="1"/>
        <v>160.19980000000001</v>
      </c>
      <c r="C36" s="266">
        <f t="shared" si="0"/>
        <v>129.22489999999999</v>
      </c>
      <c r="E36" s="266">
        <v>17</v>
      </c>
      <c r="F36" s="266">
        <f t="shared" si="4"/>
        <v>160.19980000000001</v>
      </c>
      <c r="G36" s="270">
        <v>16</v>
      </c>
      <c r="H36" s="267">
        <f t="shared" si="5"/>
        <v>1.6207488952196853</v>
      </c>
      <c r="I36" s="268">
        <f t="shared" si="2"/>
        <v>324.14977904393709</v>
      </c>
      <c r="J36" s="268">
        <f t="shared" si="6"/>
        <v>16.157592736375932</v>
      </c>
      <c r="K36" s="269"/>
      <c r="L36" s="269"/>
      <c r="N36" s="266">
        <v>17</v>
      </c>
      <c r="O36" s="266">
        <v>122.8159</v>
      </c>
      <c r="P36" s="270">
        <v>16</v>
      </c>
      <c r="Q36" s="267">
        <f t="shared" si="7"/>
        <v>0.95257896108012041</v>
      </c>
      <c r="R36" s="268">
        <f t="shared" si="3"/>
        <v>190.5157922160241</v>
      </c>
      <c r="S36" s="268">
        <f t="shared" si="8"/>
        <v>21.563774051755701</v>
      </c>
    </row>
    <row r="37" spans="1:19" x14ac:dyDescent="0.3">
      <c r="A37" s="266">
        <v>18</v>
      </c>
      <c r="B37" s="266">
        <f t="shared" si="1"/>
        <v>162.31649999999999</v>
      </c>
      <c r="C37" s="266">
        <f t="shared" si="0"/>
        <v>134.75889999999998</v>
      </c>
      <c r="E37" s="266">
        <v>18</v>
      </c>
      <c r="F37" s="266">
        <f t="shared" si="4"/>
        <v>162.31649999999999</v>
      </c>
      <c r="G37" s="270">
        <v>16</v>
      </c>
      <c r="H37" s="267">
        <f t="shared" si="5"/>
        <v>1.6638613521716388</v>
      </c>
      <c r="I37" s="268">
        <f t="shared" si="2"/>
        <v>332.77227043432777</v>
      </c>
      <c r="J37" s="268">
        <f t="shared" si="6"/>
        <v>8.6224913903906781</v>
      </c>
      <c r="K37" s="269"/>
      <c r="L37" s="269"/>
      <c r="N37" s="266">
        <v>18</v>
      </c>
      <c r="O37" s="266">
        <v>129.22489999999999</v>
      </c>
      <c r="P37" s="270">
        <v>16</v>
      </c>
      <c r="Q37" s="267">
        <f t="shared" si="7"/>
        <v>1.0545913495717592</v>
      </c>
      <c r="R37" s="268">
        <f t="shared" si="3"/>
        <v>210.91826991435184</v>
      </c>
      <c r="S37" s="268">
        <f t="shared" si="8"/>
        <v>20.402477698327743</v>
      </c>
    </row>
    <row r="38" spans="1:19" x14ac:dyDescent="0.3">
      <c r="A38" s="266">
        <v>19</v>
      </c>
      <c r="B38" s="266">
        <f t="shared" si="1"/>
        <v>162.29740000000001</v>
      </c>
      <c r="C38" s="266">
        <f t="shared" si="0"/>
        <v>139.29309999999998</v>
      </c>
      <c r="N38" s="266">
        <v>19</v>
      </c>
      <c r="O38" s="266">
        <v>134.75889999999998</v>
      </c>
      <c r="P38" s="270">
        <v>16</v>
      </c>
      <c r="Q38" s="267">
        <f t="shared" si="7"/>
        <v>1.146850239771954</v>
      </c>
      <c r="R38" s="268">
        <f t="shared" si="3"/>
        <v>229.3700479543908</v>
      </c>
      <c r="S38" s="268">
        <f t="shared" si="8"/>
        <v>18.45177804003896</v>
      </c>
    </row>
    <row r="39" spans="1:19" x14ac:dyDescent="0.3">
      <c r="A39" s="266">
        <v>20</v>
      </c>
      <c r="B39" s="266">
        <f t="shared" si="1"/>
        <v>159.93370000000002</v>
      </c>
      <c r="C39" s="266">
        <f t="shared" si="0"/>
        <v>142.70269999999999</v>
      </c>
      <c r="N39" s="266">
        <v>20</v>
      </c>
      <c r="O39" s="266">
        <v>139.29309999999998</v>
      </c>
      <c r="P39" s="270">
        <v>16</v>
      </c>
      <c r="Q39" s="267">
        <f t="shared" si="7"/>
        <v>1.2253241771466339</v>
      </c>
      <c r="R39" s="268">
        <f t="shared" si="3"/>
        <v>245.06483542932676</v>
      </c>
      <c r="S39" s="268">
        <f t="shared" si="8"/>
        <v>15.694787474935964</v>
      </c>
    </row>
    <row r="40" spans="1:19" x14ac:dyDescent="0.3">
      <c r="B40" s="271"/>
      <c r="N40" s="266">
        <v>21</v>
      </c>
      <c r="O40" s="266">
        <v>142.70269999999999</v>
      </c>
      <c r="P40" s="270">
        <v>16</v>
      </c>
      <c r="Q40" s="267">
        <f t="shared" si="7"/>
        <v>1.2860450306635709</v>
      </c>
      <c r="R40" s="268">
        <f t="shared" si="3"/>
        <v>257.20900613271419</v>
      </c>
      <c r="S40" s="268">
        <f t="shared" si="8"/>
        <v>12.144170703387431</v>
      </c>
    </row>
    <row r="41" spans="1:19" x14ac:dyDescent="0.3">
      <c r="B41" s="271"/>
    </row>
    <row r="42" spans="1:19" x14ac:dyDescent="0.3">
      <c r="B42" s="27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STATION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2023-08-22T12:58:09Z</dcterms:modified>
</cp:coreProperties>
</file>