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MV (Poitou Touraine Indre)\LES CHATELIERS (79) - CHAMBENOIT\Dossier déposé 29012024\"/>
    </mc:Choice>
  </mc:AlternateContent>
  <xr:revisionPtr revIDLastSave="0" documentId="13_ncr:1_{F270CF4D-766F-4D93-9433-BED22EF6C5E0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19" i="2" l="1" a="1"/>
  <c r="AH19" i="2" s="1"/>
  <c r="AH166" i="2" a="1"/>
  <c r="AH166" i="2" s="1"/>
  <c r="AH90" i="2" a="1"/>
  <c r="AH90" i="2" s="1"/>
  <c r="BC47" i="2" a="1"/>
  <c r="BC47" i="2" s="1"/>
  <c r="BC68" i="2" a="1"/>
  <c r="BC68" i="2" s="1"/>
  <c r="BX107" i="2" a="1"/>
  <c r="BX107" i="2" s="1"/>
  <c r="BC58" i="2" a="1"/>
  <c r="BC58" i="2" s="1"/>
  <c r="BC34" i="2" a="1"/>
  <c r="BC34" i="2" s="1"/>
  <c r="AH151" i="2" a="1"/>
  <c r="AH151" i="2" s="1"/>
  <c r="AH163" i="2" a="1"/>
  <c r="AH163" i="2" s="1"/>
  <c r="AH62" i="2" a="1"/>
  <c r="AH62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108" i="2" l="1"/>
  <c r="CD60" i="2"/>
  <c r="CD73" i="2"/>
  <c r="CD102" i="2"/>
  <c r="CD117" i="2"/>
  <c r="CD162" i="2"/>
  <c r="CD94" i="2"/>
  <c r="CD27" i="2"/>
  <c r="CD177" i="2"/>
  <c r="CD4" i="2"/>
  <c r="CD42" i="2"/>
  <c r="CD99" i="2"/>
  <c r="CD158" i="2"/>
  <c r="CD3" i="2"/>
  <c r="C9" i="4" s="1"/>
  <c r="E9" i="4" s="1"/>
  <c r="F9" i="4" s="1"/>
  <c r="G9" i="4" s="1"/>
  <c r="L9" i="4" s="1"/>
  <c r="CD159" i="2"/>
  <c r="CD80" i="2"/>
  <c r="CD167" i="2"/>
  <c r="CD57" i="2"/>
  <c r="CD131" i="2"/>
  <c r="CD157" i="2"/>
  <c r="CD18" i="2"/>
  <c r="CD45" i="2"/>
  <c r="CD115" i="2"/>
  <c r="CD77" i="2"/>
  <c r="CD69" i="2"/>
  <c r="CD107" i="2"/>
  <c r="CD138" i="2"/>
  <c r="CD89" i="2"/>
  <c r="CD181" i="2"/>
  <c r="CD135" i="2"/>
  <c r="CD96" i="2"/>
  <c r="CD196" i="2"/>
  <c r="CD168" i="2"/>
  <c r="CD22" i="2"/>
  <c r="CD111" i="2"/>
  <c r="CD92" i="2"/>
  <c r="CD98" i="2"/>
  <c r="CD85" i="2"/>
  <c r="CD59" i="2"/>
  <c r="CD97" i="2"/>
  <c r="CD24" i="2"/>
  <c r="CD90" i="2"/>
  <c r="CD76" i="2"/>
  <c r="CD192" i="2"/>
  <c r="CD185" i="2"/>
  <c r="CD106" i="2"/>
  <c r="CD164" i="2"/>
  <c r="CD182" i="2"/>
  <c r="CD84" i="2"/>
  <c r="CD74" i="2"/>
  <c r="CD191" i="2"/>
  <c r="CD51" i="2"/>
  <c r="CD132" i="2"/>
  <c r="CD33" i="2"/>
  <c r="CD101" i="2"/>
  <c r="CD140" i="2"/>
  <c r="CD7" i="2"/>
  <c r="CD40" i="2"/>
  <c r="CD14" i="2"/>
  <c r="CD145" i="2"/>
  <c r="CD47" i="2"/>
  <c r="CD189" i="2"/>
  <c r="CD72" i="2"/>
  <c r="CD197" i="2"/>
  <c r="CD93" i="2"/>
  <c r="CD118" i="2"/>
  <c r="CD58" i="2"/>
  <c r="CD8" i="2"/>
  <c r="CD152" i="2"/>
  <c r="CD195" i="2"/>
  <c r="CD193" i="2"/>
  <c r="CD19" i="2"/>
  <c r="CD23" i="2"/>
  <c r="CD172" i="2"/>
  <c r="CD155" i="2"/>
  <c r="CD50" i="2"/>
  <c r="CD198" i="2"/>
  <c r="CD82" i="2"/>
  <c r="CD20" i="2"/>
  <c r="CD120" i="2"/>
  <c r="CD46" i="2"/>
  <c r="CD154" i="2"/>
  <c r="CD146" i="2"/>
  <c r="CD81" i="2"/>
  <c r="CD32" i="2"/>
  <c r="CD180" i="2"/>
  <c r="CD83" i="2"/>
  <c r="CD134" i="2"/>
  <c r="CD186" i="2"/>
  <c r="CD113" i="2"/>
  <c r="CD110" i="2"/>
  <c r="CD160" i="2"/>
  <c r="CD190" i="2"/>
  <c r="CD121" i="2"/>
  <c r="CD148" i="2"/>
  <c r="CD105" i="2"/>
  <c r="CD55" i="2"/>
  <c r="CD41" i="2"/>
  <c r="CD142" i="2"/>
  <c r="CD156" i="2"/>
  <c r="CD147" i="2"/>
  <c r="CD64" i="2"/>
  <c r="CD173" i="2"/>
  <c r="CD49" i="2"/>
  <c r="CD65" i="2"/>
  <c r="CD28" i="2"/>
  <c r="CD200" i="2"/>
  <c r="CD75" i="2"/>
  <c r="CD39" i="2"/>
  <c r="CD43" i="2"/>
  <c r="CD15" i="2"/>
  <c r="CD169" i="2"/>
  <c r="CD183" i="2"/>
  <c r="CD11" i="2"/>
  <c r="CD66" i="2"/>
  <c r="CD16" i="2"/>
  <c r="CD139" i="2"/>
  <c r="CD165" i="2"/>
  <c r="CD187" i="2"/>
  <c r="CD184" i="2"/>
  <c r="CD25" i="2"/>
  <c r="CD194" i="2"/>
  <c r="CD176" i="2"/>
  <c r="CD95" i="2"/>
  <c r="CD91" i="2"/>
  <c r="CD52" i="2"/>
  <c r="CD100" i="2"/>
  <c r="CD170" i="2"/>
  <c r="CD30" i="2"/>
  <c r="CD12" i="2"/>
  <c r="CD109" i="2"/>
  <c r="CD71" i="2"/>
  <c r="CD203" i="2"/>
  <c r="CD123" i="2"/>
  <c r="CD68" i="2"/>
  <c r="CD144" i="2"/>
  <c r="CD35" i="2"/>
  <c r="CD137" i="2"/>
  <c r="CD104" i="2"/>
  <c r="CD87" i="2"/>
  <c r="CD34" i="2"/>
  <c r="CD163" i="2"/>
  <c r="CD127" i="2"/>
  <c r="CD124" i="2"/>
  <c r="CD174" i="2"/>
  <c r="CD31" i="2"/>
  <c r="CD67" i="2"/>
  <c r="CD17" i="2"/>
  <c r="CD88" i="2"/>
  <c r="CD78" i="2"/>
  <c r="CD153" i="2"/>
  <c r="CD128" i="2"/>
  <c r="CD6" i="2"/>
  <c r="CD48" i="2"/>
  <c r="CD79" i="2"/>
  <c r="CD175" i="2"/>
  <c r="CD119" i="2"/>
  <c r="CD26" i="2"/>
  <c r="CD10" i="2"/>
  <c r="CD53" i="2"/>
  <c r="CD202" i="2"/>
  <c r="CD150" i="2"/>
  <c r="CD126" i="2"/>
  <c r="CD29" i="2"/>
  <c r="CD62" i="2"/>
  <c r="CD129" i="2"/>
  <c r="CD178" i="2"/>
  <c r="CD133" i="2"/>
  <c r="CD112" i="2"/>
  <c r="CD199" i="2"/>
  <c r="CD136" i="2"/>
  <c r="CD13" i="2"/>
  <c r="CD130" i="2"/>
  <c r="CD36" i="2"/>
  <c r="CD161" i="2"/>
  <c r="CD122" i="2"/>
  <c r="CD38" i="2"/>
  <c r="CD5" i="2"/>
  <c r="CD103" i="2"/>
  <c r="CD149" i="2"/>
  <c r="CD63" i="2"/>
  <c r="CD171" i="2"/>
  <c r="CD86" i="2"/>
  <c r="CD56" i="2"/>
  <c r="CD21" i="2"/>
  <c r="CD201" i="2"/>
  <c r="CD179" i="2"/>
  <c r="CD188" i="2"/>
  <c r="CD9" i="2"/>
  <c r="CD141" i="2"/>
  <c r="CD61" i="2"/>
  <c r="CD37" i="2"/>
  <c r="CD114" i="2"/>
  <c r="CD125" i="2"/>
  <c r="CD116" i="2"/>
  <c r="CD70" i="2"/>
  <c r="CD143" i="2"/>
  <c r="CD151" i="2"/>
  <c r="CD54" i="2"/>
  <c r="CD44" i="2"/>
  <c r="CD166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<sst xmlns="http://schemas.openxmlformats.org/spreadsheetml/2006/main" count="1172" uniqueCount="324">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</sst>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523.12924541243819</c:v>
                </c:pt>
                <c:pt idx="107">
                  <c:v>530.78668966466364</c:v>
                </c:pt>
                <c:pt idx="108">
                  <c:v>538.44180953565854</c:v>
                </c:pt>
                <c:pt idx="109">
                  <c:v>546.09464274073571</c:v>
                </c:pt>
                <c:pt idx="110">
                  <c:v>553.74522585166335</c:v>
                </c:pt>
                <c:pt idx="111">
                  <c:v>524.66092206348787</c:v>
                </c:pt>
                <c:pt idx="112">
                  <c:v>531.93510488968684</c:v>
                </c:pt>
                <c:pt idx="113">
                  <c:v>539.20719514390646</c:v>
                </c:pt>
                <c:pt idx="114">
                  <c:v>546.47722503675379</c:v>
                </c:pt>
                <c:pt idx="115">
                  <c:v>553.74522585166335</c:v>
                </c:pt>
                <c:pt idx="116">
                  <c:v>526.1925045020057</c:v>
                </c:pt>
                <c:pt idx="117">
                  <c:v>533.08346794728629</c:v>
                </c:pt>
                <c:pt idx="118">
                  <c:v>539.97255792351177</c:v>
                </c:pt>
                <c:pt idx="119">
                  <c:v>546.85980171226186</c:v>
                </c:pt>
                <c:pt idx="120">
                  <c:v>553.7452258516638</c:v>
                </c:pt>
                <c:pt idx="121">
                  <c:v>4.107100892103012E-12</c:v>
                </c:pt>
                <c:pt idx="122">
                  <c:v>4.107100892103012E-12</c:v>
                </c:pt>
                <c:pt idx="123">
                  <c:v>4.107100892103012E-12</c:v>
                </c:pt>
                <c:pt idx="124">
                  <c:v>4.107100892103012E-12</c:v>
                </c:pt>
                <c:pt idx="125">
                  <c:v>4.107100892103012E-12</c:v>
                </c:pt>
                <c:pt idx="126">
                  <c:v>4.107100892103012E-12</c:v>
                </c:pt>
                <c:pt idx="127">
                  <c:v>4.107100892103012E-12</c:v>
                </c:pt>
                <c:pt idx="128">
                  <c:v>4.107100892103012E-12</c:v>
                </c:pt>
                <c:pt idx="129">
                  <c:v>4.107100892103012E-12</c:v>
                </c:pt>
                <c:pt idx="130">
                  <c:v>4.107100892103012E-12</c:v>
                </c:pt>
                <c:pt idx="131">
                  <c:v>4.107100892103012E-12</c:v>
                </c:pt>
                <c:pt idx="132">
                  <c:v>4.107100892103012E-12</c:v>
                </c:pt>
                <c:pt idx="133">
                  <c:v>4.107100892103012E-12</c:v>
                </c:pt>
                <c:pt idx="134">
                  <c:v>4.107100892103012E-12</c:v>
                </c:pt>
                <c:pt idx="135">
                  <c:v>4.107100892103012E-12</c:v>
                </c:pt>
                <c:pt idx="136">
                  <c:v>4.107100892103012E-12</c:v>
                </c:pt>
                <c:pt idx="137">
                  <c:v>4.107100892103012E-12</c:v>
                </c:pt>
                <c:pt idx="138">
                  <c:v>4.107100892103012E-12</c:v>
                </c:pt>
                <c:pt idx="139">
                  <c:v>4.107100892103012E-12</c:v>
                </c:pt>
                <c:pt idx="140">
                  <c:v>4.107100892103012E-12</c:v>
                </c:pt>
                <c:pt idx="141">
                  <c:v>4.107100892103012E-12</c:v>
                </c:pt>
                <c:pt idx="142">
                  <c:v>4.107100892103012E-12</c:v>
                </c:pt>
                <c:pt idx="143">
                  <c:v>4.107100892103012E-12</c:v>
                </c:pt>
                <c:pt idx="144">
                  <c:v>4.107100892103012E-12</c:v>
                </c:pt>
                <c:pt idx="145">
                  <c:v>4.107100892103012E-12</c:v>
                </c:pt>
                <c:pt idx="146">
                  <c:v>4.107100892103012E-12</c:v>
                </c:pt>
                <c:pt idx="147">
                  <c:v>4.107100892103012E-12</c:v>
                </c:pt>
                <c:pt idx="148">
                  <c:v>4.107100892103012E-12</c:v>
                </c:pt>
                <c:pt idx="149">
                  <c:v>4.107100892103012E-12</c:v>
                </c:pt>
                <c:pt idx="150">
                  <c:v>4.107100892103012E-12</c:v>
                </c:pt>
                <c:pt idx="151">
                  <c:v>4.107100892103012E-12</c:v>
                </c:pt>
                <c:pt idx="152">
                  <c:v>4.107100892103012E-12</c:v>
                </c:pt>
                <c:pt idx="153">
                  <c:v>4.107100892103012E-12</c:v>
                </c:pt>
                <c:pt idx="154">
                  <c:v>4.107100892103012E-12</c:v>
                </c:pt>
                <c:pt idx="155">
                  <c:v>4.107100892103012E-12</c:v>
                </c:pt>
                <c:pt idx="156">
                  <c:v>4.107100892103012E-12</c:v>
                </c:pt>
                <c:pt idx="157">
                  <c:v>4.107100892103012E-12</c:v>
                </c:pt>
                <c:pt idx="158">
                  <c:v>4.107100892103012E-12</c:v>
                </c:pt>
                <c:pt idx="159">
                  <c:v>4.107100892103012E-12</c:v>
                </c:pt>
                <c:pt idx="160">
                  <c:v>4.107100892103012E-12</c:v>
                </c:pt>
                <c:pt idx="161">
                  <c:v>4.107100892103012E-12</c:v>
                </c:pt>
                <c:pt idx="162">
                  <c:v>4.107100892103012E-12</c:v>
                </c:pt>
                <c:pt idx="163">
                  <c:v>4.107100892103012E-12</c:v>
                </c:pt>
                <c:pt idx="164">
                  <c:v>4.107100892103012E-12</c:v>
                </c:pt>
                <c:pt idx="165">
                  <c:v>4.107100892103012E-12</c:v>
                </c:pt>
                <c:pt idx="166">
                  <c:v>4.107100892103012E-12</c:v>
                </c:pt>
                <c:pt idx="167">
                  <c:v>4.107100892103012E-12</c:v>
                </c:pt>
                <c:pt idx="168">
                  <c:v>4.107100892103012E-12</c:v>
                </c:pt>
                <c:pt idx="169">
                  <c:v>4.107100892103012E-12</c:v>
                </c:pt>
                <c:pt idx="170">
                  <c:v>4.107100892103012E-12</c:v>
                </c:pt>
                <c:pt idx="171">
                  <c:v>4.107100892103012E-12</c:v>
                </c:pt>
                <c:pt idx="172">
                  <c:v>4.107100892103012E-12</c:v>
                </c:pt>
                <c:pt idx="173">
                  <c:v>4.107100892103012E-12</c:v>
                </c:pt>
                <c:pt idx="174">
                  <c:v>4.107100892103012E-12</c:v>
                </c:pt>
                <c:pt idx="175">
                  <c:v>4.107100892103012E-12</c:v>
                </c:pt>
                <c:pt idx="176">
                  <c:v>4.107100892103012E-12</c:v>
                </c:pt>
                <c:pt idx="177">
                  <c:v>4.107100892103012E-12</c:v>
                </c:pt>
                <c:pt idx="178">
                  <c:v>4.107100892103012E-12</c:v>
                </c:pt>
                <c:pt idx="179">
                  <c:v>4.107100892103012E-12</c:v>
                </c:pt>
                <c:pt idx="180">
                  <c:v>4.107100892103012E-12</c:v>
                </c:pt>
                <c:pt idx="181">
                  <c:v>4.107100892103012E-12</c:v>
                </c:pt>
                <c:pt idx="182">
                  <c:v>4.107100892103012E-12</c:v>
                </c:pt>
                <c:pt idx="183">
                  <c:v>4.107100892103012E-12</c:v>
                </c:pt>
                <c:pt idx="184">
                  <c:v>4.107100892103012E-12</c:v>
                </c:pt>
                <c:pt idx="185">
                  <c:v>4.107100892103012E-12</c:v>
                </c:pt>
                <c:pt idx="186">
                  <c:v>4.107100892103012E-12</c:v>
                </c:pt>
                <c:pt idx="187">
                  <c:v>4.107100892103012E-12</c:v>
                </c:pt>
                <c:pt idx="188">
                  <c:v>4.107100892103012E-12</c:v>
                </c:pt>
                <c:pt idx="189">
                  <c:v>4.107100892103012E-12</c:v>
                </c:pt>
                <c:pt idx="190">
                  <c:v>4.107100892103012E-12</c:v>
                </c:pt>
                <c:pt idx="191">
                  <c:v>4.107100892103012E-12</c:v>
                </c:pt>
                <c:pt idx="192">
                  <c:v>4.107100892103012E-12</c:v>
                </c:pt>
                <c:pt idx="193">
                  <c:v>4.107100892103012E-12</c:v>
                </c:pt>
                <c:pt idx="194">
                  <c:v>4.107100892103012E-12</c:v>
                </c:pt>
                <c:pt idx="195">
                  <c:v>4.107100892103012E-12</c:v>
                </c:pt>
                <c:pt idx="196">
                  <c:v>4.107100892103012E-12</c:v>
                </c:pt>
                <c:pt idx="197">
                  <c:v>4.107100892103012E-12</c:v>
                </c:pt>
                <c:pt idx="198">
                  <c:v>4.107100892103012E-12</c:v>
                </c:pt>
                <c:pt idx="199">
                  <c:v>4.107100892103012E-12</c:v>
                </c:pt>
                <c:pt idx="200">
                  <c:v>4.107100892103012E-12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2.5418669877524631</c:v>
                </c:pt>
                <c:pt idx="2">
                  <c:v>2.9957270669243736</c:v>
                </c:pt>
                <c:pt idx="3">
                  <c:v>3.5309237289757314</c:v>
                </c:pt>
                <c:pt idx="4">
                  <c:v>4.1620838322130211</c:v>
                </c:pt>
                <c:pt idx="5">
                  <c:v>4.9064731144492493</c:v>
                </c:pt>
                <c:pt idx="6">
                  <c:v>5.7844737129845347</c:v>
                </c:pt>
                <c:pt idx="7">
                  <c:v>6.8201483342719778</c:v>
                </c:pt>
                <c:pt idx="8">
                  <c:v>8.0419068365778514</c:v>
                </c:pt>
                <c:pt idx="9">
                  <c:v>9.4832938632786998</c:v>
                </c:pt>
                <c:pt idx="10">
                  <c:v>11.183919563995628</c:v>
                </c:pt>
                <c:pt idx="11">
                  <c:v>13.190559461705492</c:v>
                </c:pt>
                <c:pt idx="12">
                  <c:v>15.558454280082193</c:v>
                </c:pt>
                <c:pt idx="13">
                  <c:v>18.352846171274901</c:v>
                </c:pt>
                <c:pt idx="14">
                  <c:v>21.650794439499833</c:v>
                </c:pt>
                <c:pt idx="15">
                  <c:v>25.543321728831604</c:v>
                </c:pt>
                <c:pt idx="16">
                  <c:v>30.137950957680886</c:v>
                </c:pt>
                <c:pt idx="17">
                  <c:v>35.561704301876368</c:v>
                </c:pt>
                <c:pt idx="18">
                  <c:v>41.964648565800914</c:v>
                </c:pt>
                <c:pt idx="19">
                  <c:v>49.524086706884191</c:v>
                </c:pt>
                <c:pt idx="20">
                  <c:v>58.44951353116938</c:v>
                </c:pt>
                <c:pt idx="21">
                  <c:v>68.988475175425933</c:v>
                </c:pt>
                <c:pt idx="22">
                  <c:v>81.433497548504832</c:v>
                </c:pt>
                <c:pt idx="23">
                  <c:v>96.130279148362561</c:v>
                </c:pt>
                <c:pt idx="24">
                  <c:v>113.48737946213917</c:v>
                </c:pt>
                <c:pt idx="25">
                  <c:v>133.9876765138882</c:v>
                </c:pt>
                <c:pt idx="26">
                  <c:v>132.14910489975807</c:v>
                </c:pt>
                <c:pt idx="27">
                  <c:v>145.00665050019282</c:v>
                </c:pt>
                <c:pt idx="28">
                  <c:v>157.83692263801234</c:v>
                </c:pt>
                <c:pt idx="29">
                  <c:v>170.6424524976421</c:v>
                </c:pt>
                <c:pt idx="30">
                  <c:v>183.42535972935536</c:v>
                </c:pt>
                <c:pt idx="31">
                  <c:v>159.30162093191652</c:v>
                </c:pt>
                <c:pt idx="32">
                  <c:v>173.56618479737253</c:v>
                </c:pt>
                <c:pt idx="33">
                  <c:v>187.80319453587131</c:v>
                </c:pt>
                <c:pt idx="34">
                  <c:v>202.01503419176592</c:v>
                </c:pt>
                <c:pt idx="35">
                  <c:v>216.20372460175972</c:v>
                </c:pt>
                <c:pt idx="36">
                  <c:v>193.27214793812973</c:v>
                </c:pt>
                <c:pt idx="37">
                  <c:v>208.5664261543092</c:v>
                </c:pt>
                <c:pt idx="38">
                  <c:v>223.83481773691517</c:v>
                </c:pt>
                <c:pt idx="39">
                  <c:v>239.07933751109377</c:v>
                </c:pt>
                <c:pt idx="40">
                  <c:v>254.30172220416441</c:v>
                </c:pt>
                <c:pt idx="41">
                  <c:v>231.45994723108012</c:v>
                </c:pt>
                <c:pt idx="42">
                  <c:v>246.69319751240889</c:v>
                </c:pt>
                <c:pt idx="43">
                  <c:v>261.90509392198993</c:v>
                </c:pt>
                <c:pt idx="44">
                  <c:v>277.0970514904804</c:v>
                </c:pt>
                <c:pt idx="45">
                  <c:v>292.27031736625912</c:v>
                </c:pt>
                <c:pt idx="46">
                  <c:v>269.50348353777451</c:v>
                </c:pt>
                <c:pt idx="47">
                  <c:v>284.68594869794055</c:v>
                </c:pt>
                <c:pt idx="48">
                  <c:v>299.85029171072807</c:v>
                </c:pt>
                <c:pt idx="49">
                  <c:v>314.99755813323162</c:v>
                </c:pt>
                <c:pt idx="50">
                  <c:v>330.12868474355969</c:v>
                </c:pt>
                <c:pt idx="51">
                  <c:v>306.7046832307131</c:v>
                </c:pt>
                <c:pt idx="52">
                  <c:v>321.12395650175091</c:v>
                </c:pt>
                <c:pt idx="53">
                  <c:v>335.52891035063624</c:v>
                </c:pt>
                <c:pt idx="54">
                  <c:v>349.9202461341838</c:v>
                </c:pt>
                <c:pt idx="55">
                  <c:v>364.29860280650684</c:v>
                </c:pt>
                <c:pt idx="56">
                  <c:v>339.84771077884716</c:v>
                </c:pt>
                <c:pt idx="57">
                  <c:v>353.1564863843555</c:v>
                </c:pt>
                <c:pt idx="58">
                  <c:v>366.45427364140329</c:v>
                </c:pt>
                <c:pt idx="59">
                  <c:v>379.74152749544282</c:v>
                </c:pt>
                <c:pt idx="60">
                  <c:v>393.01866845402566</c:v>
                </c:pt>
                <c:pt idx="61">
                  <c:v>368.2504543896228</c:v>
                </c:pt>
                <c:pt idx="62">
                  <c:v>381.17737444442355</c:v>
                </c:pt>
                <c:pt idx="63">
                  <c:v>394.09476222315919</c:v>
                </c:pt>
                <c:pt idx="64">
                  <c:v>407.00297420734074</c:v>
                </c:pt>
                <c:pt idx="65">
                  <c:v>419.90234242068601</c:v>
                </c:pt>
                <c:pt idx="66">
                  <c:v>394.45344597932944</c:v>
                </c:pt>
                <c:pt idx="67">
                  <c:v>406.64453366510543</c:v>
                </c:pt>
                <c:pt idx="68">
                  <c:v>418.82772515146917</c:v>
                </c:pt>
                <c:pt idx="69">
                  <c:v>431.00328251520676</c:v>
                </c:pt>
                <c:pt idx="70">
                  <c:v>443.17145181723475</c:v>
                </c:pt>
                <c:pt idx="71">
                  <c:v>417.03656422780801</c:v>
                </c:pt>
                <c:pt idx="72">
                  <c:v>428.49716193303931</c:v>
                </c:pt>
                <c:pt idx="73">
                  <c:v>439.95117154338482</c:v>
                </c:pt>
                <c:pt idx="74">
                  <c:v>451.39878877082128</c:v>
                </c:pt>
                <c:pt idx="75">
                  <c:v>462.84019859006776</c:v>
                </c:pt>
                <c:pt idx="76">
                  <c:v>436.01458640999044</c:v>
                </c:pt>
                <c:pt idx="77">
                  <c:v>446.74895314532608</c:v>
                </c:pt>
                <c:pt idx="78">
                  <c:v>457.47779928386632</c:v>
                </c:pt>
                <c:pt idx="79">
                  <c:v>468.2012725645348</c:v>
                </c:pt>
                <c:pt idx="80">
                  <c:v>478.91951340591214</c:v>
                </c:pt>
                <c:pt idx="81">
                  <c:v>451.39878877082128</c:v>
                </c:pt>
                <c:pt idx="82">
                  <c:v>461.41035575528031</c:v>
                </c:pt>
                <c:pt idx="83">
                  <c:v>471.4172880162883</c:v>
                </c:pt>
                <c:pt idx="84">
                  <c:v>481.41969782516463</c:v>
                </c:pt>
                <c:pt idx="85">
                  <c:v>491.41769240661694</c:v>
                </c:pt>
                <c:pt idx="86">
                  <c:v>463.55508464541521</c:v>
                </c:pt>
                <c:pt idx="87">
                  <c:v>473.20376115624708</c:v>
                </c:pt>
                <c:pt idx="88">
                  <c:v>482.84825064496823</c:v>
                </c:pt>
                <c:pt idx="89">
                  <c:v>492.48864855160696</c:v>
                </c:pt>
                <c:pt idx="90">
                  <c:v>502.12504627431434</c:v>
                </c:pt>
                <c:pt idx="91">
                  <c:v>473.56103853531039</c:v>
                </c:pt>
                <c:pt idx="92">
                  <c:v>482.49112087009513</c:v>
                </c:pt>
                <c:pt idx="93">
                  <c:v>491.41769240661671</c:v>
                </c:pt>
                <c:pt idx="94">
                  <c:v>500.34082592690089</c:v>
                </c:pt>
                <c:pt idx="95">
                  <c:v>509.26059140461666</c:v>
                </c:pt>
                <c:pt idx="96">
                  <c:v>480.34822409968478</c:v>
                </c:pt>
                <c:pt idx="97">
                  <c:v>488.91860200532369</c:v>
                </c:pt>
                <c:pt idx="98">
                  <c:v>497.48579293849389</c:v>
                </c:pt>
                <c:pt idx="99">
                  <c:v>506.04985953638601</c:v>
                </c:pt>
                <c:pt idx="100">
                  <c:v>514.61086214265583</c:v>
                </c:pt>
                <c:pt idx="101">
                  <c:v>484.99091160498864</c:v>
                </c:pt>
                <c:pt idx="102">
                  <c:v>492.84562295362861</c:v>
                </c:pt>
                <c:pt idx="103">
                  <c:v>500.69768075588399</c:v>
                </c:pt>
                <c:pt idx="104">
                  <c:v>508.54713250848926</c:v>
                </c:pt>
                <c:pt idx="105">
                  <c:v>516.39402412187007</c:v>
                </c:pt>
                <c:pt idx="106">
                  <c:v>487.84748036508444</c:v>
                </c:pt>
                <c:pt idx="107">
                  <c:v>494.98735439698663</c:v>
                </c:pt>
                <c:pt idx="108">
                  <c:v>502.12504627431412</c:v>
                </c:pt>
                <c:pt idx="109">
                  <c:v>509.26059140461649</c:v>
                </c:pt>
                <c:pt idx="110">
                  <c:v>516.39402412187007</c:v>
                </c:pt>
                <c:pt idx="111">
                  <c:v>489.27563148073085</c:v>
                </c:pt>
                <c:pt idx="112">
                  <c:v>496.0581464132178</c:v>
                </c:pt>
                <c:pt idx="113">
                  <c:v>502.83869681619598</c:v>
                </c:pt>
                <c:pt idx="114">
                  <c:v>509.61731292933638</c:v>
                </c:pt>
                <c:pt idx="115">
                  <c:v>516.39402412187019</c:v>
                </c:pt>
                <c:pt idx="116">
                  <c:v>490.70369414861938</c:v>
                </c:pt>
                <c:pt idx="117">
                  <c:v>497.12888945410003</c:v>
                </c:pt>
                <c:pt idx="118">
                  <c:v>503.55232592629801</c:v>
                </c:pt>
                <c:pt idx="119">
                  <c:v>509.97402917745995</c:v>
                </c:pt>
                <c:pt idx="120">
                  <c:v>516.39402412187042</c:v>
                </c:pt>
                <c:pt idx="121">
                  <c:v>3.853701544601233E-12</c:v>
                </c:pt>
                <c:pt idx="122">
                  <c:v>3.853701544601233E-12</c:v>
                </c:pt>
                <c:pt idx="123">
                  <c:v>3.853701544601233E-12</c:v>
                </c:pt>
                <c:pt idx="124">
                  <c:v>3.853701544601233E-12</c:v>
                </c:pt>
                <c:pt idx="125">
                  <c:v>3.853701544601233E-12</c:v>
                </c:pt>
                <c:pt idx="126">
                  <c:v>3.853701544601233E-12</c:v>
                </c:pt>
                <c:pt idx="127">
                  <c:v>3.853701544601233E-12</c:v>
                </c:pt>
                <c:pt idx="128">
                  <c:v>3.853701544601233E-12</c:v>
                </c:pt>
                <c:pt idx="129">
                  <c:v>3.853701544601233E-12</c:v>
                </c:pt>
                <c:pt idx="130">
                  <c:v>3.853701544601233E-12</c:v>
                </c:pt>
                <c:pt idx="131">
                  <c:v>3.853701544601233E-12</c:v>
                </c:pt>
                <c:pt idx="132">
                  <c:v>3.853701544601233E-12</c:v>
                </c:pt>
                <c:pt idx="133">
                  <c:v>3.853701544601233E-12</c:v>
                </c:pt>
                <c:pt idx="134">
                  <c:v>3.853701544601233E-12</c:v>
                </c:pt>
                <c:pt idx="135">
                  <c:v>3.853701544601233E-12</c:v>
                </c:pt>
                <c:pt idx="136">
                  <c:v>3.853701544601233E-12</c:v>
                </c:pt>
                <c:pt idx="137">
                  <c:v>3.853701544601233E-12</c:v>
                </c:pt>
                <c:pt idx="138">
                  <c:v>3.853701544601233E-12</c:v>
                </c:pt>
                <c:pt idx="139">
                  <c:v>3.853701544601233E-12</c:v>
                </c:pt>
                <c:pt idx="140">
                  <c:v>3.853701544601233E-12</c:v>
                </c:pt>
                <c:pt idx="141">
                  <c:v>3.853701544601233E-12</c:v>
                </c:pt>
                <c:pt idx="142">
                  <c:v>3.853701544601233E-12</c:v>
                </c:pt>
                <c:pt idx="143">
                  <c:v>3.853701544601233E-12</c:v>
                </c:pt>
                <c:pt idx="144">
                  <c:v>3.853701544601233E-12</c:v>
                </c:pt>
                <c:pt idx="145">
                  <c:v>3.853701544601233E-12</c:v>
                </c:pt>
                <c:pt idx="146">
                  <c:v>3.853701544601233E-12</c:v>
                </c:pt>
                <c:pt idx="147">
                  <c:v>3.853701544601233E-12</c:v>
                </c:pt>
                <c:pt idx="148">
                  <c:v>3.853701544601233E-12</c:v>
                </c:pt>
                <c:pt idx="149">
                  <c:v>3.853701544601233E-12</c:v>
                </c:pt>
                <c:pt idx="150">
                  <c:v>3.853701544601233E-12</c:v>
                </c:pt>
                <c:pt idx="151">
                  <c:v>3.853701544601233E-12</c:v>
                </c:pt>
                <c:pt idx="152">
                  <c:v>3.853701544601233E-12</c:v>
                </c:pt>
                <c:pt idx="153">
                  <c:v>3.853701544601233E-12</c:v>
                </c:pt>
                <c:pt idx="154">
                  <c:v>3.853701544601233E-12</c:v>
                </c:pt>
                <c:pt idx="155">
                  <c:v>3.853701544601233E-12</c:v>
                </c:pt>
                <c:pt idx="156">
                  <c:v>3.853701544601233E-12</c:v>
                </c:pt>
                <c:pt idx="157">
                  <c:v>3.853701544601233E-12</c:v>
                </c:pt>
                <c:pt idx="158">
                  <c:v>3.853701544601233E-12</c:v>
                </c:pt>
                <c:pt idx="159">
                  <c:v>3.853701544601233E-12</c:v>
                </c:pt>
                <c:pt idx="160">
                  <c:v>3.853701544601233E-12</c:v>
                </c:pt>
                <c:pt idx="161">
                  <c:v>3.853701544601233E-12</c:v>
                </c:pt>
                <c:pt idx="162">
                  <c:v>3.853701544601233E-12</c:v>
                </c:pt>
                <c:pt idx="163">
                  <c:v>3.853701544601233E-12</c:v>
                </c:pt>
                <c:pt idx="164">
                  <c:v>3.853701544601233E-12</c:v>
                </c:pt>
                <c:pt idx="165">
                  <c:v>3.853701544601233E-12</c:v>
                </c:pt>
                <c:pt idx="166">
                  <c:v>3.853701544601233E-12</c:v>
                </c:pt>
                <c:pt idx="167">
                  <c:v>3.853701544601233E-12</c:v>
                </c:pt>
                <c:pt idx="168">
                  <c:v>3.853701544601233E-12</c:v>
                </c:pt>
                <c:pt idx="169">
                  <c:v>3.853701544601233E-12</c:v>
                </c:pt>
                <c:pt idx="170">
                  <c:v>3.853701544601233E-12</c:v>
                </c:pt>
                <c:pt idx="171">
                  <c:v>3.853701544601233E-12</c:v>
                </c:pt>
                <c:pt idx="172">
                  <c:v>3.853701544601233E-12</c:v>
                </c:pt>
                <c:pt idx="173">
                  <c:v>3.853701544601233E-12</c:v>
                </c:pt>
                <c:pt idx="174">
                  <c:v>3.853701544601233E-12</c:v>
                </c:pt>
                <c:pt idx="175">
                  <c:v>3.853701544601233E-12</c:v>
                </c:pt>
                <c:pt idx="176">
                  <c:v>3.853701544601233E-12</c:v>
                </c:pt>
                <c:pt idx="177">
                  <c:v>3.853701544601233E-12</c:v>
                </c:pt>
                <c:pt idx="178">
                  <c:v>3.853701544601233E-12</c:v>
                </c:pt>
                <c:pt idx="179">
                  <c:v>3.853701544601233E-12</c:v>
                </c:pt>
                <c:pt idx="180">
                  <c:v>3.853701544601233E-12</c:v>
                </c:pt>
                <c:pt idx="181">
                  <c:v>3.853701544601233E-12</c:v>
                </c:pt>
                <c:pt idx="182">
                  <c:v>3.853701544601233E-12</c:v>
                </c:pt>
                <c:pt idx="183">
                  <c:v>3.853701544601233E-12</c:v>
                </c:pt>
                <c:pt idx="184">
                  <c:v>3.853701544601233E-12</c:v>
                </c:pt>
                <c:pt idx="185">
                  <c:v>3.853701544601233E-12</c:v>
                </c:pt>
                <c:pt idx="186">
                  <c:v>3.853701544601233E-12</c:v>
                </c:pt>
                <c:pt idx="187">
                  <c:v>3.853701544601233E-12</c:v>
                </c:pt>
                <c:pt idx="188">
                  <c:v>3.853701544601233E-12</c:v>
                </c:pt>
                <c:pt idx="189">
                  <c:v>3.853701544601233E-12</c:v>
                </c:pt>
                <c:pt idx="190">
                  <c:v>3.853701544601233E-12</c:v>
                </c:pt>
                <c:pt idx="191">
                  <c:v>3.853701544601233E-12</c:v>
                </c:pt>
                <c:pt idx="192">
                  <c:v>3.853701544601233E-12</c:v>
                </c:pt>
                <c:pt idx="193">
                  <c:v>3.853701544601233E-12</c:v>
                </c:pt>
                <c:pt idx="194">
                  <c:v>3.853701544601233E-12</c:v>
                </c:pt>
                <c:pt idx="195">
                  <c:v>3.853701544601233E-12</c:v>
                </c:pt>
                <c:pt idx="196">
                  <c:v>3.853701544601233E-12</c:v>
                </c:pt>
                <c:pt idx="197">
                  <c:v>3.853701544601233E-12</c:v>
                </c:pt>
                <c:pt idx="198">
                  <c:v>3.853701544601233E-12</c:v>
                </c:pt>
                <c:pt idx="199">
                  <c:v>3.853701544601233E-12</c:v>
                </c:pt>
                <c:pt idx="200">
                  <c:v>3.853701544601233E-12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127.54994966375402</c:v>
                </c:pt>
                <c:pt idx="22">
                  <c:v>134.19192451868898</c:v>
                </c:pt>
                <c:pt idx="23">
                  <c:v>140.82597594357114</c:v>
                </c:pt>
                <c:pt idx="24">
                  <c:v>147.45253056632168</c:v>
                </c:pt>
                <c:pt idx="25">
                  <c:v>154.0719734572057</c:v>
                </c:pt>
                <c:pt idx="26">
                  <c:v>160.68465382913149</c:v>
                </c:pt>
                <c:pt idx="27">
                  <c:v>167.2908897484331</c:v>
                </c:pt>
                <c:pt idx="28">
                  <c:v>173.89097206104813</c:v>
                </c:pt>
                <c:pt idx="29">
                  <c:v>180.48516769023783</c:v>
                </c:pt>
                <c:pt idx="30">
                  <c:v>187.07372242622981</c:v>
                </c:pt>
                <c:pt idx="31">
                  <c:v>194.16304064471555</c:v>
                </c:pt>
                <c:pt idx="32">
                  <c:v>201.24634176616689</c:v>
                </c:pt>
                <c:pt idx="33">
                  <c:v>208.32386777264207</c:v>
                </c:pt>
                <c:pt idx="34">
                  <c:v>215.39584283593408</c:v>
                </c:pt>
                <c:pt idx="35">
                  <c:v>222.46247518327695</c:v>
                </c:pt>
                <c:pt idx="36">
                  <c:v>229.52395871325157</c:v>
                </c:pt>
                <c:pt idx="37">
                  <c:v>236.58047440215805</c:v>
                </c:pt>
                <c:pt idx="38">
                  <c:v>243.63219153359822</c:v>
                </c:pt>
                <c:pt idx="39">
                  <c:v>250.67926877807722</c:v>
                </c:pt>
                <c:pt idx="40">
                  <c:v>257.72185514470988</c:v>
                </c:pt>
                <c:pt idx="41">
                  <c:v>201.24634176616689</c:v>
                </c:pt>
                <c:pt idx="42">
                  <c:v>208.32386777264207</c:v>
                </c:pt>
                <c:pt idx="43">
                  <c:v>215.39584283593408</c:v>
                </c:pt>
                <c:pt idx="44">
                  <c:v>222.46247518327695</c:v>
                </c:pt>
                <c:pt idx="45">
                  <c:v>229.52395871325157</c:v>
                </c:pt>
                <c:pt idx="46">
                  <c:v>236.58047440215805</c:v>
                </c:pt>
                <c:pt idx="47">
                  <c:v>243.63219153359822</c:v>
                </c:pt>
                <c:pt idx="48">
                  <c:v>250.67926877807722</c:v>
                </c:pt>
                <c:pt idx="49">
                  <c:v>257.72185514470988</c:v>
                </c:pt>
                <c:pt idx="50">
                  <c:v>264.76009082333889</c:v>
                </c:pt>
                <c:pt idx="51">
                  <c:v>272.79863050588671</c:v>
                </c:pt>
                <c:pt idx="52">
                  <c:v>280.83184541341694</c:v>
                </c:pt>
                <c:pt idx="53">
                  <c:v>288.85990949975201</c:v>
                </c:pt>
                <c:pt idx="54">
                  <c:v>296.88298625047742</c:v>
                </c:pt>
                <c:pt idx="55">
                  <c:v>304.90122958502047</c:v>
                </c:pt>
                <c:pt idx="56">
                  <c:v>312.91478465880101</c:v>
                </c:pt>
                <c:pt idx="57">
                  <c:v>320.9237885788545</c:v>
                </c:pt>
                <c:pt idx="58">
                  <c:v>328.92837104423444</c:v>
                </c:pt>
                <c:pt idx="59">
                  <c:v>336.92865492077652</c:v>
                </c:pt>
                <c:pt idx="60">
                  <c:v>344.92475675838381</c:v>
                </c:pt>
                <c:pt idx="61">
                  <c:v>285.34825454721067</c:v>
                </c:pt>
                <c:pt idx="62">
                  <c:v>292.8720614577478</c:v>
                </c:pt>
                <c:pt idx="63">
                  <c:v>300.39155369431421</c:v>
                </c:pt>
                <c:pt idx="64">
                  <c:v>307.90685461043864</c:v>
                </c:pt>
                <c:pt idx="65">
                  <c:v>315.41808104045475</c:v>
                </c:pt>
                <c:pt idx="66">
                  <c:v>322.92534379451826</c:v>
                </c:pt>
                <c:pt idx="67">
                  <c:v>330.4287481051519</c:v>
                </c:pt>
                <c:pt idx="68">
                  <c:v>337.92839403108081</c:v>
                </c:pt>
                <c:pt idx="69">
                  <c:v>345.42437682332138</c:v>
                </c:pt>
                <c:pt idx="70">
                  <c:v>352.9167872578102</c:v>
                </c:pt>
                <c:pt idx="71">
                  <c:v>291.56824760988326</c:v>
                </c:pt>
                <c:pt idx="72">
                  <c:v>299.28895999218292</c:v>
                </c:pt>
                <c:pt idx="73">
                  <c:v>307.00523587874881</c:v>
                </c:pt>
                <c:pt idx="74">
                  <c:v>314.71720261424775</c:v>
                </c:pt>
                <c:pt idx="75">
                  <c:v>322.42498078691864</c:v>
                </c:pt>
                <c:pt idx="76">
                  <c:v>330.12868474355952</c:v>
                </c:pt>
                <c:pt idx="77">
                  <c:v>337.82842305389983</c:v>
                </c:pt>
                <c:pt idx="78">
                  <c:v>345.52429893039567</c:v>
                </c:pt>
                <c:pt idx="79">
                  <c:v>353.21641060864749</c:v>
                </c:pt>
                <c:pt idx="80">
                  <c:v>360.90485169292765</c:v>
                </c:pt>
                <c:pt idx="81">
                  <c:v>298.18627576151783</c:v>
                </c:pt>
                <c:pt idx="82">
                  <c:v>306.50431116158171</c:v>
                </c:pt>
                <c:pt idx="83">
                  <c:v>314.81733022074974</c:v>
                </c:pt>
                <c:pt idx="84">
                  <c:v>323.12548419477213</c:v>
                </c:pt>
                <c:pt idx="85">
                  <c:v>331.42891591987274</c:v>
                </c:pt>
                <c:pt idx="86">
                  <c:v>339.72776048524321</c:v>
                </c:pt>
                <c:pt idx="87">
                  <c:v>348.02214583635424</c:v>
                </c:pt>
                <c:pt idx="88">
                  <c:v>356.31219331771285</c:v>
                </c:pt>
                <c:pt idx="89">
                  <c:v>364.59801816244266</c:v>
                </c:pt>
                <c:pt idx="90">
                  <c:v>372.87972993501268</c:v>
                </c:pt>
                <c:pt idx="91">
                  <c:v>308.20738114119689</c:v>
                </c:pt>
                <c:pt idx="92">
                  <c:v>316.51939170560036</c:v>
                </c:pt>
                <c:pt idx="93">
                  <c:v>324.82656710302007</c:v>
                </c:pt>
                <c:pt idx="94">
                  <c:v>333.1290485305754</c:v>
                </c:pt>
                <c:pt idx="95">
                  <c:v>341.42696956725422</c:v>
                </c:pt>
                <c:pt idx="96">
                  <c:v>349.7204567641636</c:v>
                </c:pt>
                <c:pt idx="97">
                  <c:v>358.00963017583189</c:v>
                </c:pt>
                <c:pt idx="98">
                  <c:v>366.29460383970871</c:v>
                </c:pt>
                <c:pt idx="99">
                  <c:v>374.57548620999506</c:v>
                </c:pt>
                <c:pt idx="100">
                  <c:v>382.85238055108965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3.0390461285480193</c:v>
                </c:pt>
                <c:pt idx="2">
                  <c:v>3.5820082011770853</c:v>
                </c:pt>
                <c:pt idx="3">
                  <c:v>4.2223305446090311</c:v>
                </c:pt>
                <c:pt idx="4">
                  <c:v>4.9775309648326838</c:v>
                </c:pt>
                <c:pt idx="5">
                  <c:v>5.868289290782422</c:v>
                </c:pt>
                <c:pt idx="6">
                  <c:v>6.919019824455714</c:v>
                </c:pt>
                <c:pt idx="7">
                  <c:v>8.1585477106915896</c:v>
                </c:pt>
                <c:pt idx="8">
                  <c:v>9.6209081390309201</c:v>
                </c:pt>
                <c:pt idx="9">
                  <c:v>11.346290739854856</c:v>
                </c:pt>
                <c:pt idx="10">
                  <c:v>13.382155617350314</c:v>
                </c:pt>
                <c:pt idx="11">
                  <c:v>15.784552288259455</c:v>
                </c:pt>
                <c:pt idx="12">
                  <c:v>18.619678504496793</c:v>
                </c:pt>
                <c:pt idx="13">
                  <c:v>21.965722691301057</c:v>
                </c:pt>
                <c:pt idx="14">
                  <c:v>25.915041722051782</c:v>
                </c:pt>
                <c:pt idx="15">
                  <c:v>30.576735202784167</c:v>
                </c:pt>
                <c:pt idx="16">
                  <c:v>36.079688621942118</c:v>
                </c:pt>
                <c:pt idx="17">
                  <c:v>42.576170951428125</c:v>
                </c:pt>
                <c:pt idx="18">
                  <c:v>50.246087939256903</c:v>
                </c:pt>
                <c:pt idx="19">
                  <c:v>59.302010856844014</c:v>
                </c:pt>
                <c:pt idx="20">
                  <c:v>69.995122381643057</c:v>
                </c:pt>
                <c:pt idx="21">
                  <c:v>82.62224723173459</c:v>
                </c:pt>
                <c:pt idx="22">
                  <c:v>97.534165860904935</c:v>
                </c:pt>
                <c:pt idx="23">
                  <c:v>115.14544584424293</c:v>
                </c:pt>
                <c:pt idx="24">
                  <c:v>135.94606856949596</c:v>
                </c:pt>
                <c:pt idx="25">
                  <c:v>160.51517972277688</c:v>
                </c:pt>
                <c:pt idx="26">
                  <c:v>158.31162856255909</c:v>
                </c:pt>
                <c:pt idx="27">
                  <c:v>173.72181380960993</c:v>
                </c:pt>
                <c:pt idx="28">
                  <c:v>189.09987078266829</c:v>
                </c:pt>
                <c:pt idx="29">
                  <c:v>204.4487812295192</c:v>
                </c:pt>
                <c:pt idx="30">
                  <c:v>219.7710421086791</c:v>
                </c:pt>
                <c:pt idx="31">
                  <c:v>190.85545638141195</c:v>
                </c:pt>
                <c:pt idx="32">
                  <c:v>207.95327986760662</c:v>
                </c:pt>
                <c:pt idx="33">
                  <c:v>225.01864445582441</c:v>
                </c:pt>
                <c:pt idx="34">
                  <c:v>242.05435856211645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277.35142797945286</c:v>
                </c:pt>
                <c:pt idx="42">
                  <c:v>295.61299167711019</c:v>
                </c:pt>
                <c:pt idx="43">
                  <c:v>313.84940040812506</c:v>
                </c:pt>
                <c:pt idx="44">
                  <c:v>332.06232108561716</c:v>
                </c:pt>
                <c:pt idx="45">
                  <c:v>350.25322285655176</c:v>
                </c:pt>
                <c:pt idx="46">
                  <c:v>322.95870071836066</c:v>
                </c:pt>
                <c:pt idx="47">
                  <c:v>341.16043929184929</c:v>
                </c:pt>
                <c:pt idx="48">
                  <c:v>359.34082988600289</c:v>
                </c:pt>
                <c:pt idx="49">
                  <c:v>377.50110417225511</c:v>
                </c:pt>
                <c:pt idx="50">
                  <c:v>395.64236567985591</c:v>
                </c:pt>
                <c:pt idx="51">
                  <c:v>367.55861487745005</c:v>
                </c:pt>
                <c:pt idx="52">
                  <c:v>384.84622774857991</c:v>
                </c:pt>
                <c:pt idx="53">
                  <c:v>402.11697226951833</c:v>
                </c:pt>
                <c:pt idx="54">
                  <c:v>419.3716746420655</c:v>
                </c:pt>
                <c:pt idx="55">
                  <c:v>436.61108755732999</c:v>
                </c:pt>
                <c:pt idx="56">
                  <c:v>407.29503182673926</c:v>
                </c:pt>
                <c:pt idx="57">
                  <c:v>423.25185013219863</c:v>
                </c:pt>
                <c:pt idx="58">
                  <c:v>439.19572410876793</c:v>
                </c:pt>
                <c:pt idx="59">
                  <c:v>455.12718968444216</c:v>
                </c:pt>
                <c:pt idx="60">
                  <c:v>471.04674221919907</c:v>
                </c:pt>
                <c:pt idx="61">
                  <c:v>441.34933861906433</c:v>
                </c:pt>
                <c:pt idx="62">
                  <c:v>456.84878825602203</c:v>
                </c:pt>
                <c:pt idx="63">
                  <c:v>472.33700882458038</c:v>
                </c:pt>
                <c:pt idx="64">
                  <c:v>487.81442026172436</c:v>
                </c:pt>
                <c:pt idx="65">
                  <c:v>503.28141369303734</c:v>
                </c:pt>
                <c:pt idx="66">
                  <c:v>472.76708100439265</c:v>
                </c:pt>
                <c:pt idx="67">
                  <c:v>487.38463458913157</c:v>
                </c:pt>
                <c:pt idx="68">
                  <c:v>501.99288641186803</c:v>
                </c:pt>
                <c:pt idx="69">
                  <c:v>516.59214520035437</c:v>
                </c:pt>
                <c:pt idx="70">
                  <c:v>531.18270081556841</c:v>
                </c:pt>
                <c:pt idx="71">
                  <c:v>499.84518527975473</c:v>
                </c:pt>
                <c:pt idx="72">
                  <c:v>513.58713617235435</c:v>
                </c:pt>
                <c:pt idx="73">
                  <c:v>527.32132625656061</c:v>
                </c:pt>
                <c:pt idx="74">
                  <c:v>541.04798608205112</c:v>
                </c:pt>
                <c:pt idx="75">
                  <c:v>554.76733354996077</c:v>
                </c:pt>
                <c:pt idx="76">
                  <c:v>522.60105914818303</c:v>
                </c:pt>
                <c:pt idx="77">
                  <c:v>535.47242448427448</c:v>
                </c:pt>
                <c:pt idx="78">
                  <c:v>548.33728653000833</c:v>
                </c:pt>
                <c:pt idx="79">
                  <c:v>561.19581932256801</c:v>
                </c:pt>
                <c:pt idx="80">
                  <c:v>574.04818827573672</c:v>
                </c:pt>
                <c:pt idx="81">
                  <c:v>541.04798608205112</c:v>
                </c:pt>
                <c:pt idx="82">
                  <c:v>553.05280785462708</c:v>
                </c:pt>
                <c:pt idx="83">
                  <c:v>565.052169900031</c:v>
                </c:pt>
                <c:pt idx="84">
                  <c:v>577.04620447443301</c:v>
                </c:pt>
                <c:pt idx="85">
                  <c:v>589.03503788906949</c:v>
                </c:pt>
                <c:pt idx="86">
                  <c:v>555.6245547409618</c:v>
                </c:pt>
                <c:pt idx="87">
                  <c:v>567.19434879973335</c:v>
                </c:pt>
                <c:pt idx="88">
                  <c:v>578.75921052572869</c:v>
                </c:pt>
                <c:pt idx="89">
                  <c:v>590.31925234777327</c:v>
                </c:pt>
                <c:pt idx="90">
                  <c:v>601.87458193334146</c:v>
                </c:pt>
                <c:pt idx="91">
                  <c:v>567.622764260351</c:v>
                </c:pt>
                <c:pt idx="92">
                  <c:v>578.33096894357823</c:v>
                </c:pt>
                <c:pt idx="93">
                  <c:v>589.03503788906926</c:v>
                </c:pt>
                <c:pt idx="94">
                  <c:v>599.73505683441124</c:v>
                </c:pt>
                <c:pt idx="95">
                  <c:v>610.43110820893185</c:v>
                </c:pt>
                <c:pt idx="96">
                  <c:v>575.76138030334971</c:v>
                </c:pt>
                <c:pt idx="97">
                  <c:v>586.03831044894594</c:v>
                </c:pt>
                <c:pt idx="98">
                  <c:v>596.31148632519512</c:v>
                </c:pt>
                <c:pt idx="99">
                  <c:v>606.58098171901804</c:v>
                </c:pt>
                <c:pt idx="100">
                  <c:v>616.84686771553993</c:v>
                </c:pt>
                <c:pt idx="101">
                  <c:v>581.32852138015028</c:v>
                </c:pt>
                <c:pt idx="102">
                  <c:v>590.74731089993566</c:v>
                </c:pt>
                <c:pt idx="103">
                  <c:v>600.16297452894207</c:v>
                </c:pt>
                <c:pt idx="104">
                  <c:v>609.57556821855781</c:v>
                </c:pt>
                <c:pt idx="105">
                  <c:v>618.98514605149205</c:v>
                </c:pt>
                <c:pt idx="106">
                  <c:v>584.7539010360191</c:v>
                </c:pt>
                <c:pt idx="107">
                  <c:v>593.3155267791268</c:v>
                </c:pt>
                <c:pt idx="108">
                  <c:v>601.87458193334135</c:v>
                </c:pt>
                <c:pt idx="109">
                  <c:v>610.43110820893173</c:v>
                </c:pt>
                <c:pt idx="110">
                  <c:v>618.98514605149205</c:v>
                </c:pt>
                <c:pt idx="111">
                  <c:v>586.46643387782888</c:v>
                </c:pt>
                <c:pt idx="112">
                  <c:v>594.59954789333995</c:v>
                </c:pt>
                <c:pt idx="113">
                  <c:v>602.73034768336277</c:v>
                </c:pt>
                <c:pt idx="114">
                  <c:v>610.85886887038066</c:v>
                </c:pt>
                <c:pt idx="115">
                  <c:v>618.98514605149205</c:v>
                </c:pt>
                <c:pt idx="116">
                  <c:v>588.17886252774224</c:v>
                </c:pt>
                <c:pt idx="117">
                  <c:v>595.88351131434945</c:v>
                </c:pt>
                <c:pt idx="118">
                  <c:v>603.58608818664197</c:v>
                </c:pt>
                <c:pt idx="119">
                  <c:v>611.28662331597286</c:v>
                </c:pt>
                <c:pt idx="120">
                  <c:v>618.98514605149228</c:v>
                </c:pt>
                <c:pt idx="121">
                  <c:v>4.5461092908206203E-12</c:v>
                </c:pt>
                <c:pt idx="122">
                  <c:v>4.5461092908206203E-12</c:v>
                </c:pt>
                <c:pt idx="123">
                  <c:v>4.5461092908206203E-12</c:v>
                </c:pt>
                <c:pt idx="124">
                  <c:v>4.5461092908206203E-12</c:v>
                </c:pt>
                <c:pt idx="125">
                  <c:v>4.5461092908206203E-12</c:v>
                </c:pt>
                <c:pt idx="126">
                  <c:v>4.5461092908206203E-12</c:v>
                </c:pt>
                <c:pt idx="127">
                  <c:v>4.5461092908206203E-12</c:v>
                </c:pt>
                <c:pt idx="128">
                  <c:v>4.5461092908206203E-12</c:v>
                </c:pt>
                <c:pt idx="129">
                  <c:v>4.5461092908206203E-12</c:v>
                </c:pt>
                <c:pt idx="130">
                  <c:v>4.5461092908206203E-12</c:v>
                </c:pt>
                <c:pt idx="131">
                  <c:v>4.5461092908206203E-12</c:v>
                </c:pt>
                <c:pt idx="132">
                  <c:v>4.5461092908206203E-12</c:v>
                </c:pt>
                <c:pt idx="133">
                  <c:v>4.5461092908206203E-12</c:v>
                </c:pt>
                <c:pt idx="134">
                  <c:v>4.5461092908206203E-12</c:v>
                </c:pt>
                <c:pt idx="135">
                  <c:v>4.5461092908206203E-12</c:v>
                </c:pt>
                <c:pt idx="136">
                  <c:v>4.5461092908206203E-12</c:v>
                </c:pt>
                <c:pt idx="137">
                  <c:v>4.5461092908206203E-12</c:v>
                </c:pt>
                <c:pt idx="138">
                  <c:v>4.5461092908206203E-12</c:v>
                </c:pt>
                <c:pt idx="139">
                  <c:v>4.5461092908206203E-12</c:v>
                </c:pt>
                <c:pt idx="140">
                  <c:v>4.5461092908206203E-12</c:v>
                </c:pt>
                <c:pt idx="141">
                  <c:v>4.5461092908206203E-12</c:v>
                </c:pt>
                <c:pt idx="142">
                  <c:v>4.5461092908206203E-12</c:v>
                </c:pt>
                <c:pt idx="143">
                  <c:v>4.5461092908206203E-12</c:v>
                </c:pt>
                <c:pt idx="144">
                  <c:v>4.5461092908206203E-12</c:v>
                </c:pt>
                <c:pt idx="145">
                  <c:v>4.5461092908206203E-12</c:v>
                </c:pt>
                <c:pt idx="146">
                  <c:v>4.5461092908206203E-12</c:v>
                </c:pt>
                <c:pt idx="147">
                  <c:v>4.5461092908206203E-12</c:v>
                </c:pt>
                <c:pt idx="148">
                  <c:v>4.5461092908206203E-12</c:v>
                </c:pt>
                <c:pt idx="149">
                  <c:v>4.5461092908206203E-12</c:v>
                </c:pt>
                <c:pt idx="150">
                  <c:v>4.5461092908206203E-12</c:v>
                </c:pt>
                <c:pt idx="151">
                  <c:v>4.5461092908206203E-12</c:v>
                </c:pt>
                <c:pt idx="152">
                  <c:v>4.5461092908206203E-12</c:v>
                </c:pt>
                <c:pt idx="153">
                  <c:v>4.5461092908206203E-12</c:v>
                </c:pt>
                <c:pt idx="154">
                  <c:v>4.5461092908206203E-12</c:v>
                </c:pt>
                <c:pt idx="155">
                  <c:v>4.5461092908206203E-12</c:v>
                </c:pt>
                <c:pt idx="156">
                  <c:v>4.5461092908206203E-12</c:v>
                </c:pt>
                <c:pt idx="157">
                  <c:v>4.5461092908206203E-12</c:v>
                </c:pt>
                <c:pt idx="158">
                  <c:v>4.5461092908206203E-12</c:v>
                </c:pt>
                <c:pt idx="159">
                  <c:v>4.5461092908206203E-12</c:v>
                </c:pt>
                <c:pt idx="160">
                  <c:v>4.5461092908206203E-12</c:v>
                </c:pt>
                <c:pt idx="161">
                  <c:v>4.5461092908206203E-12</c:v>
                </c:pt>
                <c:pt idx="162">
                  <c:v>4.5461092908206203E-12</c:v>
                </c:pt>
                <c:pt idx="163">
                  <c:v>4.5461092908206203E-12</c:v>
                </c:pt>
                <c:pt idx="164">
                  <c:v>4.5461092908206203E-12</c:v>
                </c:pt>
                <c:pt idx="165">
                  <c:v>4.5461092908206203E-12</c:v>
                </c:pt>
                <c:pt idx="166">
                  <c:v>4.5461092908206203E-12</c:v>
                </c:pt>
                <c:pt idx="167">
                  <c:v>4.5461092908206203E-12</c:v>
                </c:pt>
                <c:pt idx="168">
                  <c:v>4.5461092908206203E-12</c:v>
                </c:pt>
                <c:pt idx="169">
                  <c:v>4.5461092908206203E-12</c:v>
                </c:pt>
                <c:pt idx="170">
                  <c:v>4.5461092908206203E-12</c:v>
                </c:pt>
                <c:pt idx="171">
                  <c:v>4.5461092908206203E-12</c:v>
                </c:pt>
                <c:pt idx="172">
                  <c:v>4.5461092908206203E-12</c:v>
                </c:pt>
                <c:pt idx="173">
                  <c:v>4.5461092908206203E-12</c:v>
                </c:pt>
                <c:pt idx="174">
                  <c:v>4.5461092908206203E-12</c:v>
                </c:pt>
                <c:pt idx="175">
                  <c:v>4.5461092908206203E-12</c:v>
                </c:pt>
                <c:pt idx="176">
                  <c:v>4.5461092908206203E-12</c:v>
                </c:pt>
                <c:pt idx="177">
                  <c:v>4.5461092908206203E-12</c:v>
                </c:pt>
                <c:pt idx="178">
                  <c:v>4.5461092908206203E-12</c:v>
                </c:pt>
                <c:pt idx="179">
                  <c:v>4.5461092908206203E-12</c:v>
                </c:pt>
                <c:pt idx="180">
                  <c:v>4.5461092908206203E-12</c:v>
                </c:pt>
                <c:pt idx="181">
                  <c:v>4.5461092908206203E-12</c:v>
                </c:pt>
                <c:pt idx="182">
                  <c:v>4.5461092908206203E-12</c:v>
                </c:pt>
                <c:pt idx="183">
                  <c:v>4.5461092908206203E-12</c:v>
                </c:pt>
                <c:pt idx="184">
                  <c:v>4.5461092908206203E-12</c:v>
                </c:pt>
                <c:pt idx="185">
                  <c:v>4.5461092908206203E-12</c:v>
                </c:pt>
                <c:pt idx="186">
                  <c:v>4.5461092908206203E-12</c:v>
                </c:pt>
                <c:pt idx="187">
                  <c:v>4.5461092908206203E-12</c:v>
                </c:pt>
                <c:pt idx="188">
                  <c:v>4.5461092908206203E-12</c:v>
                </c:pt>
                <c:pt idx="189">
                  <c:v>4.5461092908206203E-12</c:v>
                </c:pt>
                <c:pt idx="190">
                  <c:v>4.5461092908206203E-12</c:v>
                </c:pt>
                <c:pt idx="191">
                  <c:v>4.5461092908206203E-12</c:v>
                </c:pt>
                <c:pt idx="192">
                  <c:v>4.5461092908206203E-12</c:v>
                </c:pt>
                <c:pt idx="193">
                  <c:v>4.5461092908206203E-12</c:v>
                </c:pt>
                <c:pt idx="194">
                  <c:v>4.5461092908206203E-12</c:v>
                </c:pt>
                <c:pt idx="195">
                  <c:v>4.5461092908206203E-12</c:v>
                </c:pt>
                <c:pt idx="196">
                  <c:v>4.5461092908206203E-12</c:v>
                </c:pt>
                <c:pt idx="197">
                  <c:v>4.5461092908206203E-12</c:v>
                </c:pt>
                <c:pt idx="198">
                  <c:v>4.5461092908206203E-12</c:v>
                </c:pt>
                <c:pt idx="199">
                  <c:v>4.5461092908206203E-12</c:v>
                </c:pt>
                <c:pt idx="200">
                  <c:v>4.5461092908206203E-12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9" zoomScale="115" zoomScaleNormal="115" workbookViewId="0">
      <selection activeCell="D50" sqref="D50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D16" sqref="D1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12.24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0.54500000000000004</v>
      </c>
      <c r="D9" s="36">
        <f t="shared" ref="D9:D18" si="0">C9*$C$5</f>
        <v>6.6708000000000007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</v>
      </c>
      <c r="C10" s="35">
        <v>4.65E-2</v>
      </c>
      <c r="D10" s="36">
        <f t="shared" si="0"/>
        <v>0.56916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164</v>
      </c>
      <c r="C11" s="35">
        <v>0.30630000000000002</v>
      </c>
      <c r="D11" s="36">
        <f t="shared" si="0"/>
        <v>3.7491120000000002</v>
      </c>
      <c r="E11" s="37">
        <v>100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12</v>
      </c>
      <c r="C12" s="35">
        <v>0.1021</v>
      </c>
      <c r="D12" s="36">
        <f t="shared" si="0"/>
        <v>1.2497039999999999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0.99990000000000001</v>
      </c>
      <c r="D19" s="41">
        <f>SUM(D9:D18)</f>
        <v>12.238776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71</v>
      </c>
      <c r="C36" s="63">
        <v>1</v>
      </c>
      <c r="D36" s="63">
        <v>8</v>
      </c>
      <c r="E36" s="54"/>
      <c r="F36" s="54"/>
      <c r="G36" s="54"/>
      <c r="H36" s="54">
        <v>1</v>
      </c>
      <c r="I36" s="52">
        <f>IFERROR(B36/A36,"")</f>
        <v>2.84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98</v>
      </c>
      <c r="C37" s="63">
        <v>2</v>
      </c>
      <c r="D37" s="63">
        <v>21</v>
      </c>
      <c r="E37" s="54"/>
      <c r="F37" s="54">
        <v>0.3</v>
      </c>
      <c r="G37" s="54">
        <v>0.7</v>
      </c>
      <c r="H37" s="54"/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179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198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253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262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283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4.4000000000000004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283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283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283</v>
      </c>
      <c r="C55" s="53">
        <v>20</v>
      </c>
      <c r="D55" s="53">
        <v>283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pédonculé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71</v>
      </c>
      <c r="C62" s="63">
        <v>1</v>
      </c>
      <c r="D62" s="63">
        <v>8</v>
      </c>
      <c r="E62" s="54"/>
      <c r="F62" s="54"/>
      <c r="G62" s="54"/>
      <c r="H62" s="54">
        <v>1</v>
      </c>
      <c r="I62" s="56">
        <f>IFERROR(B62/A62,"")</f>
        <v>2.84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98</v>
      </c>
      <c r="C63" s="63">
        <v>2</v>
      </c>
      <c r="D63" s="63">
        <v>21</v>
      </c>
      <c r="E63" s="54"/>
      <c r="F63" s="54">
        <v>0.3</v>
      </c>
      <c r="G63" s="54">
        <v>0.7</v>
      </c>
      <c r="H63" s="54"/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179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214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253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262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269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275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279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282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283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4.4000000000000004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283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283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283</v>
      </c>
      <c r="C81" s="53">
        <v>20</v>
      </c>
      <c r="D81" s="53">
        <v>283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Cèdre de l'Atlas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115</v>
      </c>
      <c r="C88" s="63">
        <v>1</v>
      </c>
      <c r="D88" s="63">
        <v>0</v>
      </c>
      <c r="E88" s="54"/>
      <c r="F88" s="54"/>
      <c r="G88" s="54">
        <v>1</v>
      </c>
      <c r="H88" s="93"/>
      <c r="I88" s="56">
        <f>IFERROR(B88/A88,"")</f>
        <v>5.75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180</v>
      </c>
      <c r="C89" s="63">
        <v>2</v>
      </c>
      <c r="D89" s="63">
        <v>0</v>
      </c>
      <c r="E89" s="54"/>
      <c r="F89" s="54">
        <v>0.2</v>
      </c>
      <c r="G89" s="54">
        <v>0.8</v>
      </c>
      <c r="H89" s="93"/>
      <c r="I89" s="56">
        <f t="shared" ref="I89:I107" si="3">IF(A89&lt;&gt;0,(B89-(B88-D88))/(A89-A88),"")</f>
        <v>6.5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40</v>
      </c>
      <c r="B90" s="63">
        <v>250</v>
      </c>
      <c r="C90" s="63">
        <v>3</v>
      </c>
      <c r="D90" s="63">
        <v>63</v>
      </c>
      <c r="E90" s="93"/>
      <c r="F90" s="93"/>
      <c r="G90" s="93"/>
      <c r="H90" s="93"/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50</v>
      </c>
      <c r="B91" s="63">
        <v>257</v>
      </c>
      <c r="C91" s="63">
        <v>4</v>
      </c>
      <c r="D91" s="63">
        <v>0</v>
      </c>
      <c r="E91" s="93"/>
      <c r="F91" s="93"/>
      <c r="G91" s="93"/>
      <c r="H91" s="93"/>
      <c r="I91" s="56">
        <f t="shared" si="3"/>
        <v>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60</v>
      </c>
      <c r="B92" s="63">
        <v>337</v>
      </c>
      <c r="C92" s="63">
        <v>5</v>
      </c>
      <c r="D92" s="63">
        <v>67</v>
      </c>
      <c r="E92" s="93"/>
      <c r="F92" s="93"/>
      <c r="G92" s="93"/>
      <c r="H92" s="93"/>
      <c r="I92" s="56">
        <f t="shared" si="3"/>
        <v>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70</v>
      </c>
      <c r="B93" s="63">
        <v>345</v>
      </c>
      <c r="C93" s="63">
        <v>6</v>
      </c>
      <c r="D93" s="63">
        <v>69</v>
      </c>
      <c r="E93" s="93"/>
      <c r="F93" s="93"/>
      <c r="G93" s="93"/>
      <c r="H93" s="93"/>
      <c r="I93" s="56">
        <f t="shared" si="3"/>
        <v>7.5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80</v>
      </c>
      <c r="B94" s="63">
        <v>353</v>
      </c>
      <c r="C94" s="63">
        <v>7</v>
      </c>
      <c r="D94" s="63">
        <v>71</v>
      </c>
      <c r="E94" s="93"/>
      <c r="F94" s="93"/>
      <c r="G94" s="93"/>
      <c r="H94" s="93"/>
      <c r="I94" s="56">
        <f t="shared" si="3"/>
        <v>7.7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90</v>
      </c>
      <c r="B95" s="63">
        <v>365</v>
      </c>
      <c r="C95" s="63">
        <v>8</v>
      </c>
      <c r="D95" s="63">
        <v>73</v>
      </c>
      <c r="E95" s="93"/>
      <c r="F95" s="93"/>
      <c r="G95" s="93"/>
      <c r="H95" s="93"/>
      <c r="I95" s="56">
        <f t="shared" si="3"/>
        <v>8.3000000000000007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100</v>
      </c>
      <c r="B96" s="63">
        <v>375</v>
      </c>
      <c r="C96" s="63">
        <v>9</v>
      </c>
      <c r="D96" s="63">
        <v>375</v>
      </c>
      <c r="E96" s="93"/>
      <c r="F96" s="93"/>
      <c r="G96" s="93"/>
      <c r="H96" s="93"/>
      <c r="I96" s="56">
        <f t="shared" si="3"/>
        <v>8.3000000000000007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pubescent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25</v>
      </c>
      <c r="B114" s="63">
        <v>71</v>
      </c>
      <c r="C114" s="53">
        <v>1</v>
      </c>
      <c r="D114" s="63">
        <v>8</v>
      </c>
      <c r="E114" s="54"/>
      <c r="F114" s="54"/>
      <c r="G114" s="54"/>
      <c r="H114" s="54">
        <v>1</v>
      </c>
      <c r="I114" s="56">
        <f>IFERROR(B114/A114,"")</f>
        <v>2.84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3">
        <v>98</v>
      </c>
      <c r="C115" s="53">
        <v>2</v>
      </c>
      <c r="D115" s="63">
        <v>21</v>
      </c>
      <c r="E115" s="54"/>
      <c r="F115" s="54">
        <v>0.3</v>
      </c>
      <c r="G115" s="54">
        <v>0.7</v>
      </c>
      <c r="H115" s="54"/>
      <c r="I115" s="56">
        <f t="shared" ref="I115:I133" si="4">IF(A115&lt;&gt;0,(B115-(B114-D114))/(A115-A114),"")</f>
        <v>7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35</v>
      </c>
      <c r="B116" s="63">
        <v>116</v>
      </c>
      <c r="C116" s="53">
        <v>3</v>
      </c>
      <c r="D116" s="63">
        <v>21</v>
      </c>
      <c r="E116" s="54"/>
      <c r="F116" s="54"/>
      <c r="G116" s="54"/>
      <c r="H116" s="54"/>
      <c r="I116" s="56">
        <f t="shared" si="4"/>
        <v>7.8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40</v>
      </c>
      <c r="B117" s="63">
        <v>137</v>
      </c>
      <c r="C117" s="53">
        <v>4</v>
      </c>
      <c r="D117" s="63">
        <v>21</v>
      </c>
      <c r="E117" s="54"/>
      <c r="F117" s="54"/>
      <c r="G117" s="54"/>
      <c r="H117" s="54"/>
      <c r="I117" s="56">
        <f t="shared" si="4"/>
        <v>8.4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45</v>
      </c>
      <c r="B118" s="63">
        <v>158</v>
      </c>
      <c r="C118" s="53">
        <v>5</v>
      </c>
      <c r="D118" s="63">
        <v>21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50</v>
      </c>
      <c r="B119" s="63">
        <v>179</v>
      </c>
      <c r="C119" s="53">
        <v>6</v>
      </c>
      <c r="D119" s="63">
        <v>21</v>
      </c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55</v>
      </c>
      <c r="B120" s="63">
        <v>198</v>
      </c>
      <c r="C120" s="63">
        <v>7</v>
      </c>
      <c r="D120" s="63">
        <v>21</v>
      </c>
      <c r="E120" s="93"/>
      <c r="F120" s="93"/>
      <c r="G120" s="93"/>
      <c r="H120" s="93"/>
      <c r="I120" s="56">
        <f t="shared" si="4"/>
        <v>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60</v>
      </c>
      <c r="B121" s="63">
        <v>214</v>
      </c>
      <c r="C121" s="63">
        <v>8</v>
      </c>
      <c r="D121" s="63">
        <v>21</v>
      </c>
      <c r="E121" s="93"/>
      <c r="F121" s="93"/>
      <c r="G121" s="93"/>
      <c r="H121" s="93"/>
      <c r="I121" s="56">
        <f t="shared" si="4"/>
        <v>7.4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65</v>
      </c>
      <c r="B122" s="63">
        <v>229</v>
      </c>
      <c r="C122" s="63">
        <v>9</v>
      </c>
      <c r="D122" s="63">
        <v>21</v>
      </c>
      <c r="E122" s="93"/>
      <c r="F122" s="93"/>
      <c r="G122" s="93"/>
      <c r="H122" s="93"/>
      <c r="I122" s="56">
        <f t="shared" si="4"/>
        <v>7.2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70</v>
      </c>
      <c r="B123" s="63">
        <v>242</v>
      </c>
      <c r="C123" s="63">
        <v>10</v>
      </c>
      <c r="D123" s="63">
        <v>21</v>
      </c>
      <c r="E123" s="93"/>
      <c r="F123" s="93"/>
      <c r="G123" s="93"/>
      <c r="H123" s="93"/>
      <c r="I123" s="56">
        <f t="shared" si="4"/>
        <v>6.8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75</v>
      </c>
      <c r="B124" s="63">
        <v>253</v>
      </c>
      <c r="C124" s="63">
        <v>11</v>
      </c>
      <c r="D124" s="63">
        <v>21</v>
      </c>
      <c r="E124" s="93"/>
      <c r="F124" s="93"/>
      <c r="G124" s="93"/>
      <c r="H124" s="93"/>
      <c r="I124" s="56">
        <f t="shared" si="4"/>
        <v>6.4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80</v>
      </c>
      <c r="B125" s="63">
        <v>262</v>
      </c>
      <c r="C125" s="63">
        <v>12</v>
      </c>
      <c r="D125" s="63">
        <v>21</v>
      </c>
      <c r="E125" s="93"/>
      <c r="F125" s="93"/>
      <c r="G125" s="93"/>
      <c r="H125" s="93"/>
      <c r="I125" s="56">
        <f t="shared" si="4"/>
        <v>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85</v>
      </c>
      <c r="B126" s="63">
        <v>269</v>
      </c>
      <c r="C126" s="63">
        <v>13</v>
      </c>
      <c r="D126" s="63">
        <v>21</v>
      </c>
      <c r="E126" s="68"/>
      <c r="F126" s="68"/>
      <c r="G126" s="68"/>
      <c r="H126" s="68"/>
      <c r="I126" s="56">
        <f t="shared" si="4"/>
        <v>5.6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90</v>
      </c>
      <c r="B127" s="63">
        <v>275</v>
      </c>
      <c r="C127" s="63">
        <v>14</v>
      </c>
      <c r="D127" s="63">
        <v>21</v>
      </c>
      <c r="E127" s="68"/>
      <c r="F127" s="68"/>
      <c r="G127" s="68"/>
      <c r="H127" s="68"/>
      <c r="I127" s="56">
        <f t="shared" si="4"/>
        <v>5.4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95</v>
      </c>
      <c r="B128" s="53">
        <v>279</v>
      </c>
      <c r="C128" s="53">
        <v>15</v>
      </c>
      <c r="D128" s="53">
        <v>21</v>
      </c>
      <c r="E128" s="57"/>
      <c r="F128" s="57"/>
      <c r="G128" s="57"/>
      <c r="H128" s="57"/>
      <c r="I128" s="56">
        <f t="shared" si="4"/>
        <v>5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100</v>
      </c>
      <c r="B129" s="53">
        <v>282</v>
      </c>
      <c r="C129" s="53">
        <v>16</v>
      </c>
      <c r="D129" s="53">
        <v>21</v>
      </c>
      <c r="E129" s="57"/>
      <c r="F129" s="57"/>
      <c r="G129" s="57"/>
      <c r="H129" s="57"/>
      <c r="I129" s="56">
        <f t="shared" si="4"/>
        <v>4.8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105</v>
      </c>
      <c r="B130" s="53">
        <v>283</v>
      </c>
      <c r="C130" s="53">
        <v>17</v>
      </c>
      <c r="D130" s="53">
        <v>20</v>
      </c>
      <c r="E130" s="57"/>
      <c r="F130" s="57"/>
      <c r="G130" s="57"/>
      <c r="H130" s="57"/>
      <c r="I130" s="56">
        <f t="shared" si="4"/>
        <v>4.4000000000000004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110</v>
      </c>
      <c r="B131" s="53">
        <v>283</v>
      </c>
      <c r="C131" s="53">
        <v>18</v>
      </c>
      <c r="D131" s="53">
        <v>19</v>
      </c>
      <c r="E131" s="57"/>
      <c r="F131" s="57"/>
      <c r="G131" s="57"/>
      <c r="H131" s="57"/>
      <c r="I131" s="56">
        <f t="shared" si="4"/>
        <v>4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115</v>
      </c>
      <c r="B132" s="53">
        <v>283</v>
      </c>
      <c r="C132" s="53">
        <v>19</v>
      </c>
      <c r="D132" s="53">
        <v>18</v>
      </c>
      <c r="E132" s="57"/>
      <c r="F132" s="57"/>
      <c r="G132" s="57"/>
      <c r="H132" s="57"/>
      <c r="I132" s="56">
        <f t="shared" si="4"/>
        <v>3.8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120</v>
      </c>
      <c r="B133" s="53">
        <v>283</v>
      </c>
      <c r="C133" s="53">
        <v>20</v>
      </c>
      <c r="D133" s="53">
        <v>283</v>
      </c>
      <c r="E133" s="57"/>
      <c r="F133" s="57"/>
      <c r="G133" s="57"/>
      <c r="H133" s="57"/>
      <c r="I133" s="56">
        <f t="shared" si="4"/>
        <v>3.6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7" sqref="G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Chêne sessile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pédonculé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Cèdre de l'Atlas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Chêne pubescent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371.75294069149942</v>
      </c>
      <c r="T3" s="62">
        <f>IF('Données projet'!E9&gt;30,$R$33-$H$33,LOOKUP('Données projet'!$E$9,$A$3:$A$203,R3:R203)-LOOKUP('Données projet'!$E$9,$A$3:$A$203,$H$3:$H$203))</f>
        <v>233.32640143610547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348.84749506659495</v>
      </c>
      <c r="AO3" s="62">
        <f>IF('Données projet'!E10&gt;30,$AM$33-$H$33,LOOKUP('Données projet'!$E$10,$A$3:$A$203,AM3:AM203)-LOOKUP('Données projet'!$E$10,$A$3:$A$203,$H$3:$H$203))</f>
        <v>220.09202639602199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259.74478933784656</v>
      </c>
      <c r="BJ3" s="62">
        <f>IF('Données projet'!E11&gt;30,$BH$33-$H$33,LOOKUP('Données projet'!$E$11,$A$3:$A$203,BH3:BH203)-LOOKUP('Données projet'!$E$11,$A$3:$A$203,$H$3:$H$203))</f>
        <v>223.74038909289646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411.75894069172358</v>
      </c>
      <c r="CE3" s="62">
        <f>IF('Données projet'!E12&gt;30,$CC$33-$H$33,LOOKUP('Données projet'!$E$12,$A$3:$A$203,CC3:CC203)-LOOKUP('Données projet'!$E$12,$A$3:$A$203,$H$3:$H$203))</f>
        <v>256.4377087753457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2.84</v>
      </c>
      <c r="N4" s="14">
        <f>IF('Données projet'!$A$36&gt;35,N3+M4-V3,IF(A4&lt;'Données projet'!$A$36,$K$205^A4,IF(A4='Données projet'!$A$36,'Données projet'!$B$36,N3+M4-V3)))</f>
        <v>1.185906184594963</v>
      </c>
      <c r="O4" s="14">
        <f>N4*VLOOKUP('Données projet'!$B$9,Paramètres!$A$1:$I$89,3,0)*VLOOKUP('Données projet'!$B$9,Paramètres!$A$1:$I$89,5,0)</f>
        <v>1.0730079158215224</v>
      </c>
      <c r="P4" s="14">
        <f>EXP(-1.0587+0.8836*LN(O4)+0.284)</f>
        <v>0.49044782191261621</v>
      </c>
      <c r="Q4" s="22">
        <f t="shared" ref="Q4:Q34" si="2">(O4+P4)*0.475*44/12</f>
        <v>2.7230187432202917</v>
      </c>
      <c r="R4" s="62">
        <f t="shared" si="0"/>
        <v>260.61190763210914</v>
      </c>
      <c r="S4" s="62">
        <f ca="1">AVERAGE(OFFSET($R$3,0,0,'Données projet'!$E$9+1,1))-AVERAGE(OFFSET($H$3,0,0,'Données projet'!$E$9+1,1))</f>
        <v>371.75294069149942</v>
      </c>
      <c r="T4" s="62">
        <f>$T$3</f>
        <v>233.32640143610547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2.84</v>
      </c>
      <c r="AI4" s="14">
        <f>IF('Données projet'!$A$62&gt;35,AI3+AH4-AQ3,IF(A4&lt;'Données projet'!$A$62,$AF$205^A4,IF(A4='Données projet'!$A$62,'Données projet'!$B$62,AI3+AH4-AQ3)))</f>
        <v>1.185906184594963</v>
      </c>
      <c r="AJ4" s="14">
        <f>AI4*VLOOKUP('Données projet'!$B$10,Paramètres!$A$1:$I$89,3,0)*VLOOKUP('Données projet'!$B$10,Paramètres!$A$1:$I$89,5,0)</f>
        <v>0.99900736990279693</v>
      </c>
      <c r="AK4" s="14">
        <f>EXP(-1.0587+0.8836*LN(AJ4)+0.284)</f>
        <v>0.46043779052923922</v>
      </c>
      <c r="AL4" s="22">
        <f t="shared" ref="AL4:AL67" si="4">(AJ4+AK4)*0.475*44/12</f>
        <v>2.5418669877524631</v>
      </c>
      <c r="AM4" s="62">
        <f t="shared" ref="AM4:AM67" si="5">AL4+(AD4+AE4)*44/12</f>
        <v>260.43075587664134</v>
      </c>
      <c r="AN4" s="62">
        <f ca="1">AVERAGE(OFFSET($AM$3,0,0,'Données projet'!$E$10+1,1))-AVERAGE(OFFSET($H$3,0,0,'Données projet'!$E$10+1,1))</f>
        <v>348.84749506659495</v>
      </c>
      <c r="AO4" s="62">
        <f>$AO$3</f>
        <v>220.09202639602199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5.75</v>
      </c>
      <c r="BD4" s="13">
        <f>IF('Données projet'!$A$88&gt;35,BD3+BC4-BL3,IF(A4&lt;'Données projet'!$A$88,$BA$205^A4,IF(A4='Données projet'!$A$88,'Données projet'!$B$88,BD3+BC4-BL3)))</f>
        <v>1.2677537154322802</v>
      </c>
      <c r="BE4" s="14">
        <f>BD4*VLOOKUP('Données projet'!$B$11,Paramètres!$A$1:$I$89,3,0)*VLOOKUP('Données projet'!$B$11,Paramètres!$A$1:$I$89,5,0)</f>
        <v>0.59330873882230706</v>
      </c>
      <c r="BF4" s="14">
        <f>EXP(-1.0587+0.8836*LN(BE4)+0.284)</f>
        <v>0.29055137246158741</v>
      </c>
      <c r="BG4" s="22">
        <f t="shared" ref="BG4:BG67" si="7">(BE4+BF4)*0.475*44/12</f>
        <v>1.5393896938194491</v>
      </c>
      <c r="BH4" s="62">
        <f t="shared" ref="BH4:BH67" si="8">BG4+(AY4+AZ4)*44/12</f>
        <v>259.42827858270829</v>
      </c>
      <c r="BI4" s="62">
        <f ca="1">AVERAGE(OFFSET($BH$3,0,0,'Données projet'!$E$11+1,1))-AVERAGE(OFFSET($H$3,0,0,'Données projet'!$E$11+1,1))</f>
        <v>259.74478933784656</v>
      </c>
      <c r="BJ4" s="62">
        <f>$BJ$3</f>
        <v>223.74038909289646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2.84</v>
      </c>
      <c r="BY4" s="13">
        <f>IF('Données projet'!$A$114&gt;35,BY3+BX4-CG3,IF(A4&lt;'Données projet'!$A$114,$BV$205^A4,IF(A4='Données projet'!$A$114,'Données projet'!$B$114,BY3+BX4-CG3)))</f>
        <v>1.185906184594963</v>
      </c>
      <c r="BZ4" s="14">
        <f>BY4*VLOOKUP('Données projet'!$B$12,Paramètres!$A$1:$I$89,3,0)*VLOOKUP('Données projet'!$B$12,Paramètres!$A$1:$I$89,5,0)</f>
        <v>1.2025088711792926</v>
      </c>
      <c r="CA4" s="14">
        <f>EXP(-1.0587+0.8836*LN(BZ4)+0.284)</f>
        <v>0.54239799688655566</v>
      </c>
      <c r="CB4" s="22">
        <f t="shared" ref="CB4:CB67" si="10">(BZ4+CA4)*0.475*44/12</f>
        <v>3.0390461285480193</v>
      </c>
      <c r="CC4" s="62">
        <f t="shared" ref="CC4:CC67" si="11">CB4+(BT4+BU4)*44/12</f>
        <v>260.92793501743688</v>
      </c>
      <c r="CD4" s="62">
        <f ca="1">AVERAGE(OFFSET($CC$3,0,0,'Données projet'!$E$12+1,1))-AVERAGE(OFFSET($H$3,0,0,'Données projet'!$E$12+1,1))</f>
        <v>411.75894069172358</v>
      </c>
      <c r="CE4" s="62">
        <f>$CE$3</f>
        <v>256.4377087753457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2.84</v>
      </c>
      <c r="N5" s="14">
        <f>IF('Données projet'!$A$36&gt;35,N4+M5-V4,IF(A5&lt;'Données projet'!$A$36,$K$205^A5,IF(A5='Données projet'!$A$36,'Données projet'!$B$36,N4+M5-V4)))</f>
        <v>1.4063734786605824</v>
      </c>
      <c r="O5" s="14">
        <f>N5*VLOOKUP('Données projet'!$B$9,Paramètres!$A$1:$I$89,3,0)*VLOOKUP('Données projet'!$B$9,Paramètres!$A$1:$I$89,5,0)</f>
        <v>1.2724867234920949</v>
      </c>
      <c r="P5" s="14">
        <f t="shared" ref="P5:P68" si="33">EXP(-1.0587+0.8836*LN(O5)+0.284)</f>
        <v>0.570195368340213</v>
      </c>
      <c r="Q5" s="22">
        <f t="shared" si="2"/>
        <v>3.209337976607936</v>
      </c>
      <c r="R5" s="62">
        <f t="shared" si="0"/>
        <v>262.32044908771906</v>
      </c>
      <c r="S5" s="62">
        <f ca="1">AVERAGE(OFFSET($R$3,0,0,'Données projet'!$E$9+1,1))-AVERAGE(OFFSET($H$3,0,0,'Données projet'!$E$9+1,1))</f>
        <v>371.75294069149942</v>
      </c>
      <c r="T5" s="62">
        <f t="shared" ref="T5:T68" si="34">$T$3</f>
        <v>233.32640143610547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2.84</v>
      </c>
      <c r="AI5" s="14">
        <f>IF('Données projet'!$A$62&gt;35,AI4+AH5-AQ4,IF(A5&lt;'Données projet'!$A$62,$AF$205^A5,IF(A5='Données projet'!$A$62,'Données projet'!$B$62,AI4+AH5-AQ4)))</f>
        <v>1.4063734786605824</v>
      </c>
      <c r="AJ5" s="14">
        <f>AI5*VLOOKUP('Données projet'!$B$10,Paramètres!$A$1:$I$89,3,0)*VLOOKUP('Données projet'!$B$10,Paramètres!$A$1:$I$89,5,0)</f>
        <v>1.1847290184236747</v>
      </c>
      <c r="AK5" s="14">
        <f t="shared" ref="AK5:AK68" si="35">EXP(-1.0587+0.8836*LN(AJ5)+0.284)</f>
        <v>0.53530566115012823</v>
      </c>
      <c r="AL5" s="22">
        <f t="shared" si="4"/>
        <v>2.9957270669243736</v>
      </c>
      <c r="AM5" s="62">
        <f t="shared" si="5"/>
        <v>262.1068381780355</v>
      </c>
      <c r="AN5" s="62">
        <f ca="1">AVERAGE(OFFSET($AM$3,0,0,'Données projet'!$E$10+1,1))-AVERAGE(OFFSET($H$3,0,0,'Données projet'!$E$10+1,1))</f>
        <v>348.84749506659495</v>
      </c>
      <c r="AO5" s="62">
        <f t="shared" ref="AO5:AO68" si="36">$AO$3</f>
        <v>220.09202639602199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5.75</v>
      </c>
      <c r="BD5" s="13">
        <f>IF('Données projet'!$A$88&gt;35,BD4+BC5-BL4,IF(A5&lt;'Données projet'!$A$88,$BA$205^A5,IF(A5='Données projet'!$A$88,'Données projet'!$B$88,BD4+BC5-BL4)))</f>
        <v>1.6071994829923508</v>
      </c>
      <c r="BE5" s="14">
        <f>BD5*VLOOKUP('Données projet'!$B$11,Paramètres!$A$1:$I$89,3,0)*VLOOKUP('Données projet'!$B$11,Paramètres!$A$1:$I$89,5,0)</f>
        <v>0.75216935804042018</v>
      </c>
      <c r="BF5" s="14">
        <f t="shared" ref="BF5:BF68" si="37">EXP(-1.0587+0.8836*LN(BE5)+0.284)</f>
        <v>0.35831464735172275</v>
      </c>
      <c r="BG5" s="22">
        <f t="shared" si="7"/>
        <v>1.9340929760579824</v>
      </c>
      <c r="BH5" s="62">
        <f t="shared" si="8"/>
        <v>261.04520408716911</v>
      </c>
      <c r="BI5" s="62">
        <f ca="1">AVERAGE(OFFSET($BH$3,0,0,'Données projet'!$E$11+1,1))-AVERAGE(OFFSET($H$3,0,0,'Données projet'!$E$11+1,1))</f>
        <v>259.74478933784656</v>
      </c>
      <c r="BJ5" s="62">
        <f t="shared" ref="BJ5:BJ68" si="38">$BJ$3</f>
        <v>223.74038909289646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2.84</v>
      </c>
      <c r="BY5" s="13">
        <f>IF('Données projet'!$A$114&gt;35,BY4+BX5-CG4,IF(A5&lt;'Données projet'!$A$114,$BV$205^A5,IF(A5='Données projet'!$A$114,'Données projet'!$B$114,BY4+BX5-CG4)))</f>
        <v>1.4063734786605824</v>
      </c>
      <c r="BZ5" s="14">
        <f>BY5*VLOOKUP('Données projet'!$B$12,Paramètres!$A$1:$I$89,3,0)*VLOOKUP('Données projet'!$B$12,Paramètres!$A$1:$I$89,5,0)</f>
        <v>1.4260627073618306</v>
      </c>
      <c r="CA5" s="14">
        <f t="shared" ref="CA5:CA68" si="39">EXP(-1.0587+0.8836*LN(BZ5)+0.284)</f>
        <v>0.63059271915132864</v>
      </c>
      <c r="CB5" s="22">
        <f t="shared" si="10"/>
        <v>3.5820082011770853</v>
      </c>
      <c r="CC5" s="62">
        <f t="shared" si="11"/>
        <v>262.69311931228822</v>
      </c>
      <c r="CD5" s="62">
        <f ca="1">AVERAGE(OFFSET($CC$3,0,0,'Données projet'!$E$12+1,1))-AVERAGE(OFFSET($H$3,0,0,'Données projet'!$E$12+1,1))</f>
        <v>411.75894069172358</v>
      </c>
      <c r="CE5" s="62">
        <f t="shared" ref="CE5:CE68" si="40">$CE$3</f>
        <v>256.4377087753457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2.84</v>
      </c>
      <c r="N6" s="14">
        <f>IF('Données projet'!$A$36&gt;35,N5+M6-V5,IF(A6&lt;'Données projet'!$A$36,$K$205^A6,IF(A6='Données projet'!$A$36,'Données projet'!$B$36,N5+M6-V5)))</f>
        <v>1.6678270061939169</v>
      </c>
      <c r="O6" s="14">
        <f>N6*VLOOKUP('Données projet'!$B$9,Paramètres!$A$1:$I$89,3,0)*VLOOKUP('Données projet'!$B$9,Paramètres!$A$1:$I$89,5,0)</f>
        <v>1.5090498752042558</v>
      </c>
      <c r="P6" s="14">
        <f t="shared" si="33"/>
        <v>0.66290998461108197</v>
      </c>
      <c r="Q6" s="22">
        <f t="shared" si="2"/>
        <v>3.7828300891783795</v>
      </c>
      <c r="R6" s="62">
        <f t="shared" si="0"/>
        <v>264.1161634225117</v>
      </c>
      <c r="S6" s="62">
        <f ca="1">AVERAGE(OFFSET($R$3,0,0,'Données projet'!$E$9+1,1))-AVERAGE(OFFSET($H$3,0,0,'Données projet'!$E$9+1,1))</f>
        <v>371.75294069149942</v>
      </c>
      <c r="T6" s="62">
        <f t="shared" si="34"/>
        <v>233.32640143610547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2.84</v>
      </c>
      <c r="AI6" s="14">
        <f>IF('Données projet'!$A$62&gt;35,AI5+AH6-AQ5,IF(A6&lt;'Données projet'!$A$62,$AF$205^A6,IF(A6='Données projet'!$A$62,'Données projet'!$B$62,AI5+AH6-AQ5)))</f>
        <v>1.6678270061939169</v>
      </c>
      <c r="AJ6" s="14">
        <f>AI6*VLOOKUP('Données projet'!$B$10,Paramètres!$A$1:$I$89,3,0)*VLOOKUP('Données projet'!$B$10,Paramètres!$A$1:$I$89,5,0)</f>
        <v>1.4049774700177557</v>
      </c>
      <c r="AK6" s="14">
        <f t="shared" si="35"/>
        <v>0.62234715905921922</v>
      </c>
      <c r="AL6" s="22">
        <f t="shared" si="4"/>
        <v>3.5309237289757314</v>
      </c>
      <c r="AM6" s="62">
        <f t="shared" si="5"/>
        <v>263.86425706230904</v>
      </c>
      <c r="AN6" s="62">
        <f ca="1">AVERAGE(OFFSET($AM$3,0,0,'Données projet'!$E$10+1,1))-AVERAGE(OFFSET($H$3,0,0,'Données projet'!$E$10+1,1))</f>
        <v>348.84749506659495</v>
      </c>
      <c r="AO6" s="62">
        <f t="shared" si="36"/>
        <v>220.09202639602199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5.75</v>
      </c>
      <c r="BD6" s="13">
        <f>IF('Données projet'!$A$88&gt;35,BD5+BC6-BL5,IF(A6&lt;'Données projet'!$A$88,$BA$205^A6,IF(A6='Données projet'!$A$88,'Données projet'!$B$88,BD5+BC6-BL5)))</f>
        <v>2.0375331160043926</v>
      </c>
      <c r="BE6" s="14">
        <f>BD6*VLOOKUP('Données projet'!$B$11,Paramètres!$A$1:$I$89,3,0)*VLOOKUP('Données projet'!$B$11,Paramètres!$A$1:$I$89,5,0)</f>
        <v>0.95356549829005577</v>
      </c>
      <c r="BF6" s="14">
        <f t="shared" si="37"/>
        <v>0.44188187933534279</v>
      </c>
      <c r="BG6" s="22">
        <f t="shared" si="7"/>
        <v>2.4304041826975693</v>
      </c>
      <c r="BH6" s="62">
        <f t="shared" si="8"/>
        <v>262.76373751603086</v>
      </c>
      <c r="BI6" s="62">
        <f ca="1">AVERAGE(OFFSET($BH$3,0,0,'Données projet'!$E$11+1,1))-AVERAGE(OFFSET($H$3,0,0,'Données projet'!$E$11+1,1))</f>
        <v>259.74478933784656</v>
      </c>
      <c r="BJ6" s="62">
        <f t="shared" si="38"/>
        <v>223.74038909289646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2.84</v>
      </c>
      <c r="BY6" s="13">
        <f>IF('Données projet'!$A$114&gt;35,BY5+BX6-CG5,IF(A6&lt;'Données projet'!$A$114,$BV$205^A6,IF(A6='Données projet'!$A$114,'Données projet'!$B$114,BY5+BX6-CG5)))</f>
        <v>1.6678270061939169</v>
      </c>
      <c r="BZ6" s="14">
        <f>BY6*VLOOKUP('Données projet'!$B$12,Paramètres!$A$1:$I$89,3,0)*VLOOKUP('Données projet'!$B$12,Paramètres!$A$1:$I$89,5,0)</f>
        <v>1.6911765842806317</v>
      </c>
      <c r="CA6" s="14">
        <f t="shared" si="39"/>
        <v>0.73312803463364506</v>
      </c>
      <c r="CB6" s="22">
        <f t="shared" si="10"/>
        <v>4.2223305446090311</v>
      </c>
      <c r="CC6" s="62">
        <f t="shared" si="11"/>
        <v>264.55566387794232</v>
      </c>
      <c r="CD6" s="62">
        <f ca="1">AVERAGE(OFFSET($CC$3,0,0,'Données projet'!$E$12+1,1))-AVERAGE(OFFSET($H$3,0,0,'Données projet'!$E$12+1,1))</f>
        <v>411.75894069172358</v>
      </c>
      <c r="CE6" s="62">
        <f t="shared" si="40"/>
        <v>256.4377087753457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2.84</v>
      </c>
      <c r="N7" s="14">
        <f>IF('Données projet'!$A$36&gt;35,N6+M7-V6,IF(A7&lt;'Données projet'!$A$36,$K$205^A7,IF(A7='Données projet'!$A$36,'Données projet'!$B$36,N6+M7-V6)))</f>
        <v>1.9778863614798676</v>
      </c>
      <c r="O7" s="14">
        <f>N7*VLOOKUP('Données projet'!$B$9,Paramètres!$A$1:$I$89,3,0)*VLOOKUP('Données projet'!$B$9,Paramètres!$A$1:$I$89,5,0)</f>
        <v>1.7895915798669841</v>
      </c>
      <c r="P7" s="14">
        <f t="shared" si="33"/>
        <v>0.77070013559784434</v>
      </c>
      <c r="Q7" s="22">
        <f t="shared" si="2"/>
        <v>4.459174737767909</v>
      </c>
      <c r="R7" s="62">
        <f t="shared" si="0"/>
        <v>266.01473029332345</v>
      </c>
      <c r="S7" s="62">
        <f ca="1">AVERAGE(OFFSET($R$3,0,0,'Données projet'!$E$9+1,1))-AVERAGE(OFFSET($H$3,0,0,'Données projet'!$E$9+1,1))</f>
        <v>371.75294069149942</v>
      </c>
      <c r="T7" s="62">
        <f t="shared" si="34"/>
        <v>233.32640143610547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2.84</v>
      </c>
      <c r="AI7" s="14">
        <f>IF('Données projet'!$A$62&gt;35,AI6+AH7-AQ6,IF(A7&lt;'Données projet'!$A$62,$AF$205^A7,IF(A7='Données projet'!$A$62,'Données projet'!$B$62,AI6+AH7-AQ6)))</f>
        <v>1.9778863614798676</v>
      </c>
      <c r="AJ7" s="14">
        <f>AI7*VLOOKUP('Données projet'!$B$10,Paramètres!$A$1:$I$89,3,0)*VLOOKUP('Données projet'!$B$10,Paramètres!$A$1:$I$89,5,0)</f>
        <v>1.6661714709106406</v>
      </c>
      <c r="AK7" s="14">
        <f t="shared" si="35"/>
        <v>0.72354173418774481</v>
      </c>
      <c r="AL7" s="22">
        <f t="shared" si="4"/>
        <v>4.1620838322130211</v>
      </c>
      <c r="AM7" s="62">
        <f t="shared" si="5"/>
        <v>265.71763938776854</v>
      </c>
      <c r="AN7" s="62">
        <f ca="1">AVERAGE(OFFSET($AM$3,0,0,'Données projet'!$E$10+1,1))-AVERAGE(OFFSET($H$3,0,0,'Données projet'!$E$10+1,1))</f>
        <v>348.84749506659495</v>
      </c>
      <c r="AO7" s="62">
        <f t="shared" si="36"/>
        <v>220.09202639602199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5.75</v>
      </c>
      <c r="BD7" s="13">
        <f>IF('Données projet'!$A$88&gt;35,BD6+BC7-BL6,IF(A7&lt;'Données projet'!$A$88,$BA$205^A7,IF(A7='Données projet'!$A$88,'Données projet'!$B$88,BD6+BC7-BL6)))</f>
        <v>2.5830901781308797</v>
      </c>
      <c r="BE7" s="14">
        <f>BD7*VLOOKUP('Données projet'!$B$11,Paramètres!$A$1:$I$89,3,0)*VLOOKUP('Données projet'!$B$11,Paramètres!$A$1:$I$89,5,0)</f>
        <v>1.2088862033652517</v>
      </c>
      <c r="BF7" s="14">
        <f t="shared" si="37"/>
        <v>0.54493891535856476</v>
      </c>
      <c r="BG7" s="22">
        <f t="shared" si="7"/>
        <v>3.0545787484439804</v>
      </c>
      <c r="BH7" s="62">
        <f t="shared" si="8"/>
        <v>264.61013430399953</v>
      </c>
      <c r="BI7" s="62">
        <f ca="1">AVERAGE(OFFSET($BH$3,0,0,'Données projet'!$E$11+1,1))-AVERAGE(OFFSET($H$3,0,0,'Données projet'!$E$11+1,1))</f>
        <v>259.74478933784656</v>
      </c>
      <c r="BJ7" s="62">
        <f t="shared" si="38"/>
        <v>223.74038909289646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2.84</v>
      </c>
      <c r="BY7" s="13">
        <f>IF('Données projet'!$A$114&gt;35,BY6+BX7-CG6,IF(A7&lt;'Données projet'!$A$114,$BV$205^A7,IF(A7='Données projet'!$A$114,'Données projet'!$B$114,BY6+BX7-CG6)))</f>
        <v>1.9778863614798676</v>
      </c>
      <c r="BZ7" s="14">
        <f>BY7*VLOOKUP('Données projet'!$B$12,Paramètres!$A$1:$I$89,3,0)*VLOOKUP('Données projet'!$B$12,Paramètres!$A$1:$I$89,5,0)</f>
        <v>2.005576770540586</v>
      </c>
      <c r="CA7" s="14">
        <f t="shared" si="39"/>
        <v>0.85233574515282073</v>
      </c>
      <c r="CB7" s="22">
        <f t="shared" si="10"/>
        <v>4.9775309648326838</v>
      </c>
      <c r="CC7" s="62">
        <f t="shared" si="11"/>
        <v>266.53308652038822</v>
      </c>
      <c r="CD7" s="62">
        <f ca="1">AVERAGE(OFFSET($CC$3,0,0,'Données projet'!$E$12+1,1))-AVERAGE(OFFSET($H$3,0,0,'Données projet'!$E$12+1,1))</f>
        <v>411.75894069172358</v>
      </c>
      <c r="CE7" s="62">
        <f t="shared" si="40"/>
        <v>256.4377087753457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2.84</v>
      </c>
      <c r="N8" s="14">
        <f>IF('Données projet'!$A$36&gt;35,N7+M8-V7,IF(A8&lt;'Données projet'!$A$36,$K$205^A8,IF(A8='Données projet'!$A$36,'Données projet'!$B$36,N7+M8-V7)))</f>
        <v>2.3455876685050034</v>
      </c>
      <c r="O8" s="14">
        <f>N8*VLOOKUP('Données projet'!$B$9,Paramètres!$A$1:$I$89,3,0)*VLOOKUP('Données projet'!$B$9,Paramètres!$A$1:$I$89,5,0)</f>
        <v>2.122287722463327</v>
      </c>
      <c r="P8" s="14">
        <f t="shared" si="33"/>
        <v>0.89601712570223679</v>
      </c>
      <c r="Q8" s="22">
        <f t="shared" si="2"/>
        <v>5.2568809438883566</v>
      </c>
      <c r="R8" s="62">
        <f t="shared" si="0"/>
        <v>268.03465872166612</v>
      </c>
      <c r="S8" s="62">
        <f ca="1">AVERAGE(OFFSET($R$3,0,0,'Données projet'!$E$9+1,1))-AVERAGE(OFFSET($H$3,0,0,'Données projet'!$E$9+1,1))</f>
        <v>371.75294069149942</v>
      </c>
      <c r="T8" s="62">
        <f t="shared" si="34"/>
        <v>233.32640143610547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2.84</v>
      </c>
      <c r="AI8" s="14">
        <f>IF('Données projet'!$A$62&gt;35,AI7+AH8-AQ7,IF(A8&lt;'Données projet'!$A$62,$AF$205^A8,IF(A8='Données projet'!$A$62,'Données projet'!$B$62,AI7+AH8-AQ7)))</f>
        <v>2.3455876685050034</v>
      </c>
      <c r="AJ8" s="14">
        <f>AI8*VLOOKUP('Données projet'!$B$10,Paramètres!$A$1:$I$89,3,0)*VLOOKUP('Données projet'!$B$10,Paramètres!$A$1:$I$89,5,0)</f>
        <v>1.9759230519486151</v>
      </c>
      <c r="AK8" s="14">
        <f t="shared" si="35"/>
        <v>0.84119069797439927</v>
      </c>
      <c r="AL8" s="22">
        <f t="shared" si="4"/>
        <v>4.9064731144492493</v>
      </c>
      <c r="AM8" s="62">
        <f t="shared" si="5"/>
        <v>267.684250892227</v>
      </c>
      <c r="AN8" s="62">
        <f ca="1">AVERAGE(OFFSET($AM$3,0,0,'Données projet'!$E$10+1,1))-AVERAGE(OFFSET($H$3,0,0,'Données projet'!$E$10+1,1))</f>
        <v>348.84749506659495</v>
      </c>
      <c r="AO8" s="62">
        <f t="shared" si="36"/>
        <v>220.09202639602199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5.75</v>
      </c>
      <c r="BD8" s="13">
        <f>IF('Données projet'!$A$88&gt;35,BD7+BC8-BL7,IF(A8&lt;'Données projet'!$A$88,$BA$205^A8,IF(A8='Données projet'!$A$88,'Données projet'!$B$88,BD7+BC8-BL7)))</f>
        <v>3.2747221706220535</v>
      </c>
      <c r="BE8" s="14">
        <f>BD8*VLOOKUP('Données projet'!$B$11,Paramètres!$A$1:$I$89,3,0)*VLOOKUP('Données projet'!$B$11,Paramètres!$A$1:$I$89,5,0)</f>
        <v>1.5325699758511209</v>
      </c>
      <c r="BF8" s="14">
        <f t="shared" si="37"/>
        <v>0.67203122680395833</v>
      </c>
      <c r="BG8" s="22">
        <f t="shared" si="7"/>
        <v>3.839680427957596</v>
      </c>
      <c r="BH8" s="62">
        <f t="shared" si="8"/>
        <v>266.61745820573537</v>
      </c>
      <c r="BI8" s="62">
        <f ca="1">AVERAGE(OFFSET($BH$3,0,0,'Données projet'!$E$11+1,1))-AVERAGE(OFFSET($H$3,0,0,'Données projet'!$E$11+1,1))</f>
        <v>259.74478933784656</v>
      </c>
      <c r="BJ8" s="62">
        <f t="shared" si="38"/>
        <v>223.74038909289646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2.84</v>
      </c>
      <c r="BY8" s="13">
        <f>IF('Données projet'!$A$114&gt;35,BY7+BX8-CG7,IF(A8&lt;'Données projet'!$A$114,$BV$205^A8,IF(A8='Données projet'!$A$114,'Données projet'!$B$114,BY7+BX8-CG7)))</f>
        <v>2.3455876685050034</v>
      </c>
      <c r="BZ8" s="14">
        <f>BY8*VLOOKUP('Données projet'!$B$12,Paramètres!$A$1:$I$89,3,0)*VLOOKUP('Données projet'!$B$12,Paramètres!$A$1:$I$89,5,0)</f>
        <v>2.3784258958640736</v>
      </c>
      <c r="CA8" s="14">
        <f t="shared" si="39"/>
        <v>0.99092680697750823</v>
      </c>
      <c r="CB8" s="22">
        <f t="shared" si="10"/>
        <v>5.868289290782422</v>
      </c>
      <c r="CC8" s="62">
        <f t="shared" si="11"/>
        <v>268.64606706856017</v>
      </c>
      <c r="CD8" s="62">
        <f ca="1">AVERAGE(OFFSET($CC$3,0,0,'Données projet'!$E$12+1,1))-AVERAGE(OFFSET($H$3,0,0,'Données projet'!$E$12+1,1))</f>
        <v>411.75894069172358</v>
      </c>
      <c r="CE8" s="62">
        <f t="shared" si="40"/>
        <v>256.4377087753457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2.84</v>
      </c>
      <c r="N9" s="14">
        <f>IF('Données projet'!$A$36&gt;35,N8+M9-V8,IF(A9&lt;'Données projet'!$A$36,$K$205^A9,IF(A9='Données projet'!$A$36,'Données projet'!$B$36,N8+M9-V8)))</f>
        <v>2.7816469225897635</v>
      </c>
      <c r="O9" s="14">
        <f>N9*VLOOKUP('Données projet'!$B$9,Paramètres!$A$1:$I$89,3,0)*VLOOKUP('Données projet'!$B$9,Paramètres!$A$1:$I$89,5,0)</f>
        <v>2.5168341355592179</v>
      </c>
      <c r="P9" s="14">
        <f t="shared" si="33"/>
        <v>1.0417108450732491</v>
      </c>
      <c r="Q9" s="22">
        <f t="shared" si="2"/>
        <v>6.1977991746015464</v>
      </c>
      <c r="R9" s="62">
        <f t="shared" si="0"/>
        <v>270.19779917460153</v>
      </c>
      <c r="S9" s="62">
        <f ca="1">AVERAGE(OFFSET($R$3,0,0,'Données projet'!$E$9+1,1))-AVERAGE(OFFSET($H$3,0,0,'Données projet'!$E$9+1,1))</f>
        <v>371.75294069149942</v>
      </c>
      <c r="T9" s="62">
        <f t="shared" si="34"/>
        <v>233.32640143610547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2.84</v>
      </c>
      <c r="AI9" s="14">
        <f>IF('Données projet'!$A$62&gt;35,AI8+AH9-AQ8,IF(A9&lt;'Données projet'!$A$62,$AF$205^A9,IF(A9='Données projet'!$A$62,'Données projet'!$B$62,AI8+AH9-AQ8)))</f>
        <v>2.7816469225897635</v>
      </c>
      <c r="AJ9" s="14">
        <f>AI9*VLOOKUP('Données projet'!$B$10,Paramètres!$A$1:$I$89,3,0)*VLOOKUP('Données projet'!$B$10,Paramètres!$A$1:$I$89,5,0)</f>
        <v>2.3432593675896167</v>
      </c>
      <c r="AK9" s="14">
        <f t="shared" si="35"/>
        <v>0.97796955852590595</v>
      </c>
      <c r="AL9" s="22">
        <f t="shared" si="4"/>
        <v>5.7844737129845347</v>
      </c>
      <c r="AM9" s="62">
        <f t="shared" si="5"/>
        <v>269.78447371298455</v>
      </c>
      <c r="AN9" s="62">
        <f ca="1">AVERAGE(OFFSET($AM$3,0,0,'Données projet'!$E$10+1,1))-AVERAGE(OFFSET($H$3,0,0,'Données projet'!$E$10+1,1))</f>
        <v>348.84749506659495</v>
      </c>
      <c r="AO9" s="62">
        <f t="shared" si="36"/>
        <v>220.09202639602199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5.75</v>
      </c>
      <c r="BD9" s="13">
        <f>IF('Données projet'!$A$88&gt;35,BD8+BC9-BL8,IF(A9&lt;'Données projet'!$A$88,$BA$205^A9,IF(A9='Données projet'!$A$88,'Données projet'!$B$88,BD8+BC9-BL8)))</f>
        <v>4.1515411988145692</v>
      </c>
      <c r="BE9" s="14">
        <f>BD9*VLOOKUP('Données projet'!$B$11,Paramètres!$A$1:$I$89,3,0)*VLOOKUP('Données projet'!$B$11,Paramètres!$A$1:$I$89,5,0)</f>
        <v>1.9429212810452183</v>
      </c>
      <c r="BF9" s="14">
        <f t="shared" si="37"/>
        <v>0.82876439371643607</v>
      </c>
      <c r="BG9" s="22">
        <f t="shared" si="7"/>
        <v>4.8273525502098815</v>
      </c>
      <c r="BH9" s="62">
        <f t="shared" si="8"/>
        <v>268.82735255020987</v>
      </c>
      <c r="BI9" s="62">
        <f ca="1">AVERAGE(OFFSET($BH$3,0,0,'Données projet'!$E$11+1,1))-AVERAGE(OFFSET($H$3,0,0,'Données projet'!$E$11+1,1))</f>
        <v>259.74478933784656</v>
      </c>
      <c r="BJ9" s="62">
        <f t="shared" si="38"/>
        <v>223.74038909289646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2.84</v>
      </c>
      <c r="BY9" s="13">
        <f>IF('Données projet'!$A$114&gt;35,BY8+BX9-CG8,IF(A9&lt;'Données projet'!$A$114,$BV$205^A9,IF(A9='Données projet'!$A$114,'Données projet'!$B$114,BY8+BX9-CG8)))</f>
        <v>2.7816469225897635</v>
      </c>
      <c r="BZ9" s="14">
        <f>BY9*VLOOKUP('Données projet'!$B$12,Paramètres!$A$1:$I$89,3,0)*VLOOKUP('Données projet'!$B$12,Paramètres!$A$1:$I$89,5,0)</f>
        <v>2.8205899795060203</v>
      </c>
      <c r="CA9" s="14">
        <f t="shared" si="39"/>
        <v>1.1520529819039591</v>
      </c>
      <c r="CB9" s="22">
        <f t="shared" si="10"/>
        <v>6.919019824455714</v>
      </c>
      <c r="CC9" s="62">
        <f t="shared" si="11"/>
        <v>270.91901982445569</v>
      </c>
      <c r="CD9" s="62">
        <f ca="1">AVERAGE(OFFSET($CC$3,0,0,'Données projet'!$E$12+1,1))-AVERAGE(OFFSET($H$3,0,0,'Données projet'!$E$12+1,1))</f>
        <v>411.75894069172358</v>
      </c>
      <c r="CE9" s="62">
        <f t="shared" si="40"/>
        <v>256.4377087753457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2.84</v>
      </c>
      <c r="N10" s="14">
        <f>IF('Données projet'!$A$36&gt;35,N9+M10-V9,IF(A10&lt;'Données projet'!$A$36,$K$205^A10,IF(A10='Données projet'!$A$36,'Données projet'!$B$36,N9+M10-V9)))</f>
        <v>3.2987722888587467</v>
      </c>
      <c r="O10" s="14">
        <f>N10*VLOOKUP('Données projet'!$B$9,Paramètres!$A$1:$I$89,3,0)*VLOOKUP('Données projet'!$B$9,Paramètres!$A$1:$I$89,5,0)</f>
        <v>2.9847291669593941</v>
      </c>
      <c r="P10" s="14">
        <f t="shared" si="33"/>
        <v>1.2110945802433715</v>
      </c>
      <c r="Q10" s="22">
        <f t="shared" si="2"/>
        <v>7.3077263597114817</v>
      </c>
      <c r="R10" s="62">
        <f t="shared" si="0"/>
        <v>272.5299485819337</v>
      </c>
      <c r="S10" s="62">
        <f ca="1">AVERAGE(OFFSET($R$3,0,0,'Données projet'!$E$9+1,1))-AVERAGE(OFFSET($H$3,0,0,'Données projet'!$E$9+1,1))</f>
        <v>371.75294069149942</v>
      </c>
      <c r="T10" s="62">
        <f t="shared" si="34"/>
        <v>233.32640143610547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2.84</v>
      </c>
      <c r="AI10" s="14">
        <f>IF('Données projet'!$A$62&gt;35,AI9+AH10-AQ9,IF(A10&lt;'Données projet'!$A$62,$AF$205^A10,IF(A10='Données projet'!$A$62,'Données projet'!$B$62,AI9+AH10-AQ9)))</f>
        <v>3.2987722888587467</v>
      </c>
      <c r="AJ10" s="14">
        <f>AI10*VLOOKUP('Données projet'!$B$10,Paramètres!$A$1:$I$89,3,0)*VLOOKUP('Données projet'!$B$10,Paramètres!$A$1:$I$89,5,0)</f>
        <v>2.7788857761346084</v>
      </c>
      <c r="AK10" s="14">
        <f t="shared" si="35"/>
        <v>1.1369888655526514</v>
      </c>
      <c r="AL10" s="22">
        <f t="shared" si="4"/>
        <v>6.8201483342719778</v>
      </c>
      <c r="AM10" s="62">
        <f t="shared" si="5"/>
        <v>272.04237055649423</v>
      </c>
      <c r="AN10" s="62">
        <f ca="1">AVERAGE(OFFSET($AM$3,0,0,'Données projet'!$E$10+1,1))-AVERAGE(OFFSET($H$3,0,0,'Données projet'!$E$10+1,1))</f>
        <v>348.84749506659495</v>
      </c>
      <c r="AO10" s="62">
        <f t="shared" si="36"/>
        <v>220.09202639602199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5.75</v>
      </c>
      <c r="BD10" s="13">
        <f>IF('Données projet'!$A$88&gt;35,BD9+BC10-BL9,IF(A10&lt;'Données projet'!$A$88,$BA$205^A10,IF(A10='Données projet'!$A$88,'Données projet'!$B$88,BD9+BC10-BL9)))</f>
        <v>5.2631317795673525</v>
      </c>
      <c r="BE10" s="14">
        <f>BD10*VLOOKUP('Données projet'!$B$11,Paramètres!$A$1:$I$89,3,0)*VLOOKUP('Données projet'!$B$11,Paramètres!$A$1:$I$89,5,0)</f>
        <v>2.4631456728375212</v>
      </c>
      <c r="BF10" s="14">
        <f t="shared" si="37"/>
        <v>1.0220513465701448</v>
      </c>
      <c r="BG10" s="22">
        <f t="shared" si="7"/>
        <v>6.0700514754683512</v>
      </c>
      <c r="BH10" s="62">
        <f t="shared" si="8"/>
        <v>271.29227369769058</v>
      </c>
      <c r="BI10" s="62">
        <f ca="1">AVERAGE(OFFSET($BH$3,0,0,'Données projet'!$E$11+1,1))-AVERAGE(OFFSET($H$3,0,0,'Données projet'!$E$11+1,1))</f>
        <v>259.74478933784656</v>
      </c>
      <c r="BJ10" s="62">
        <f t="shared" si="38"/>
        <v>223.74038909289646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2.84</v>
      </c>
      <c r="BY10" s="13">
        <f>IF('Données projet'!$A$114&gt;35,BY9+BX10-CG9,IF(A10&lt;'Données projet'!$A$114,$BV$205^A10,IF(A10='Données projet'!$A$114,'Données projet'!$B$114,BY9+BX10-CG9)))</f>
        <v>3.2987722888587467</v>
      </c>
      <c r="BZ10" s="14">
        <f>BY10*VLOOKUP('Données projet'!$B$12,Paramètres!$A$1:$I$89,3,0)*VLOOKUP('Données projet'!$B$12,Paramètres!$A$1:$I$89,5,0)</f>
        <v>3.3449551009027689</v>
      </c>
      <c r="CA10" s="14">
        <f t="shared" si="39"/>
        <v>1.3393785128914457</v>
      </c>
      <c r="CB10" s="22">
        <f t="shared" si="10"/>
        <v>8.1585477106915896</v>
      </c>
      <c r="CC10" s="62">
        <f t="shared" si="11"/>
        <v>273.38076993291384</v>
      </c>
      <c r="CD10" s="62">
        <f ca="1">AVERAGE(OFFSET($CC$3,0,0,'Données projet'!$E$12+1,1))-AVERAGE(OFFSET($H$3,0,0,'Données projet'!$E$12+1,1))</f>
        <v>411.75894069172358</v>
      </c>
      <c r="CE10" s="62">
        <f t="shared" si="40"/>
        <v>256.4377087753457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2.84</v>
      </c>
      <c r="N11" s="14">
        <f>IF('Données projet'!$A$36&gt;35,N10+M11-V10,IF(A11&lt;'Données projet'!$A$36,$K$205^A11,IF(A11='Données projet'!$A$36,'Données projet'!$B$36,N10+M11-V10)))</f>
        <v>3.9120344589280696</v>
      </c>
      <c r="O11" s="14">
        <f>N11*VLOOKUP('Données projet'!$B$9,Paramètres!$A$1:$I$89,3,0)*VLOOKUP('Données projet'!$B$9,Paramètres!$A$1:$I$89,5,0)</f>
        <v>3.5396087784381174</v>
      </c>
      <c r="P11" s="14">
        <f t="shared" si="33"/>
        <v>1.4080203630708406</v>
      </c>
      <c r="Q11" s="22">
        <f t="shared" si="2"/>
        <v>8.6171207547947688</v>
      </c>
      <c r="R11" s="62">
        <f t="shared" si="0"/>
        <v>275.06156519923923</v>
      </c>
      <c r="S11" s="62">
        <f ca="1">AVERAGE(OFFSET($R$3,0,0,'Données projet'!$E$9+1,1))-AVERAGE(OFFSET($H$3,0,0,'Données projet'!$E$9+1,1))</f>
        <v>371.75294069149942</v>
      </c>
      <c r="T11" s="62">
        <f t="shared" si="34"/>
        <v>233.32640143610547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2.84</v>
      </c>
      <c r="AI11" s="14">
        <f>IF('Données projet'!$A$62&gt;35,AI10+AH11-AQ10,IF(A11&lt;'Données projet'!$A$62,$AF$205^A11,IF(A11='Données projet'!$A$62,'Données projet'!$B$62,AI10+AH11-AQ10)))</f>
        <v>3.9120344589280696</v>
      </c>
      <c r="AJ11" s="14">
        <f>AI11*VLOOKUP('Données projet'!$B$10,Paramètres!$A$1:$I$89,3,0)*VLOOKUP('Données projet'!$B$10,Paramètres!$A$1:$I$89,5,0)</f>
        <v>3.2954978282010061</v>
      </c>
      <c r="AK11" s="14">
        <f t="shared" si="35"/>
        <v>1.3218649487814926</v>
      </c>
      <c r="AL11" s="22">
        <f t="shared" si="4"/>
        <v>8.0419068365778514</v>
      </c>
      <c r="AM11" s="62">
        <f t="shared" si="5"/>
        <v>274.48635128102228</v>
      </c>
      <c r="AN11" s="62">
        <f ca="1">AVERAGE(OFFSET($AM$3,0,0,'Données projet'!$E$10+1,1))-AVERAGE(OFFSET($H$3,0,0,'Données projet'!$E$10+1,1))</f>
        <v>348.84749506659495</v>
      </c>
      <c r="AO11" s="62">
        <f t="shared" si="36"/>
        <v>220.09202639602199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5.75</v>
      </c>
      <c r="BD11" s="13">
        <f>IF('Données projet'!$A$88&gt;35,BD10+BC11-BL10,IF(A11&lt;'Données projet'!$A$88,$BA$205^A11,IF(A11='Données projet'!$A$88,'Données projet'!$B$88,BD10+BC11-BL10)))</f>
        <v>6.6723548683562202</v>
      </c>
      <c r="BE11" s="14">
        <f>BD11*VLOOKUP('Données projet'!$B$11,Paramètres!$A$1:$I$89,3,0)*VLOOKUP('Données projet'!$B$11,Paramètres!$A$1:$I$89,5,0)</f>
        <v>3.1226620783907113</v>
      </c>
      <c r="BF11" s="14">
        <f t="shared" si="37"/>
        <v>1.2604172705122936</v>
      </c>
      <c r="BG11" s="22">
        <f t="shared" si="7"/>
        <v>7.6338631993393991</v>
      </c>
      <c r="BH11" s="62">
        <f t="shared" si="8"/>
        <v>274.07830764378383</v>
      </c>
      <c r="BI11" s="62">
        <f ca="1">AVERAGE(OFFSET($BH$3,0,0,'Données projet'!$E$11+1,1))-AVERAGE(OFFSET($H$3,0,0,'Données projet'!$E$11+1,1))</f>
        <v>259.74478933784656</v>
      </c>
      <c r="BJ11" s="62">
        <f t="shared" si="38"/>
        <v>223.74038909289646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2.84</v>
      </c>
      <c r="BY11" s="13">
        <f>IF('Données projet'!$A$114&gt;35,BY10+BX11-CG10,IF(A11&lt;'Données projet'!$A$114,$BV$205^A11,IF(A11='Données projet'!$A$114,'Données projet'!$B$114,BY10+BX11-CG10)))</f>
        <v>3.9120344589280696</v>
      </c>
      <c r="BZ11" s="14">
        <f>BY11*VLOOKUP('Données projet'!$B$12,Paramètres!$A$1:$I$89,3,0)*VLOOKUP('Données projet'!$B$12,Paramètres!$A$1:$I$89,5,0)</f>
        <v>3.9668029413530626</v>
      </c>
      <c r="CA11" s="14">
        <f t="shared" si="39"/>
        <v>1.5571634542627768</v>
      </c>
      <c r="CB11" s="22">
        <f t="shared" si="10"/>
        <v>9.6209081390309201</v>
      </c>
      <c r="CC11" s="62">
        <f t="shared" si="11"/>
        <v>276.06535258347537</v>
      </c>
      <c r="CD11" s="62">
        <f ca="1">AVERAGE(OFFSET($CC$3,0,0,'Données projet'!$E$12+1,1))-AVERAGE(OFFSET($H$3,0,0,'Données projet'!$E$12+1,1))</f>
        <v>411.75894069172358</v>
      </c>
      <c r="CE11" s="62">
        <f t="shared" si="40"/>
        <v>256.4377087753457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2.84</v>
      </c>
      <c r="N12" s="14">
        <f>IF('Données projet'!$A$36&gt;35,N11+M12-V11,IF(A12&lt;'Données projet'!$A$36,$K$205^A12,IF(A12='Données projet'!$A$36,'Données projet'!$B$36,N11+M12-V11)))</f>
        <v>4.6393058591914071</v>
      </c>
      <c r="O12" s="14">
        <f>N12*VLOOKUP('Données projet'!$B$9,Paramètres!$A$1:$I$89,3,0)*VLOOKUP('Données projet'!$B$9,Paramètres!$A$1:$I$89,5,0)</f>
        <v>4.1976439413963851</v>
      </c>
      <c r="P12" s="14">
        <f t="shared" si="33"/>
        <v>1.6369665715321342</v>
      </c>
      <c r="Q12" s="22">
        <f t="shared" si="2"/>
        <v>10.161946643350502</v>
      </c>
      <c r="R12" s="62">
        <f t="shared" si="0"/>
        <v>277.8286133100172</v>
      </c>
      <c r="S12" s="62">
        <f ca="1">AVERAGE(OFFSET($R$3,0,0,'Données projet'!$E$9+1,1))-AVERAGE(OFFSET($H$3,0,0,'Données projet'!$E$9+1,1))</f>
        <v>371.75294069149942</v>
      </c>
      <c r="T12" s="62">
        <f t="shared" si="34"/>
        <v>233.32640143610547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2.84</v>
      </c>
      <c r="AI12" s="14">
        <f>IF('Données projet'!$A$62&gt;35,AI11+AH12-AQ11,IF(A12&lt;'Données projet'!$A$62,$AF$205^A12,IF(A12='Données projet'!$A$62,'Données projet'!$B$62,AI11+AH12-AQ11)))</f>
        <v>4.6393058591914071</v>
      </c>
      <c r="AJ12" s="14">
        <f>AI12*VLOOKUP('Données projet'!$B$10,Paramètres!$A$1:$I$89,3,0)*VLOOKUP('Données projet'!$B$10,Paramètres!$A$1:$I$89,5,0)</f>
        <v>3.9081512557828417</v>
      </c>
      <c r="AK12" s="14">
        <f t="shared" si="35"/>
        <v>1.5368021585398566</v>
      </c>
      <c r="AL12" s="22">
        <f t="shared" si="4"/>
        <v>9.4832938632786998</v>
      </c>
      <c r="AM12" s="62">
        <f t="shared" si="5"/>
        <v>277.14996052994536</v>
      </c>
      <c r="AN12" s="62">
        <f ca="1">AVERAGE(OFFSET($AM$3,0,0,'Données projet'!$E$10+1,1))-AVERAGE(OFFSET($H$3,0,0,'Données projet'!$E$10+1,1))</f>
        <v>348.84749506659495</v>
      </c>
      <c r="AO12" s="62">
        <f t="shared" si="36"/>
        <v>220.09202639602199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5.75</v>
      </c>
      <c r="BD12" s="13">
        <f>IF('Données projet'!$A$88&gt;35,BD11+BC12-BL11,IF(A12&lt;'Données projet'!$A$88,$BA$205^A12,IF(A12='Données projet'!$A$88,'Données projet'!$B$88,BD11+BC12-BL11)))</f>
        <v>8.4589026750412604</v>
      </c>
      <c r="BE12" s="14">
        <f>BD12*VLOOKUP('Données projet'!$B$11,Paramètres!$A$1:$I$89,3,0)*VLOOKUP('Données projet'!$B$11,Paramètres!$A$1:$I$89,5,0)</f>
        <v>3.9587664519193098</v>
      </c>
      <c r="BF12" s="14">
        <f t="shared" si="37"/>
        <v>1.5543756203021926</v>
      </c>
      <c r="BG12" s="22">
        <f t="shared" si="7"/>
        <v>9.6020557757857823</v>
      </c>
      <c r="BH12" s="62">
        <f t="shared" si="8"/>
        <v>277.26872244245249</v>
      </c>
      <c r="BI12" s="62">
        <f ca="1">AVERAGE(OFFSET($BH$3,0,0,'Données projet'!$E$11+1,1))-AVERAGE(OFFSET($H$3,0,0,'Données projet'!$E$11+1,1))</f>
        <v>259.74478933784656</v>
      </c>
      <c r="BJ12" s="62">
        <f t="shared" si="38"/>
        <v>223.74038909289646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2.84</v>
      </c>
      <c r="BY12" s="13">
        <f>IF('Données projet'!$A$114&gt;35,BY11+BX12-CG11,IF(A12&lt;'Données projet'!$A$114,$BV$205^A12,IF(A12='Données projet'!$A$114,'Données projet'!$B$114,BY11+BX12-CG11)))</f>
        <v>4.6393058591914071</v>
      </c>
      <c r="BZ12" s="14">
        <f>BY12*VLOOKUP('Données projet'!$B$12,Paramètres!$A$1:$I$89,3,0)*VLOOKUP('Données projet'!$B$12,Paramètres!$A$1:$I$89,5,0)</f>
        <v>4.7042561412200872</v>
      </c>
      <c r="CA12" s="14">
        <f t="shared" si="39"/>
        <v>1.8103605515195429</v>
      </c>
      <c r="CB12" s="22">
        <f t="shared" si="10"/>
        <v>11.346290739854856</v>
      </c>
      <c r="CC12" s="62">
        <f t="shared" si="11"/>
        <v>279.01295740652154</v>
      </c>
      <c r="CD12" s="62">
        <f ca="1">AVERAGE(OFFSET($CC$3,0,0,'Données projet'!$E$12+1,1))-AVERAGE(OFFSET($H$3,0,0,'Données projet'!$E$12+1,1))</f>
        <v>411.75894069172358</v>
      </c>
      <c r="CE12" s="62">
        <f t="shared" si="40"/>
        <v>256.4377087753457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2.84</v>
      </c>
      <c r="N13" s="14">
        <f>IF('Données projet'!$A$36&gt;35,N12+M13-V12,IF(A13&lt;'Données projet'!$A$36,$K$205^A13,IF(A13='Données projet'!$A$36,'Données projet'!$B$36,N12+M13-V12)))</f>
        <v>5.5017815106427381</v>
      </c>
      <c r="O13" s="14">
        <f>N13*VLOOKUP('Données projet'!$B$9,Paramètres!$A$1:$I$89,3,0)*VLOOKUP('Données projet'!$B$9,Paramètres!$A$1:$I$89,5,0)</f>
        <v>4.9780119108295491</v>
      </c>
      <c r="P13" s="14">
        <f t="shared" si="33"/>
        <v>1.9031397745338225</v>
      </c>
      <c r="Q13" s="22">
        <f t="shared" si="2"/>
        <v>11.984672518674538</v>
      </c>
      <c r="R13" s="62">
        <f t="shared" si="0"/>
        <v>280.87356140756339</v>
      </c>
      <c r="S13" s="62">
        <f ca="1">AVERAGE(OFFSET($R$3,0,0,'Données projet'!$E$9+1,1))-AVERAGE(OFFSET($H$3,0,0,'Données projet'!$E$9+1,1))</f>
        <v>371.75294069149942</v>
      </c>
      <c r="T13" s="62">
        <f t="shared" si="34"/>
        <v>233.32640143610547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2.84</v>
      </c>
      <c r="AI13" s="14">
        <f>IF('Données projet'!$A$62&gt;35,AI12+AH13-AQ12,IF(A13&lt;'Données projet'!$A$62,$AF$205^A13,IF(A13='Données projet'!$A$62,'Données projet'!$B$62,AI12+AH13-AQ12)))</f>
        <v>5.5017815106427381</v>
      </c>
      <c r="AJ13" s="14">
        <f>AI13*VLOOKUP('Données projet'!$B$10,Paramètres!$A$1:$I$89,3,0)*VLOOKUP('Données projet'!$B$10,Paramètres!$A$1:$I$89,5,0)</f>
        <v>4.6347007445654436</v>
      </c>
      <c r="AK13" s="14">
        <f t="shared" si="35"/>
        <v>1.786688478781328</v>
      </c>
      <c r="AL13" s="22">
        <f t="shared" si="4"/>
        <v>11.183919563995628</v>
      </c>
      <c r="AM13" s="62">
        <f t="shared" si="5"/>
        <v>280.07280845288449</v>
      </c>
      <c r="AN13" s="62">
        <f ca="1">AVERAGE(OFFSET($AM$3,0,0,'Données projet'!$E$10+1,1))-AVERAGE(OFFSET($H$3,0,0,'Données projet'!$E$10+1,1))</f>
        <v>348.84749506659495</v>
      </c>
      <c r="AO13" s="62">
        <f t="shared" si="36"/>
        <v>220.09202639602199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5.75</v>
      </c>
      <c r="BD13" s="13">
        <f>IF('Données projet'!$A$88&gt;35,BD12+BC13-BL12,IF(A13&lt;'Données projet'!$A$88,$BA$205^A13,IF(A13='Données projet'!$A$88,'Données projet'!$B$88,BD12+BC13-BL12)))</f>
        <v>10.723805294763611</v>
      </c>
      <c r="BE13" s="14">
        <f>BD13*VLOOKUP('Données projet'!$B$11,Paramètres!$A$1:$I$89,3,0)*VLOOKUP('Données projet'!$B$11,Paramètres!$A$1:$I$89,5,0)</f>
        <v>5.0187408779493703</v>
      </c>
      <c r="BF13" s="14">
        <f t="shared" si="37"/>
        <v>1.9168918305981435</v>
      </c>
      <c r="BG13" s="22">
        <f t="shared" si="7"/>
        <v>12.079560300720253</v>
      </c>
      <c r="BH13" s="62">
        <f t="shared" si="8"/>
        <v>280.96844918960909</v>
      </c>
      <c r="BI13" s="62">
        <f ca="1">AVERAGE(OFFSET($BH$3,0,0,'Données projet'!$E$11+1,1))-AVERAGE(OFFSET($H$3,0,0,'Données projet'!$E$11+1,1))</f>
        <v>259.74478933784656</v>
      </c>
      <c r="BJ13" s="62">
        <f t="shared" si="38"/>
        <v>223.74038909289646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2.84</v>
      </c>
      <c r="BY13" s="13">
        <f>IF('Données projet'!$A$114&gt;35,BY12+BX13-CG12,IF(A13&lt;'Données projet'!$A$114,$BV$205^A13,IF(A13='Données projet'!$A$114,'Données projet'!$B$114,BY12+BX13-CG12)))</f>
        <v>5.5017815106427381</v>
      </c>
      <c r="BZ13" s="14">
        <f>BY13*VLOOKUP('Données projet'!$B$12,Paramètres!$A$1:$I$89,3,0)*VLOOKUP('Données projet'!$B$12,Paramètres!$A$1:$I$89,5,0)</f>
        <v>5.5788064517917366</v>
      </c>
      <c r="CA13" s="14">
        <f t="shared" si="39"/>
        <v>2.1047278739596393</v>
      </c>
      <c r="CB13" s="22">
        <f t="shared" si="10"/>
        <v>13.382155617350314</v>
      </c>
      <c r="CC13" s="62">
        <f t="shared" si="11"/>
        <v>282.27104450623915</v>
      </c>
      <c r="CD13" s="62">
        <f ca="1">AVERAGE(OFFSET($CC$3,0,0,'Données projet'!$E$12+1,1))-AVERAGE(OFFSET($H$3,0,0,'Données projet'!$E$12+1,1))</f>
        <v>411.75894069172358</v>
      </c>
      <c r="CE13" s="62">
        <f t="shared" si="40"/>
        <v>256.4377087753457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2.84</v>
      </c>
      <c r="N14" s="14">
        <f>IF('Données projet'!$A$36&gt;35,N13+M14-V13,IF(A14&lt;'Données projet'!$A$36,$K$205^A14,IF(A14='Données projet'!$A$36,'Données projet'!$B$36,N13+M14-V13)))</f>
        <v>6.5245967197614414</v>
      </c>
      <c r="O14" s="14">
        <f>N14*VLOOKUP('Données projet'!$B$9,Paramètres!$A$1:$I$89,3,0)*VLOOKUP('Données projet'!$B$9,Paramètres!$A$1:$I$89,5,0)</f>
        <v>5.9034551120401524</v>
      </c>
      <c r="P14" s="14">
        <f t="shared" si="33"/>
        <v>2.2125931368425316</v>
      </c>
      <c r="Q14" s="22">
        <f t="shared" si="2"/>
        <v>14.135450700137341</v>
      </c>
      <c r="R14" s="62">
        <f t="shared" si="0"/>
        <v>284.24656181124851</v>
      </c>
      <c r="S14" s="62">
        <f ca="1">AVERAGE(OFFSET($R$3,0,0,'Données projet'!$E$9+1,1))-AVERAGE(OFFSET($H$3,0,0,'Données projet'!$E$9+1,1))</f>
        <v>371.75294069149942</v>
      </c>
      <c r="T14" s="62">
        <f t="shared" si="34"/>
        <v>233.32640143610547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2.84</v>
      </c>
      <c r="AI14" s="14">
        <f>IF('Données projet'!$A$62&gt;35,AI13+AH14-AQ13,IF(A14&lt;'Données projet'!$A$62,$AF$205^A14,IF(A14='Données projet'!$A$62,'Données projet'!$B$62,AI13+AH14-AQ13)))</f>
        <v>6.5245967197614414</v>
      </c>
      <c r="AJ14" s="14">
        <f>AI14*VLOOKUP('Données projet'!$B$10,Paramètres!$A$1:$I$89,3,0)*VLOOKUP('Données projet'!$B$10,Paramètres!$A$1:$I$89,5,0)</f>
        <v>5.4963202767270385</v>
      </c>
      <c r="AK14" s="14">
        <f t="shared" si="35"/>
        <v>2.0772066869316186</v>
      </c>
      <c r="AL14" s="22">
        <f t="shared" si="4"/>
        <v>13.190559461705492</v>
      </c>
      <c r="AM14" s="62">
        <f t="shared" si="5"/>
        <v>283.30167057281665</v>
      </c>
      <c r="AN14" s="62">
        <f ca="1">AVERAGE(OFFSET($AM$3,0,0,'Données projet'!$E$10+1,1))-AVERAGE(OFFSET($H$3,0,0,'Données projet'!$E$10+1,1))</f>
        <v>348.84749506659495</v>
      </c>
      <c r="AO14" s="62">
        <f t="shared" si="36"/>
        <v>220.09202639602199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5.75</v>
      </c>
      <c r="BD14" s="13">
        <f>IF('Données projet'!$A$88&gt;35,BD13+BC14-BL13,IF(A14&lt;'Données projet'!$A$88,$BA$205^A14,IF(A14='Données projet'!$A$88,'Données projet'!$B$88,BD13+BC14-BL13)))</f>
        <v>13.595144006008928</v>
      </c>
      <c r="BE14" s="14">
        <f>BD14*VLOOKUP('Données projet'!$B$11,Paramètres!$A$1:$I$89,3,0)*VLOOKUP('Données projet'!$B$11,Paramètres!$A$1:$I$89,5,0)</f>
        <v>6.3625273948121777</v>
      </c>
      <c r="BF14" s="14">
        <f t="shared" si="37"/>
        <v>2.3639551741679612</v>
      </c>
      <c r="BG14" s="22">
        <f t="shared" si="7"/>
        <v>15.198623807640407</v>
      </c>
      <c r="BH14" s="62">
        <f t="shared" si="8"/>
        <v>285.30973491875153</v>
      </c>
      <c r="BI14" s="62">
        <f ca="1">AVERAGE(OFFSET($BH$3,0,0,'Données projet'!$E$11+1,1))-AVERAGE(OFFSET($H$3,0,0,'Données projet'!$E$11+1,1))</f>
        <v>259.74478933784656</v>
      </c>
      <c r="BJ14" s="62">
        <f t="shared" si="38"/>
        <v>223.74038909289646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2.84</v>
      </c>
      <c r="BY14" s="13">
        <f>IF('Données projet'!$A$114&gt;35,BY13+BX14-CG13,IF(A14&lt;'Données projet'!$A$114,$BV$205^A14,IF(A14='Données projet'!$A$114,'Données projet'!$B$114,BY13+BX14-CG13)))</f>
        <v>6.5245967197614414</v>
      </c>
      <c r="BZ14" s="14">
        <f>BY14*VLOOKUP('Données projet'!$B$12,Paramètres!$A$1:$I$89,3,0)*VLOOKUP('Données projet'!$B$12,Paramètres!$A$1:$I$89,5,0)</f>
        <v>6.6159410738381021</v>
      </c>
      <c r="CA14" s="14">
        <f t="shared" si="39"/>
        <v>2.4469597615261804</v>
      </c>
      <c r="CB14" s="22">
        <f t="shared" si="10"/>
        <v>15.784552288259455</v>
      </c>
      <c r="CC14" s="62">
        <f t="shared" si="11"/>
        <v>285.89566339937062</v>
      </c>
      <c r="CD14" s="62">
        <f ca="1">AVERAGE(OFFSET($CC$3,0,0,'Données projet'!$E$12+1,1))-AVERAGE(OFFSET($H$3,0,0,'Données projet'!$E$12+1,1))</f>
        <v>411.75894069172358</v>
      </c>
      <c r="CE14" s="62">
        <f t="shared" si="40"/>
        <v>256.4377087753457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2.84</v>
      </c>
      <c r="N15" s="14">
        <f>IF('Données projet'!$A$36&gt;35,N14+M15-V14,IF(A15&lt;'Données projet'!$A$36,$K$205^A15,IF(A15='Données projet'!$A$36,'Données projet'!$B$36,N14+M15-V14)))</f>
        <v>7.7375596019531026</v>
      </c>
      <c r="O15" s="14">
        <f>N15*VLOOKUP('Données projet'!$B$9,Paramètres!$A$1:$I$89,3,0)*VLOOKUP('Données projet'!$B$9,Paramètres!$A$1:$I$89,5,0)</f>
        <v>7.0009439278471666</v>
      </c>
      <c r="P15" s="14">
        <f t="shared" si="33"/>
        <v>2.5723640768329017</v>
      </c>
      <c r="Q15" s="22">
        <f t="shared" si="2"/>
        <v>16.673511441484454</v>
      </c>
      <c r="R15" s="62">
        <f t="shared" si="0"/>
        <v>288.00684477481775</v>
      </c>
      <c r="S15" s="62">
        <f ca="1">AVERAGE(OFFSET($R$3,0,0,'Données projet'!$E$9+1,1))-AVERAGE(OFFSET($H$3,0,0,'Données projet'!$E$9+1,1))</f>
        <v>371.75294069149942</v>
      </c>
      <c r="T15" s="62">
        <f t="shared" si="34"/>
        <v>233.32640143610547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2.84</v>
      </c>
      <c r="AI15" s="14">
        <f>IF('Données projet'!$A$62&gt;35,AI14+AH15-AQ14,IF(A15&lt;'Données projet'!$A$62,$AF$205^A15,IF(A15='Données projet'!$A$62,'Données projet'!$B$62,AI14+AH15-AQ14)))</f>
        <v>7.7375596019531026</v>
      </c>
      <c r="AJ15" s="14">
        <f>AI15*VLOOKUP('Données projet'!$B$10,Paramètres!$A$1:$I$89,3,0)*VLOOKUP('Données projet'!$B$10,Paramètres!$A$1:$I$89,5,0)</f>
        <v>6.5181202086852945</v>
      </c>
      <c r="AK15" s="14">
        <f t="shared" si="35"/>
        <v>2.4149635884910836</v>
      </c>
      <c r="AL15" s="22">
        <f t="shared" si="4"/>
        <v>15.558454280082193</v>
      </c>
      <c r="AM15" s="62">
        <f t="shared" si="5"/>
        <v>286.89178761341549</v>
      </c>
      <c r="AN15" s="62">
        <f ca="1">AVERAGE(OFFSET($AM$3,0,0,'Données projet'!$E$10+1,1))-AVERAGE(OFFSET($H$3,0,0,'Données projet'!$E$10+1,1))</f>
        <v>348.84749506659495</v>
      </c>
      <c r="AO15" s="62">
        <f t="shared" si="36"/>
        <v>220.09202639602199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5.75</v>
      </c>
      <c r="BD15" s="13">
        <f>IF('Données projet'!$A$88&gt;35,BD14+BC15-BL14,IF(A15&lt;'Données projet'!$A$88,$BA$205^A15,IF(A15='Données projet'!$A$88,'Données projet'!$B$88,BD14+BC15-BL14)))</f>
        <v>17.23529432545471</v>
      </c>
      <c r="BE15" s="14">
        <f>BD15*VLOOKUP('Données projet'!$B$11,Paramètres!$A$1:$I$89,3,0)*VLOOKUP('Données projet'!$B$11,Paramètres!$A$1:$I$89,5,0)</f>
        <v>8.0661177443128054</v>
      </c>
      <c r="BF15" s="14">
        <f t="shared" si="37"/>
        <v>2.915283990610841</v>
      </c>
      <c r="BG15" s="22">
        <f t="shared" si="7"/>
        <v>19.125941354992019</v>
      </c>
      <c r="BH15" s="62">
        <f t="shared" si="8"/>
        <v>290.45927468832531</v>
      </c>
      <c r="BI15" s="62">
        <f ca="1">AVERAGE(OFFSET($BH$3,0,0,'Données projet'!$E$11+1,1))-AVERAGE(OFFSET($H$3,0,0,'Données projet'!$E$11+1,1))</f>
        <v>259.74478933784656</v>
      </c>
      <c r="BJ15" s="62">
        <f t="shared" si="38"/>
        <v>223.74038909289646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2.84</v>
      </c>
      <c r="BY15" s="13">
        <f>IF('Données projet'!$A$114&gt;35,BY14+BX15-CG14,IF(A15&lt;'Données projet'!$A$114,$BV$205^A15,IF(A15='Données projet'!$A$114,'Données projet'!$B$114,BY14+BX15-CG14)))</f>
        <v>7.7375596019531026</v>
      </c>
      <c r="BZ15" s="14">
        <f>BY15*VLOOKUP('Données projet'!$B$12,Paramètres!$A$1:$I$89,3,0)*VLOOKUP('Données projet'!$B$12,Paramètres!$A$1:$I$89,5,0)</f>
        <v>7.8458854363804464</v>
      </c>
      <c r="CA15" s="14">
        <f t="shared" si="39"/>
        <v>2.844839063809101</v>
      </c>
      <c r="CB15" s="22">
        <f t="shared" si="10"/>
        <v>18.619678504496793</v>
      </c>
      <c r="CC15" s="62">
        <f t="shared" si="11"/>
        <v>289.9530118378301</v>
      </c>
      <c r="CD15" s="62">
        <f ca="1">AVERAGE(OFFSET($CC$3,0,0,'Données projet'!$E$12+1,1))-AVERAGE(OFFSET($H$3,0,0,'Données projet'!$E$12+1,1))</f>
        <v>411.75894069172358</v>
      </c>
      <c r="CE15" s="62">
        <f t="shared" si="40"/>
        <v>256.4377087753457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2.84</v>
      </c>
      <c r="N16" s="14">
        <f>IF('Données projet'!$A$36&gt;35,N15+M16-V15,IF(A16&lt;'Données projet'!$A$36,$K$205^A16,IF(A16='Données projet'!$A$36,'Données projet'!$B$36,N15+M16-V15)))</f>
        <v>9.1760197856283234</v>
      </c>
      <c r="O16" s="14">
        <f>N16*VLOOKUP('Données projet'!$B$9,Paramètres!$A$1:$I$89,3,0)*VLOOKUP('Données projet'!$B$9,Paramètres!$A$1:$I$89,5,0)</f>
        <v>8.3024627020365074</v>
      </c>
      <c r="P16" s="14">
        <f t="shared" si="33"/>
        <v>2.9906343075904238</v>
      </c>
      <c r="Q16" s="22">
        <f t="shared" si="2"/>
        <v>19.668810625100239</v>
      </c>
      <c r="R16" s="62">
        <f t="shared" si="0"/>
        <v>292.22436618065581</v>
      </c>
      <c r="S16" s="62">
        <f ca="1">AVERAGE(OFFSET($R$3,0,0,'Données projet'!$E$9+1,1))-AVERAGE(OFFSET($H$3,0,0,'Données projet'!$E$9+1,1))</f>
        <v>371.75294069149942</v>
      </c>
      <c r="T16" s="62">
        <f t="shared" si="34"/>
        <v>233.32640143610547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2.84</v>
      </c>
      <c r="AI16" s="14">
        <f>IF('Données projet'!$A$62&gt;35,AI15+AH16-AQ15,IF(A16&lt;'Données projet'!$A$62,$AF$205^A16,IF(A16='Données projet'!$A$62,'Données projet'!$B$62,AI15+AH16-AQ15)))</f>
        <v>9.1760197856283234</v>
      </c>
      <c r="AJ16" s="14">
        <f>AI16*VLOOKUP('Données projet'!$B$10,Paramètres!$A$1:$I$89,3,0)*VLOOKUP('Données projet'!$B$10,Paramètres!$A$1:$I$89,5,0)</f>
        <v>7.7298790674133011</v>
      </c>
      <c r="AK16" s="14">
        <f t="shared" si="35"/>
        <v>2.8076402653761163</v>
      </c>
      <c r="AL16" s="22">
        <f t="shared" si="4"/>
        <v>18.352846171274901</v>
      </c>
      <c r="AM16" s="62">
        <f t="shared" si="5"/>
        <v>290.90840172683045</v>
      </c>
      <c r="AN16" s="62">
        <f ca="1">AVERAGE(OFFSET($AM$3,0,0,'Données projet'!$E$10+1,1))-AVERAGE(OFFSET($H$3,0,0,'Données projet'!$E$10+1,1))</f>
        <v>348.84749506659495</v>
      </c>
      <c r="AO16" s="62">
        <f t="shared" si="36"/>
        <v>220.09202639602199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5.75</v>
      </c>
      <c r="BD16" s="13">
        <f>IF('Données projet'!$A$88&gt;35,BD15+BC16-BL15,IF(A16&lt;'Données projet'!$A$88,$BA$205^A16,IF(A16='Données projet'!$A$88,'Données projet'!$B$88,BD15+BC16-BL15)))</f>
        <v>21.850108417664106</v>
      </c>
      <c r="BE16" s="14">
        <f>BD16*VLOOKUP('Données projet'!$B$11,Paramètres!$A$1:$I$89,3,0)*VLOOKUP('Données projet'!$B$11,Paramètres!$A$1:$I$89,5,0)</f>
        <v>10.225850739466802</v>
      </c>
      <c r="BF16" s="14">
        <f t="shared" si="37"/>
        <v>3.5951953906669201</v>
      </c>
      <c r="BG16" s="22">
        <f t="shared" si="7"/>
        <v>24.071655343316234</v>
      </c>
      <c r="BH16" s="62">
        <f t="shared" si="8"/>
        <v>296.62721089887179</v>
      </c>
      <c r="BI16" s="62">
        <f ca="1">AVERAGE(OFFSET($BH$3,0,0,'Données projet'!$E$11+1,1))-AVERAGE(OFFSET($H$3,0,0,'Données projet'!$E$11+1,1))</f>
        <v>259.74478933784656</v>
      </c>
      <c r="BJ16" s="62">
        <f t="shared" si="38"/>
        <v>223.74038909289646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2.84</v>
      </c>
      <c r="BY16" s="13">
        <f>IF('Données projet'!$A$114&gt;35,BY15+BX16-CG15,IF(A16&lt;'Données projet'!$A$114,$BV$205^A16,IF(A16='Données projet'!$A$114,'Données projet'!$B$114,BY15+BX16-CG15)))</f>
        <v>9.1760197856283234</v>
      </c>
      <c r="BZ16" s="14">
        <f>BY16*VLOOKUP('Données projet'!$B$12,Paramètres!$A$1:$I$89,3,0)*VLOOKUP('Données projet'!$B$12,Paramètres!$A$1:$I$89,5,0)</f>
        <v>9.3044840626271217</v>
      </c>
      <c r="CA16" s="14">
        <f t="shared" si="39"/>
        <v>3.3074141333352105</v>
      </c>
      <c r="CB16" s="22">
        <f t="shared" si="10"/>
        <v>21.965722691301057</v>
      </c>
      <c r="CC16" s="62">
        <f t="shared" si="11"/>
        <v>294.52127824685658</v>
      </c>
      <c r="CD16" s="62">
        <f ca="1">AVERAGE(OFFSET($CC$3,0,0,'Données projet'!$E$12+1,1))-AVERAGE(OFFSET($H$3,0,0,'Données projet'!$E$12+1,1))</f>
        <v>411.75894069172358</v>
      </c>
      <c r="CE16" s="62">
        <f t="shared" si="40"/>
        <v>256.4377087753457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2.84</v>
      </c>
      <c r="N17" s="14">
        <f>IF('Données projet'!$A$36&gt;35,N16+M17-V16,IF(A17&lt;'Données projet'!$A$36,$K$205^A17,IF(A17='Données projet'!$A$36,'Données projet'!$B$36,N16+M17-V16)))</f>
        <v>10.881898613742376</v>
      </c>
      <c r="O17" s="14">
        <f>N17*VLOOKUP('Données projet'!$B$9,Paramètres!$A$1:$I$89,3,0)*VLOOKUP('Données projet'!$B$9,Paramètres!$A$1:$I$89,5,0)</f>
        <v>9.8459418657141011</v>
      </c>
      <c r="P17" s="14">
        <f t="shared" si="33"/>
        <v>3.4769159009359916</v>
      </c>
      <c r="Q17" s="22">
        <f t="shared" si="2"/>
        <v>23.203977276915577</v>
      </c>
      <c r="R17" s="62">
        <f t="shared" si="0"/>
        <v>296.98175505469334</v>
      </c>
      <c r="S17" s="62">
        <f ca="1">AVERAGE(OFFSET($R$3,0,0,'Données projet'!$E$9+1,1))-AVERAGE(OFFSET($H$3,0,0,'Données projet'!$E$9+1,1))</f>
        <v>371.75294069149942</v>
      </c>
      <c r="T17" s="62">
        <f t="shared" si="34"/>
        <v>233.32640143610547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2.84</v>
      </c>
      <c r="AI17" s="14">
        <f>IF('Données projet'!$A$62&gt;35,AI16+AH17-AQ16,IF(A17&lt;'Données projet'!$A$62,$AF$205^A17,IF(A17='Données projet'!$A$62,'Données projet'!$B$62,AI16+AH17-AQ16)))</f>
        <v>10.881898613742376</v>
      </c>
      <c r="AJ17" s="14">
        <f>AI17*VLOOKUP('Données projet'!$B$10,Paramètres!$A$1:$I$89,3,0)*VLOOKUP('Données projet'!$B$10,Paramètres!$A$1:$I$89,5,0)</f>
        <v>9.1669113922165781</v>
      </c>
      <c r="AK17" s="14">
        <f t="shared" si="35"/>
        <v>3.2641667548646658</v>
      </c>
      <c r="AL17" s="22">
        <f t="shared" si="4"/>
        <v>21.650794439499833</v>
      </c>
      <c r="AM17" s="62">
        <f t="shared" si="5"/>
        <v>295.42857221727763</v>
      </c>
      <c r="AN17" s="62">
        <f ca="1">AVERAGE(OFFSET($AM$3,0,0,'Données projet'!$E$10+1,1))-AVERAGE(OFFSET($H$3,0,0,'Données projet'!$E$10+1,1))</f>
        <v>348.84749506659495</v>
      </c>
      <c r="AO17" s="62">
        <f t="shared" si="36"/>
        <v>220.09202639602199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5.75</v>
      </c>
      <c r="BD17" s="13">
        <f>IF('Données projet'!$A$88&gt;35,BD16+BC17-BL16,IF(A17&lt;'Données projet'!$A$88,$BA$205^A17,IF(A17='Données projet'!$A$88,'Données projet'!$B$88,BD16+BC17-BL16)))</f>
        <v>27.700556129091808</v>
      </c>
      <c r="BE17" s="14">
        <f>BD17*VLOOKUP('Données projet'!$B$11,Paramètres!$A$1:$I$89,3,0)*VLOOKUP('Données projet'!$B$11,Paramètres!$A$1:$I$89,5,0)</f>
        <v>12.963860268414967</v>
      </c>
      <c r="BF17" s="14">
        <f t="shared" si="37"/>
        <v>4.4336777956113931</v>
      </c>
      <c r="BG17" s="22">
        <f t="shared" si="7"/>
        <v>30.300712128179242</v>
      </c>
      <c r="BH17" s="62">
        <f t="shared" si="8"/>
        <v>304.07848990595699</v>
      </c>
      <c r="BI17" s="62">
        <f ca="1">AVERAGE(OFFSET($BH$3,0,0,'Données projet'!$E$11+1,1))-AVERAGE(OFFSET($H$3,0,0,'Données projet'!$E$11+1,1))</f>
        <v>259.74478933784656</v>
      </c>
      <c r="BJ17" s="62">
        <f t="shared" si="38"/>
        <v>223.74038909289646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2.84</v>
      </c>
      <c r="BY17" s="13">
        <f>IF('Données projet'!$A$114&gt;35,BY16+BX17-CG16,IF(A17&lt;'Données projet'!$A$114,$BV$205^A17,IF(A17='Données projet'!$A$114,'Données projet'!$B$114,BY16+BX17-CG16)))</f>
        <v>10.881898613742376</v>
      </c>
      <c r="BZ17" s="14">
        <f>BY17*VLOOKUP('Données projet'!$B$12,Paramètres!$A$1:$I$89,3,0)*VLOOKUP('Données projet'!$B$12,Paramètres!$A$1:$I$89,5,0)</f>
        <v>11.034245194334769</v>
      </c>
      <c r="CA17" s="14">
        <f t="shared" si="39"/>
        <v>3.8452045982308483</v>
      </c>
      <c r="CB17" s="22">
        <f t="shared" si="10"/>
        <v>25.915041722051782</v>
      </c>
      <c r="CC17" s="62">
        <f t="shared" si="11"/>
        <v>299.69281949982957</v>
      </c>
      <c r="CD17" s="62">
        <f ca="1">AVERAGE(OFFSET($CC$3,0,0,'Données projet'!$E$12+1,1))-AVERAGE(OFFSET($H$3,0,0,'Données projet'!$E$12+1,1))</f>
        <v>411.75894069172358</v>
      </c>
      <c r="CE17" s="62">
        <f t="shared" si="40"/>
        <v>256.4377087753457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2.84</v>
      </c>
      <c r="N18" s="14">
        <f>IF('Données projet'!$A$36&gt;35,N17+M18-V17,IF(A18&lt;'Données projet'!$A$36,$K$205^A18,IF(A18='Données projet'!$A$36,'Données projet'!$B$36,N17+M18-V17)))</f>
        <v>12.904910866172436</v>
      </c>
      <c r="O18" s="14">
        <f>N18*VLOOKUP('Données projet'!$B$9,Paramètres!$A$1:$I$89,3,0)*VLOOKUP('Données projet'!$B$9,Paramètres!$A$1:$I$89,5,0)</f>
        <v>11.676363351712819</v>
      </c>
      <c r="P18" s="14">
        <f t="shared" si="33"/>
        <v>4.0422676057380276</v>
      </c>
      <c r="Q18" s="22">
        <f t="shared" si="2"/>
        <v>27.376615584226887</v>
      </c>
      <c r="R18" s="62">
        <f t="shared" si="0"/>
        <v>302.3766155842269</v>
      </c>
      <c r="S18" s="62">
        <f ca="1">AVERAGE(OFFSET($R$3,0,0,'Données projet'!$E$9+1,1))-AVERAGE(OFFSET($H$3,0,0,'Données projet'!$E$9+1,1))</f>
        <v>371.75294069149942</v>
      </c>
      <c r="T18" s="62">
        <f t="shared" si="34"/>
        <v>233.32640143610547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2.84</v>
      </c>
      <c r="AI18" s="14">
        <f>IF('Données projet'!$A$62&gt;35,AI17+AH18-AQ17,IF(A18&lt;'Données projet'!$A$62,$AF$205^A18,IF(A18='Données projet'!$A$62,'Données projet'!$B$62,AI17+AH18-AQ17)))</f>
        <v>12.904910866172436</v>
      </c>
      <c r="AJ18" s="14">
        <f>AI18*VLOOKUP('Données projet'!$B$10,Paramètres!$A$1:$I$89,3,0)*VLOOKUP('Données projet'!$B$10,Paramètres!$A$1:$I$89,5,0)</f>
        <v>10.871096913663662</v>
      </c>
      <c r="AK18" s="14">
        <f t="shared" si="35"/>
        <v>3.7949251315985042</v>
      </c>
      <c r="AL18" s="22">
        <f t="shared" si="4"/>
        <v>25.543321728831604</v>
      </c>
      <c r="AM18" s="62">
        <f t="shared" si="5"/>
        <v>300.54332172883159</v>
      </c>
      <c r="AN18" s="62">
        <f ca="1">AVERAGE(OFFSET($AM$3,0,0,'Données projet'!$E$10+1,1))-AVERAGE(OFFSET($H$3,0,0,'Données projet'!$E$10+1,1))</f>
        <v>348.84749506659495</v>
      </c>
      <c r="AO18" s="62">
        <f t="shared" si="36"/>
        <v>220.09202639602199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5.75</v>
      </c>
      <c r="BD18" s="13">
        <f>IF('Données projet'!$A$88&gt;35,BD17+BC18-BL17,IF(A18&lt;'Données projet'!$A$88,$BA$205^A18,IF(A18='Données projet'!$A$88,'Données projet'!$B$88,BD17+BC18-BL17)))</f>
        <v>35.117482952196561</v>
      </c>
      <c r="BE18" s="14">
        <f>BD18*VLOOKUP('Données projet'!$B$11,Paramètres!$A$1:$I$89,3,0)*VLOOKUP('Données projet'!$B$11,Paramètres!$A$1:$I$89,5,0)</f>
        <v>16.434982021627992</v>
      </c>
      <c r="BF18" s="14">
        <f t="shared" si="37"/>
        <v>5.4677136175486121</v>
      </c>
      <c r="BG18" s="22">
        <f t="shared" si="7"/>
        <v>38.147194904899251</v>
      </c>
      <c r="BH18" s="62">
        <f t="shared" si="8"/>
        <v>313.14719490489927</v>
      </c>
      <c r="BI18" s="62">
        <f ca="1">AVERAGE(OFFSET($BH$3,0,0,'Données projet'!$E$11+1,1))-AVERAGE(OFFSET($H$3,0,0,'Données projet'!$E$11+1,1))</f>
        <v>259.74478933784656</v>
      </c>
      <c r="BJ18" s="62">
        <f t="shared" si="38"/>
        <v>223.74038909289646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2.84</v>
      </c>
      <c r="BY18" s="13">
        <f>IF('Données projet'!$A$114&gt;35,BY17+BX18-CG17,IF(A18&lt;'Données projet'!$A$114,$BV$205^A18,IF(A18='Données projet'!$A$114,'Données projet'!$B$114,BY17+BX18-CG17)))</f>
        <v>12.904910866172436</v>
      </c>
      <c r="BZ18" s="14">
        <f>BY18*VLOOKUP('Données projet'!$B$12,Paramètres!$A$1:$I$89,3,0)*VLOOKUP('Données projet'!$B$12,Paramètres!$A$1:$I$89,5,0)</f>
        <v>13.085579618298853</v>
      </c>
      <c r="CA18" s="14">
        <f t="shared" si="39"/>
        <v>4.4704405938260292</v>
      </c>
      <c r="CB18" s="22">
        <f t="shared" si="10"/>
        <v>30.576735202784167</v>
      </c>
      <c r="CC18" s="62">
        <f t="shared" si="11"/>
        <v>305.57673520278416</v>
      </c>
      <c r="CD18" s="62">
        <f ca="1">AVERAGE(OFFSET($CC$3,0,0,'Données projet'!$E$12+1,1))-AVERAGE(OFFSET($H$3,0,0,'Données projet'!$E$12+1,1))</f>
        <v>411.75894069172358</v>
      </c>
      <c r="CE18" s="62">
        <f t="shared" si="40"/>
        <v>256.4377087753457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2.84</v>
      </c>
      <c r="N19" s="14">
        <f>IF('Données projet'!$A$36&gt;35,N18+M19-V18,IF(A19&lt;'Données projet'!$A$36,$K$205^A19,IF(A19='Données projet'!$A$36,'Données projet'!$B$36,N18+M19-V18)))</f>
        <v>15.304013607840634</v>
      </c>
      <c r="O19" s="14">
        <f>N19*VLOOKUP('Données projet'!$B$9,Paramètres!$A$1:$I$89,3,0)*VLOOKUP('Données projet'!$B$9,Paramètres!$A$1:$I$89,5,0)</f>
        <v>13.847071512374203</v>
      </c>
      <c r="P19" s="14">
        <f t="shared" si="33"/>
        <v>4.6995463399043667</v>
      </c>
      <c r="Q19" s="22">
        <f t="shared" si="2"/>
        <v>32.302026092718499</v>
      </c>
      <c r="R19" s="62">
        <f t="shared" si="0"/>
        <v>308.52424831494073</v>
      </c>
      <c r="S19" s="62">
        <f ca="1">AVERAGE(OFFSET($R$3,0,0,'Données projet'!$E$9+1,1))-AVERAGE(OFFSET($H$3,0,0,'Données projet'!$E$9+1,1))</f>
        <v>371.75294069149942</v>
      </c>
      <c r="T19" s="62">
        <f t="shared" si="34"/>
        <v>233.32640143610547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2.84</v>
      </c>
      <c r="AI19" s="14">
        <f>IF('Données projet'!$A$62&gt;35,AI18+AH19-AQ18,IF(A19&lt;'Données projet'!$A$62,$AF$205^A19,IF(A19='Données projet'!$A$62,'Données projet'!$B$62,AI18+AH19-AQ18)))</f>
        <v>15.304013607840634</v>
      </c>
      <c r="AJ19" s="14">
        <f>AI19*VLOOKUP('Données projet'!$B$10,Paramètres!$A$1:$I$89,3,0)*VLOOKUP('Données projet'!$B$10,Paramètres!$A$1:$I$89,5,0)</f>
        <v>12.892101063244953</v>
      </c>
      <c r="AK19" s="14">
        <f t="shared" si="35"/>
        <v>4.4119856110215858</v>
      </c>
      <c r="AL19" s="22">
        <f t="shared" si="4"/>
        <v>30.137950957680886</v>
      </c>
      <c r="AM19" s="62">
        <f t="shared" si="5"/>
        <v>306.36017317990309</v>
      </c>
      <c r="AN19" s="62">
        <f ca="1">AVERAGE(OFFSET($AM$3,0,0,'Données projet'!$E$10+1,1))-AVERAGE(OFFSET($H$3,0,0,'Données projet'!$E$10+1,1))</f>
        <v>348.84749506659495</v>
      </c>
      <c r="AO19" s="62">
        <f t="shared" si="36"/>
        <v>220.09202639602199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5.75</v>
      </c>
      <c r="BD19" s="13">
        <f>IF('Données projet'!$A$88&gt;35,BD18+BC19-BL18,IF(A19&lt;'Données projet'!$A$88,$BA$205^A19,IF(A19='Données projet'!$A$88,'Données projet'!$B$88,BD18+BC19-BL18)))</f>
        <v>44.52031948927695</v>
      </c>
      <c r="BE19" s="14">
        <f>BD19*VLOOKUP('Données projet'!$B$11,Paramètres!$A$1:$I$89,3,0)*VLOOKUP('Données projet'!$B$11,Paramètres!$A$1:$I$89,5,0)</f>
        <v>20.835509520981613</v>
      </c>
      <c r="BF19" s="14">
        <f t="shared" si="37"/>
        <v>6.7429104192276883</v>
      </c>
      <c r="BG19" s="22">
        <f t="shared" si="7"/>
        <v>48.03241472919786</v>
      </c>
      <c r="BH19" s="62">
        <f t="shared" si="8"/>
        <v>324.25463695142008</v>
      </c>
      <c r="BI19" s="62">
        <f ca="1">AVERAGE(OFFSET($BH$3,0,0,'Données projet'!$E$11+1,1))-AVERAGE(OFFSET($H$3,0,0,'Données projet'!$E$11+1,1))</f>
        <v>259.74478933784656</v>
      </c>
      <c r="BJ19" s="62">
        <f t="shared" si="38"/>
        <v>223.74038909289646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2.84</v>
      </c>
      <c r="BY19" s="13">
        <f>IF('Données projet'!$A$114&gt;35,BY18+BX19-CG18,IF(A19&lt;'Données projet'!$A$114,$BV$205^A19,IF(A19='Données projet'!$A$114,'Données projet'!$B$114,BY18+BX19-CG18)))</f>
        <v>15.304013607840634</v>
      </c>
      <c r="BZ19" s="14">
        <f>BY19*VLOOKUP('Données projet'!$B$12,Paramètres!$A$1:$I$89,3,0)*VLOOKUP('Données projet'!$B$12,Paramètres!$A$1:$I$89,5,0)</f>
        <v>15.518269798350405</v>
      </c>
      <c r="CA19" s="14">
        <f t="shared" si="39"/>
        <v>5.1973408936737764</v>
      </c>
      <c r="CB19" s="22">
        <f t="shared" si="10"/>
        <v>36.079688621942118</v>
      </c>
      <c r="CC19" s="62">
        <f t="shared" si="11"/>
        <v>312.30191084416435</v>
      </c>
      <c r="CD19" s="62">
        <f ca="1">AVERAGE(OFFSET($CC$3,0,0,'Données projet'!$E$12+1,1))-AVERAGE(OFFSET($H$3,0,0,'Données projet'!$E$12+1,1))</f>
        <v>411.75894069172358</v>
      </c>
      <c r="CE19" s="62">
        <f t="shared" si="40"/>
        <v>256.4377087753457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2.84</v>
      </c>
      <c r="N20" s="14">
        <f>IF('Données projet'!$A$36&gt;35,N19+M20-V19,IF(A20&lt;'Données projet'!$A$36,$K$205^A20,IF(A20='Données projet'!$A$36,'Données projet'!$B$36,N19+M20-V19)))</f>
        <v>18.149124386663679</v>
      </c>
      <c r="O20" s="14">
        <f>N20*VLOOKUP('Données projet'!$B$9,Paramètres!$A$1:$I$89,3,0)*VLOOKUP('Données projet'!$B$9,Paramètres!$A$1:$I$89,5,0)</f>
        <v>16.421327745053297</v>
      </c>
      <c r="P20" s="14">
        <f t="shared" si="33"/>
        <v>5.4636995753466904</v>
      </c>
      <c r="Q20" s="22">
        <f t="shared" si="2"/>
        <v>38.11642258302998</v>
      </c>
      <c r="R20" s="62">
        <f t="shared" si="0"/>
        <v>315.56086702747444</v>
      </c>
      <c r="S20" s="62">
        <f ca="1">AVERAGE(OFFSET($R$3,0,0,'Données projet'!$E$9+1,1))-AVERAGE(OFFSET($H$3,0,0,'Données projet'!$E$9+1,1))</f>
        <v>371.75294069149942</v>
      </c>
      <c r="T20" s="62">
        <f t="shared" si="34"/>
        <v>233.32640143610547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2.84</v>
      </c>
      <c r="AI20" s="14">
        <f>IF('Données projet'!$A$62&gt;35,AI19+AH20-AQ19,IF(A20&lt;'Données projet'!$A$62,$AF$205^A20,IF(A20='Données projet'!$A$62,'Données projet'!$B$62,AI19+AH20-AQ19)))</f>
        <v>18.149124386663679</v>
      </c>
      <c r="AJ20" s="14">
        <f>AI20*VLOOKUP('Données projet'!$B$10,Paramètres!$A$1:$I$89,3,0)*VLOOKUP('Données projet'!$B$10,Paramètres!$A$1:$I$89,5,0)</f>
        <v>15.288822383325485</v>
      </c>
      <c r="AK20" s="14">
        <f t="shared" si="35"/>
        <v>5.1293810435891753</v>
      </c>
      <c r="AL20" s="22">
        <f t="shared" si="4"/>
        <v>35.561704301876368</v>
      </c>
      <c r="AM20" s="62">
        <f t="shared" si="5"/>
        <v>313.00614874632083</v>
      </c>
      <c r="AN20" s="62">
        <f ca="1">AVERAGE(OFFSET($AM$3,0,0,'Données projet'!$E$10+1,1))-AVERAGE(OFFSET($H$3,0,0,'Données projet'!$E$10+1,1))</f>
        <v>348.84749506659495</v>
      </c>
      <c r="AO20" s="62">
        <f t="shared" si="36"/>
        <v>220.09202639602199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5.75</v>
      </c>
      <c r="BD20" s="13">
        <f>IF('Données projet'!$A$88&gt;35,BD19+BC20-BL19,IF(A20&lt;'Données projet'!$A$88,$BA$205^A20,IF(A20='Données projet'!$A$88,'Données projet'!$B$88,BD19+BC20-BL19)))</f>
        <v>56.440800444763006</v>
      </c>
      <c r="BE20" s="14">
        <f>BD20*VLOOKUP('Données projet'!$B$11,Paramètres!$A$1:$I$89,3,0)*VLOOKUP('Données projet'!$B$11,Paramètres!$A$1:$I$89,5,0)</f>
        <v>26.414294608149088</v>
      </c>
      <c r="BF20" s="14">
        <f t="shared" si="37"/>
        <v>8.3155124979120405</v>
      </c>
      <c r="BG20" s="22">
        <f t="shared" si="7"/>
        <v>60.487747376389791</v>
      </c>
      <c r="BH20" s="62">
        <f t="shared" si="8"/>
        <v>337.93219182083425</v>
      </c>
      <c r="BI20" s="62">
        <f ca="1">AVERAGE(OFFSET($BH$3,0,0,'Données projet'!$E$11+1,1))-AVERAGE(OFFSET($H$3,0,0,'Données projet'!$E$11+1,1))</f>
        <v>259.74478933784656</v>
      </c>
      <c r="BJ20" s="62">
        <f t="shared" si="38"/>
        <v>223.74038909289646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2.84</v>
      </c>
      <c r="BY20" s="13">
        <f>IF('Données projet'!$A$114&gt;35,BY19+BX20-CG19,IF(A20&lt;'Données projet'!$A$114,$BV$205^A20,IF(A20='Données projet'!$A$114,'Données projet'!$B$114,BY19+BX20-CG19)))</f>
        <v>18.149124386663679</v>
      </c>
      <c r="BZ20" s="14">
        <f>BY20*VLOOKUP('Données projet'!$B$12,Paramètres!$A$1:$I$89,3,0)*VLOOKUP('Données projet'!$B$12,Paramètres!$A$1:$I$89,5,0)</f>
        <v>18.403212128076973</v>
      </c>
      <c r="CA20" s="14">
        <f t="shared" si="39"/>
        <v>6.0424362650875043</v>
      </c>
      <c r="CB20" s="22">
        <f t="shared" si="10"/>
        <v>42.576170951428125</v>
      </c>
      <c r="CC20" s="62">
        <f t="shared" si="11"/>
        <v>320.0206153958726</v>
      </c>
      <c r="CD20" s="62">
        <f ca="1">AVERAGE(OFFSET($CC$3,0,0,'Données projet'!$E$12+1,1))-AVERAGE(OFFSET($H$3,0,0,'Données projet'!$E$12+1,1))</f>
        <v>411.75894069172358</v>
      </c>
      <c r="CE20" s="62">
        <f t="shared" si="40"/>
        <v>256.4377087753457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2.84</v>
      </c>
      <c r="N21" s="14">
        <f>IF('Données projet'!$A$36&gt;35,N20+M21-V20,IF(A21&lt;'Données projet'!$A$36,$K$205^A21,IF(A21='Données projet'!$A$36,'Données projet'!$B$36,N20+M21-V20)))</f>
        <v>21.523158855127722</v>
      </c>
      <c r="O21" s="14">
        <f>N21*VLOOKUP('Données projet'!$B$9,Paramètres!$A$1:$I$89,3,0)*VLOOKUP('Données projet'!$B$9,Paramètres!$A$1:$I$89,5,0)</f>
        <v>19.474154132119562</v>
      </c>
      <c r="P21" s="14">
        <f t="shared" si="33"/>
        <v>6.3521052651756742</v>
      </c>
      <c r="Q21" s="22">
        <f t="shared" si="2"/>
        <v>44.980735116955863</v>
      </c>
      <c r="R21" s="62">
        <f t="shared" si="0"/>
        <v>323.64740178362257</v>
      </c>
      <c r="S21" s="62">
        <f ca="1">AVERAGE(OFFSET($R$3,0,0,'Données projet'!$E$9+1,1))-AVERAGE(OFFSET($H$3,0,0,'Données projet'!$E$9+1,1))</f>
        <v>371.75294069149942</v>
      </c>
      <c r="T21" s="62">
        <f t="shared" si="34"/>
        <v>233.32640143610547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2.84</v>
      </c>
      <c r="AI21" s="14">
        <f>IF('Données projet'!$A$62&gt;35,AI20+AH21-AQ20,IF(A21&lt;'Données projet'!$A$62,$AF$205^A21,IF(A21='Données projet'!$A$62,'Données projet'!$B$62,AI20+AH21-AQ20)))</f>
        <v>21.523158855127722</v>
      </c>
      <c r="AJ21" s="14">
        <f>AI21*VLOOKUP('Données projet'!$B$10,Paramètres!$A$1:$I$89,3,0)*VLOOKUP('Données projet'!$B$10,Paramètres!$A$1:$I$89,5,0)</f>
        <v>18.131109019559595</v>
      </c>
      <c r="AK21" s="14">
        <f t="shared" si="35"/>
        <v>5.9634260421442793</v>
      </c>
      <c r="AL21" s="22">
        <f t="shared" si="4"/>
        <v>41.964648565800914</v>
      </c>
      <c r="AM21" s="62">
        <f t="shared" si="5"/>
        <v>320.63131523246761</v>
      </c>
      <c r="AN21" s="62">
        <f ca="1">AVERAGE(OFFSET($AM$3,0,0,'Données projet'!$E$10+1,1))-AVERAGE(OFFSET($H$3,0,0,'Données projet'!$E$10+1,1))</f>
        <v>348.84749506659495</v>
      </c>
      <c r="AO21" s="62">
        <f t="shared" si="36"/>
        <v>220.09202639602199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5.75</v>
      </c>
      <c r="BD21" s="13">
        <f>IF('Données projet'!$A$88&gt;35,BD20+BC21-BL20,IF(A21&lt;'Données projet'!$A$88,$BA$205^A21,IF(A21='Données projet'!$A$88,'Données projet'!$B$88,BD20+BC21-BL20)))</f>
        <v>71.55303446582019</v>
      </c>
      <c r="BE21" s="14">
        <f>BD21*VLOOKUP('Données projet'!$B$11,Paramètres!$A$1:$I$89,3,0)*VLOOKUP('Données projet'!$B$11,Paramètres!$A$1:$I$89,5,0)</f>
        <v>33.486820130003849</v>
      </c>
      <c r="BF21" s="14">
        <f t="shared" si="37"/>
        <v>10.254881616957807</v>
      </c>
      <c r="BG21" s="22">
        <f t="shared" si="7"/>
        <v>76.183463875958196</v>
      </c>
      <c r="BH21" s="62">
        <f t="shared" si="8"/>
        <v>354.85013054262487</v>
      </c>
      <c r="BI21" s="62">
        <f ca="1">AVERAGE(OFFSET($BH$3,0,0,'Données projet'!$E$11+1,1))-AVERAGE(OFFSET($H$3,0,0,'Données projet'!$E$11+1,1))</f>
        <v>259.74478933784656</v>
      </c>
      <c r="BJ21" s="62">
        <f t="shared" si="38"/>
        <v>223.74038909289646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2.84</v>
      </c>
      <c r="BY21" s="13">
        <f>IF('Données projet'!$A$114&gt;35,BY20+BX21-CG20,IF(A21&lt;'Données projet'!$A$114,$BV$205^A21,IF(A21='Données projet'!$A$114,'Données projet'!$B$114,BY20+BX21-CG20)))</f>
        <v>21.523158855127722</v>
      </c>
      <c r="BZ21" s="14">
        <f>BY21*VLOOKUP('Données projet'!$B$12,Paramètres!$A$1:$I$89,3,0)*VLOOKUP('Données projet'!$B$12,Paramètres!$A$1:$I$89,5,0)</f>
        <v>21.824483079099512</v>
      </c>
      <c r="CA21" s="14">
        <f t="shared" si="39"/>
        <v>7.0249454027704825</v>
      </c>
      <c r="CB21" s="22">
        <f t="shared" si="10"/>
        <v>50.246087939256903</v>
      </c>
      <c r="CC21" s="62">
        <f t="shared" si="11"/>
        <v>328.91275460592357</v>
      </c>
      <c r="CD21" s="62">
        <f ca="1">AVERAGE(OFFSET($CC$3,0,0,'Données projet'!$E$12+1,1))-AVERAGE(OFFSET($H$3,0,0,'Données projet'!$E$12+1,1))</f>
        <v>411.75894069172358</v>
      </c>
      <c r="CE21" s="62">
        <f t="shared" si="40"/>
        <v>256.4377087753457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2.84</v>
      </c>
      <c r="N22" s="14">
        <f>IF('Données projet'!$A$36&gt;35,N21+M22-V21,IF(A22&lt;'Données projet'!$A$36,$K$205^A22,IF(A22='Données projet'!$A$36,'Données projet'!$B$36,N21+M22-V21)))</f>
        <v>25.524447198315809</v>
      </c>
      <c r="O22" s="14">
        <f>N22*VLOOKUP('Données projet'!$B$9,Paramètres!$A$1:$I$89,3,0)*VLOOKUP('Données projet'!$B$9,Paramètres!$A$1:$I$89,5,0)</f>
        <v>23.094519825036141</v>
      </c>
      <c r="P22" s="14">
        <f t="shared" si="33"/>
        <v>7.3849670435644734</v>
      </c>
      <c r="Q22" s="22">
        <f t="shared" si="2"/>
        <v>53.085106296146058</v>
      </c>
      <c r="R22" s="62">
        <f t="shared" si="0"/>
        <v>332.97399518503494</v>
      </c>
      <c r="S22" s="62">
        <f ca="1">AVERAGE(OFFSET($R$3,0,0,'Données projet'!$E$9+1,1))-AVERAGE(OFFSET($H$3,0,0,'Données projet'!$E$9+1,1))</f>
        <v>371.75294069149942</v>
      </c>
      <c r="T22" s="62">
        <f t="shared" si="34"/>
        <v>233.32640143610547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2.84</v>
      </c>
      <c r="AI22" s="14">
        <f>IF('Données projet'!$A$62&gt;35,AI21+AH22-AQ21,IF(A22&lt;'Données projet'!$A$62,$AF$205^A22,IF(A22='Données projet'!$A$62,'Données projet'!$B$62,AI21+AH22-AQ21)))</f>
        <v>25.524447198315809</v>
      </c>
      <c r="AJ22" s="14">
        <f>AI22*VLOOKUP('Données projet'!$B$10,Paramètres!$A$1:$I$89,3,0)*VLOOKUP('Données projet'!$B$10,Paramètres!$A$1:$I$89,5,0)</f>
        <v>21.501794319861236</v>
      </c>
      <c r="AK22" s="14">
        <f t="shared" si="35"/>
        <v>6.9330879998808816</v>
      </c>
      <c r="AL22" s="22">
        <f t="shared" si="4"/>
        <v>49.524086706884191</v>
      </c>
      <c r="AM22" s="62">
        <f t="shared" si="5"/>
        <v>329.41297559577305</v>
      </c>
      <c r="AN22" s="62">
        <f ca="1">AVERAGE(OFFSET($AM$3,0,0,'Données projet'!$E$10+1,1))-AVERAGE(OFFSET($H$3,0,0,'Données projet'!$E$10+1,1))</f>
        <v>348.84749506659495</v>
      </c>
      <c r="AO22" s="62">
        <f t="shared" si="36"/>
        <v>220.09202639602199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5.75</v>
      </c>
      <c r="BD22" s="13">
        <f>IF('Données projet'!$A$88&gt;35,BD21+BC22-BL21,IF(A22&lt;'Données projet'!$A$88,$BA$205^A22,IF(A22='Données projet'!$A$88,'Données projet'!$B$88,BD21+BC22-BL21)))</f>
        <v>90.711625294497551</v>
      </c>
      <c r="BE22" s="14">
        <f>BD22*VLOOKUP('Données projet'!$B$11,Paramètres!$A$1:$I$89,3,0)*VLOOKUP('Données projet'!$B$11,Paramètres!$A$1:$I$89,5,0)</f>
        <v>42.453040637824856</v>
      </c>
      <c r="BF22" s="14">
        <f t="shared" si="37"/>
        <v>12.646556301156998</v>
      </c>
      <c r="BG22" s="22">
        <f t="shared" si="7"/>
        <v>95.96513133539338</v>
      </c>
      <c r="BH22" s="62">
        <f t="shared" si="8"/>
        <v>375.85402022428224</v>
      </c>
      <c r="BI22" s="62">
        <f ca="1">AVERAGE(OFFSET($BH$3,0,0,'Données projet'!$E$11+1,1))-AVERAGE(OFFSET($H$3,0,0,'Données projet'!$E$11+1,1))</f>
        <v>259.74478933784656</v>
      </c>
      <c r="BJ22" s="62">
        <f t="shared" si="38"/>
        <v>223.74038909289646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2.84</v>
      </c>
      <c r="BY22" s="13">
        <f>IF('Données projet'!$A$114&gt;35,BY21+BX22-CG21,IF(A22&lt;'Données projet'!$A$114,$BV$205^A22,IF(A22='Données projet'!$A$114,'Données projet'!$B$114,BY21+BX22-CG21)))</f>
        <v>25.524447198315809</v>
      </c>
      <c r="BZ22" s="14">
        <f>BY22*VLOOKUP('Données projet'!$B$12,Paramètres!$A$1:$I$89,3,0)*VLOOKUP('Données projet'!$B$12,Paramètres!$A$1:$I$89,5,0)</f>
        <v>25.881789459092229</v>
      </c>
      <c r="CA22" s="14">
        <f t="shared" si="39"/>
        <v>8.1672119898134259</v>
      </c>
      <c r="CB22" s="22">
        <f t="shared" si="10"/>
        <v>59.302010856844014</v>
      </c>
      <c r="CC22" s="62">
        <f t="shared" si="11"/>
        <v>339.19089974573285</v>
      </c>
      <c r="CD22" s="62">
        <f ca="1">AVERAGE(OFFSET($CC$3,0,0,'Données projet'!$E$12+1,1))-AVERAGE(OFFSET($H$3,0,0,'Données projet'!$E$12+1,1))</f>
        <v>411.75894069172358</v>
      </c>
      <c r="CE22" s="62">
        <f t="shared" si="40"/>
        <v>256.4377087753457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2.84</v>
      </c>
      <c r="N23" s="14">
        <f>IF('Données projet'!$A$36&gt;35,N22+M23-V22,IF(A23&lt;'Données projet'!$A$36,$K$205^A23,IF(A23='Données projet'!$A$36,'Données projet'!$B$36,N22+M23-V22)))</f>
        <v>30.269599790850293</v>
      </c>
      <c r="O23" s="14">
        <f>N23*VLOOKUP('Données projet'!$B$9,Paramètres!$A$1:$I$89,3,0)*VLOOKUP('Données projet'!$B$9,Paramètres!$A$1:$I$89,5,0)</f>
        <v>27.387933890761346</v>
      </c>
      <c r="P23" s="14">
        <f t="shared" si="33"/>
        <v>8.5857736856986921</v>
      </c>
      <c r="Q23" s="22">
        <f t="shared" si="2"/>
        <v>62.654207362334567</v>
      </c>
      <c r="R23" s="62">
        <f t="shared" si="0"/>
        <v>343.76531847344569</v>
      </c>
      <c r="S23" s="62">
        <f ca="1">AVERAGE(OFFSET($R$3,0,0,'Données projet'!$E$9+1,1))-AVERAGE(OFFSET($H$3,0,0,'Données projet'!$E$9+1,1))</f>
        <v>371.75294069149942</v>
      </c>
      <c r="T23" s="62">
        <f t="shared" si="34"/>
        <v>233.32640143610547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2.84</v>
      </c>
      <c r="AI23" s="14">
        <f>IF('Données projet'!$A$62&gt;35,AI22+AH23-AQ22,IF(A23&lt;'Données projet'!$A$62,$AF$205^A23,IF(A23='Données projet'!$A$62,'Données projet'!$B$62,AI22+AH23-AQ22)))</f>
        <v>30.269599790850293</v>
      </c>
      <c r="AJ23" s="14">
        <f>AI23*VLOOKUP('Données projet'!$B$10,Paramètres!$A$1:$I$89,3,0)*VLOOKUP('Données projet'!$B$10,Paramètres!$A$1:$I$89,5,0)</f>
        <v>25.499110863812291</v>
      </c>
      <c r="AK23" s="14">
        <f t="shared" si="35"/>
        <v>8.0604184363806581</v>
      </c>
      <c r="AL23" s="22">
        <f t="shared" si="4"/>
        <v>58.44951353116938</v>
      </c>
      <c r="AM23" s="62">
        <f t="shared" si="5"/>
        <v>339.56062464228052</v>
      </c>
      <c r="AN23" s="62">
        <f ca="1">AVERAGE(OFFSET($AM$3,0,0,'Données projet'!$E$10+1,1))-AVERAGE(OFFSET($H$3,0,0,'Données projet'!$E$10+1,1))</f>
        <v>348.84749506659495</v>
      </c>
      <c r="AO23" s="62">
        <f t="shared" si="36"/>
        <v>220.09202639602199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115</v>
      </c>
      <c r="BB23" s="13">
        <f>VLOOKUP(A23,'Données projet'!$A$87:$I$107,9,0)</f>
        <v>5.75</v>
      </c>
      <c r="BC23" s="13">
        <f t="array" ref="BC23">INDEX(BB:BB,MIN(IF(ISNUMBER(BB23:BB219),ROW(BB23:BB219),"")))</f>
        <v>5.75</v>
      </c>
      <c r="BD23" s="13">
        <f>IF('Données projet'!$A$88&gt;35,BD22+BC23-BL22,IF(A23&lt;'Données projet'!$A$88,$BA$205^A23,IF(A23='Données projet'!$A$88,'Données projet'!$B$88,BD22+BC23-BL22)))</f>
        <v>115</v>
      </c>
      <c r="BE23" s="14">
        <f>BD23*VLOOKUP('Données projet'!$B$11,Paramètres!$A$1:$I$89,3,0)*VLOOKUP('Données projet'!$B$11,Paramètres!$A$1:$I$89,5,0)</f>
        <v>53.82</v>
      </c>
      <c r="BF23" s="14">
        <f t="shared" si="37"/>
        <v>15.596024630246266</v>
      </c>
      <c r="BG23" s="22">
        <f t="shared" si="7"/>
        <v>120.89957623101225</v>
      </c>
      <c r="BH23" s="62">
        <f t="shared" si="8"/>
        <v>402.01068734212339</v>
      </c>
      <c r="BI23" s="62">
        <f ca="1">AVERAGE(OFFSET($BH$3,0,0,'Données projet'!$E$11+1,1))-AVERAGE(OFFSET($H$3,0,0,'Données projet'!$E$11+1,1))</f>
        <v>259.74478933784656</v>
      </c>
      <c r="BJ23" s="62">
        <f t="shared" si="38"/>
        <v>223.74038909289646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1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2.84</v>
      </c>
      <c r="BY23" s="13">
        <f>IF('Données projet'!$A$114&gt;35,BY22+BX23-CG22,IF(A23&lt;'Données projet'!$A$114,$BV$205^A23,IF(A23='Données projet'!$A$114,'Données projet'!$B$114,BY22+BX23-CG22)))</f>
        <v>30.269599790850293</v>
      </c>
      <c r="BZ23" s="14">
        <f>BY23*VLOOKUP('Données projet'!$B$12,Paramètres!$A$1:$I$89,3,0)*VLOOKUP('Données projet'!$B$12,Paramètres!$A$1:$I$89,5,0)</f>
        <v>30.693374187922199</v>
      </c>
      <c r="CA23" s="14">
        <f t="shared" si="39"/>
        <v>9.4952128254613779</v>
      </c>
      <c r="CB23" s="22">
        <f t="shared" si="10"/>
        <v>69.995122381643057</v>
      </c>
      <c r="CC23" s="62">
        <f t="shared" si="11"/>
        <v>351.1062334927542</v>
      </c>
      <c r="CD23" s="62">
        <f ca="1">AVERAGE(OFFSET($CC$3,0,0,'Données projet'!$E$12+1,1))-AVERAGE(OFFSET($H$3,0,0,'Données projet'!$E$12+1,1))</f>
        <v>411.75894069172358</v>
      </c>
      <c r="CE23" s="62">
        <f t="shared" si="40"/>
        <v>256.4377087753457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2.84</v>
      </c>
      <c r="N24" s="14">
        <f>IF('Données projet'!$A$36&gt;35,N23+M24-V23,IF(A24&lt;'Données projet'!$A$36,$K$205^A24,IF(A24='Données projet'!$A$36,'Données projet'!$B$36,N23+M24-V23)))</f>
        <v>35.896905597183761</v>
      </c>
      <c r="O24" s="14">
        <f>N24*VLOOKUP('Données projet'!$B$9,Paramètres!$A$1:$I$89,3,0)*VLOOKUP('Données projet'!$B$9,Paramètres!$A$1:$I$89,5,0)</f>
        <v>32.479520184331868</v>
      </c>
      <c r="P24" s="14">
        <f t="shared" si="33"/>
        <v>9.9818332765986337</v>
      </c>
      <c r="Q24" s="22">
        <f t="shared" si="2"/>
        <v>73.953523944453949</v>
      </c>
      <c r="R24" s="62">
        <f t="shared" si="0"/>
        <v>356.28685727778725</v>
      </c>
      <c r="S24" s="62">
        <f ca="1">AVERAGE(OFFSET($R$3,0,0,'Données projet'!$E$9+1,1))-AVERAGE(OFFSET($H$3,0,0,'Données projet'!$E$9+1,1))</f>
        <v>371.75294069149942</v>
      </c>
      <c r="T24" s="62">
        <f t="shared" si="34"/>
        <v>233.32640143610547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2.84</v>
      </c>
      <c r="AI24" s="14">
        <f>IF('Données projet'!$A$62&gt;35,AI23+AH24-AQ23,IF(A24&lt;'Données projet'!$A$62,$AF$205^A24,IF(A24='Données projet'!$A$62,'Données projet'!$B$62,AI23+AH24-AQ23)))</f>
        <v>35.896905597183761</v>
      </c>
      <c r="AJ24" s="14">
        <f>AI24*VLOOKUP('Données projet'!$B$10,Paramètres!$A$1:$I$89,3,0)*VLOOKUP('Données projet'!$B$10,Paramètres!$A$1:$I$89,5,0)</f>
        <v>30.239553275067603</v>
      </c>
      <c r="AK24" s="14">
        <f t="shared" si="35"/>
        <v>9.3710544811578149</v>
      </c>
      <c r="AL24" s="22">
        <f t="shared" si="4"/>
        <v>68.988475175425933</v>
      </c>
      <c r="AM24" s="62">
        <f t="shared" si="5"/>
        <v>351.32180850875926</v>
      </c>
      <c r="AN24" s="62">
        <f ca="1">AVERAGE(OFFSET($AM$3,0,0,'Données projet'!$E$10+1,1))-AVERAGE(OFFSET($H$3,0,0,'Données projet'!$E$10+1,1))</f>
        <v>348.84749506659495</v>
      </c>
      <c r="AO24" s="62">
        <f t="shared" si="36"/>
        <v>220.09202639602199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6.5</v>
      </c>
      <c r="BD24" s="13">
        <f>IF('Données projet'!$A$88&gt;35,BD23+BC24-BL23,IF(A24&lt;'Données projet'!$A$88,$BA$205^A24,IF(A24='Données projet'!$A$88,'Données projet'!$B$88,BD23+BC24-BL23)))</f>
        <v>121.5</v>
      </c>
      <c r="BE24" s="14">
        <f>BD24*VLOOKUP('Données projet'!$B$11,Paramètres!$A$1:$I$89,3,0)*VLOOKUP('Données projet'!$B$11,Paramètres!$A$1:$I$89,5,0)</f>
        <v>56.861999999999995</v>
      </c>
      <c r="BF24" s="14">
        <f t="shared" si="37"/>
        <v>16.372420859571687</v>
      </c>
      <c r="BG24" s="22">
        <f t="shared" si="7"/>
        <v>127.54994966375402</v>
      </c>
      <c r="BH24" s="62">
        <f t="shared" si="8"/>
        <v>409.88328299708735</v>
      </c>
      <c r="BI24" s="62">
        <f ca="1">AVERAGE(OFFSET($BH$3,0,0,'Données projet'!$E$11+1,1))-AVERAGE(OFFSET($H$3,0,0,'Données projet'!$E$11+1,1))</f>
        <v>259.74478933784656</v>
      </c>
      <c r="BJ24" s="62">
        <f t="shared" si="38"/>
        <v>223.74038909289646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2.84</v>
      </c>
      <c r="BY24" s="13">
        <f>IF('Données projet'!$A$114&gt;35,BY23+BX24-CG23,IF(A24&lt;'Données projet'!$A$114,$BV$205^A24,IF(A24='Données projet'!$A$114,'Données projet'!$B$114,BY23+BX24-CG23)))</f>
        <v>35.896905597183761</v>
      </c>
      <c r="BZ24" s="14">
        <f>BY24*VLOOKUP('Données projet'!$B$12,Paramètres!$A$1:$I$89,3,0)*VLOOKUP('Données projet'!$B$12,Paramètres!$A$1:$I$89,5,0)</f>
        <v>36.399462275544337</v>
      </c>
      <c r="CA24" s="14">
        <f t="shared" si="39"/>
        <v>11.039148575212362</v>
      </c>
      <c r="CB24" s="22">
        <f t="shared" si="10"/>
        <v>82.62224723173459</v>
      </c>
      <c r="CC24" s="62">
        <f t="shared" si="11"/>
        <v>364.95558056506792</v>
      </c>
      <c r="CD24" s="62">
        <f ca="1">AVERAGE(OFFSET($CC$3,0,0,'Données projet'!$E$12+1,1))-AVERAGE(OFFSET($H$3,0,0,'Données projet'!$E$12+1,1))</f>
        <v>411.75894069172358</v>
      </c>
      <c r="CE24" s="62">
        <f t="shared" si="40"/>
        <v>256.4377087753457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2.84</v>
      </c>
      <c r="N25" s="14">
        <f>IF('Données projet'!$A$36&gt;35,N24+M25-V24,IF(A25&lt;'Données projet'!$A$36,$K$205^A25,IF(A25='Données projet'!$A$36,'Données projet'!$B$36,N24+M25-V24)))</f>
        <v>42.570362355521766</v>
      </c>
      <c r="O25" s="14">
        <f>N25*VLOOKUP('Données projet'!$B$9,Paramètres!$A$1:$I$89,3,0)*VLOOKUP('Données projet'!$B$9,Paramètres!$A$1:$I$89,5,0)</f>
        <v>38.517663859276098</v>
      </c>
      <c r="P25" s="14">
        <f t="shared" si="33"/>
        <v>11.604894236587789</v>
      </c>
      <c r="Q25" s="22">
        <f t="shared" si="2"/>
        <v>87.2967886836296</v>
      </c>
      <c r="R25" s="62">
        <f t="shared" si="0"/>
        <v>370.85234423918513</v>
      </c>
      <c r="S25" s="62">
        <f ca="1">AVERAGE(OFFSET($R$3,0,0,'Données projet'!$E$9+1,1))-AVERAGE(OFFSET($H$3,0,0,'Données projet'!$E$9+1,1))</f>
        <v>371.75294069149942</v>
      </c>
      <c r="T25" s="62">
        <f t="shared" si="34"/>
        <v>233.32640143610547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2.84</v>
      </c>
      <c r="AI25" s="14">
        <f>IF('Données projet'!$A$62&gt;35,AI24+AH25-AQ24,IF(A25&lt;'Données projet'!$A$62,$AF$205^A25,IF(A25='Données projet'!$A$62,'Données projet'!$B$62,AI24+AH25-AQ24)))</f>
        <v>42.570362355521766</v>
      </c>
      <c r="AJ25" s="14">
        <f>AI25*VLOOKUP('Données projet'!$B$10,Paramètres!$A$1:$I$89,3,0)*VLOOKUP('Données projet'!$B$10,Paramètres!$A$1:$I$89,5,0)</f>
        <v>35.861273248291539</v>
      </c>
      <c r="AK25" s="14">
        <f t="shared" si="35"/>
        <v>10.894801899175345</v>
      </c>
      <c r="AL25" s="22">
        <f t="shared" si="4"/>
        <v>81.433497548504832</v>
      </c>
      <c r="AM25" s="62">
        <f t="shared" si="5"/>
        <v>364.98905310406036</v>
      </c>
      <c r="AN25" s="62">
        <f ca="1">AVERAGE(OFFSET($AM$3,0,0,'Données projet'!$E$10+1,1))-AVERAGE(OFFSET($H$3,0,0,'Données projet'!$E$10+1,1))</f>
        <v>348.84749506659495</v>
      </c>
      <c r="AO25" s="62">
        <f t="shared" si="36"/>
        <v>220.09202639602199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6.5</v>
      </c>
      <c r="BD25" s="13">
        <f>IF('Données projet'!$A$88&gt;35,BD24+BC25-BL24,IF(A25&lt;'Données projet'!$A$88,$BA$205^A25,IF(A25='Données projet'!$A$88,'Données projet'!$B$88,BD24+BC25-BL24)))</f>
        <v>128</v>
      </c>
      <c r="BE25" s="14">
        <f>BD25*VLOOKUP('Données projet'!$B$11,Paramètres!$A$1:$I$89,3,0)*VLOOKUP('Données projet'!$B$11,Paramètres!$A$1:$I$89,5,0)</f>
        <v>59.903999999999996</v>
      </c>
      <c r="BF25" s="14">
        <f t="shared" si="37"/>
        <v>17.143994938960184</v>
      </c>
      <c r="BG25" s="22">
        <f t="shared" si="7"/>
        <v>134.19192451868898</v>
      </c>
      <c r="BH25" s="62">
        <f t="shared" si="8"/>
        <v>417.74748007424455</v>
      </c>
      <c r="BI25" s="62">
        <f ca="1">AVERAGE(OFFSET($BH$3,0,0,'Données projet'!$E$11+1,1))-AVERAGE(OFFSET($H$3,0,0,'Données projet'!$E$11+1,1))</f>
        <v>259.74478933784656</v>
      </c>
      <c r="BJ25" s="62">
        <f t="shared" si="38"/>
        <v>223.74038909289646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2.84</v>
      </c>
      <c r="BY25" s="13">
        <f>IF('Données projet'!$A$114&gt;35,BY24+BX25-CG24,IF(A25&lt;'Données projet'!$A$114,$BV$205^A25,IF(A25='Données projet'!$A$114,'Données projet'!$B$114,BY24+BX25-CG24)))</f>
        <v>42.570362355521766</v>
      </c>
      <c r="BZ25" s="14">
        <f>BY25*VLOOKUP('Données projet'!$B$12,Paramètres!$A$1:$I$89,3,0)*VLOOKUP('Données projet'!$B$12,Paramètres!$A$1:$I$89,5,0)</f>
        <v>43.166347428499073</v>
      </c>
      <c r="CA25" s="14">
        <f t="shared" si="39"/>
        <v>12.83413057776214</v>
      </c>
      <c r="CB25" s="22">
        <f t="shared" si="10"/>
        <v>97.534165860904935</v>
      </c>
      <c r="CC25" s="62">
        <f t="shared" si="11"/>
        <v>381.08972141646046</v>
      </c>
      <c r="CD25" s="62">
        <f ca="1">AVERAGE(OFFSET($CC$3,0,0,'Données projet'!$E$12+1,1))-AVERAGE(OFFSET($H$3,0,0,'Données projet'!$E$12+1,1))</f>
        <v>411.75894069172358</v>
      </c>
      <c r="CE25" s="62">
        <f t="shared" si="40"/>
        <v>256.4377087753457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2.84</v>
      </c>
      <c r="N26" s="14">
        <f>IF('Données projet'!$A$36&gt;35,N25+M26-V25,IF(A26&lt;'Données projet'!$A$36,$K$205^A26,IF(A26='Données projet'!$A$36,'Données projet'!$B$36,N25+M26-V25)))</f>
        <v>50.484455997861858</v>
      </c>
      <c r="O26" s="14">
        <f>N26*VLOOKUP('Données projet'!$B$9,Paramètres!$A$1:$I$89,3,0)*VLOOKUP('Données projet'!$B$9,Paramètres!$A$1:$I$89,5,0)</f>
        <v>45.678335786865411</v>
      </c>
      <c r="P26" s="14">
        <f t="shared" si="33"/>
        <v>13.491867326427556</v>
      </c>
      <c r="Q26" s="22">
        <f t="shared" si="2"/>
        <v>103.0547704223186</v>
      </c>
      <c r="R26" s="62">
        <f t="shared" si="0"/>
        <v>387.83254820009637</v>
      </c>
      <c r="S26" s="62">
        <f ca="1">AVERAGE(OFFSET($R$3,0,0,'Données projet'!$E$9+1,1))-AVERAGE(OFFSET($H$3,0,0,'Données projet'!$E$9+1,1))</f>
        <v>371.75294069149942</v>
      </c>
      <c r="T26" s="62">
        <f t="shared" si="34"/>
        <v>233.32640143610547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2.84</v>
      </c>
      <c r="AI26" s="14">
        <f>IF('Données projet'!$A$62&gt;35,AI25+AH26-AQ25,IF(A26&lt;'Données projet'!$A$62,$AF$205^A26,IF(A26='Données projet'!$A$62,'Données projet'!$B$62,AI25+AH26-AQ25)))</f>
        <v>50.484455997861858</v>
      </c>
      <c r="AJ26" s="14">
        <f>AI26*VLOOKUP('Données projet'!$B$10,Paramètres!$A$1:$I$89,3,0)*VLOOKUP('Données projet'!$B$10,Paramètres!$A$1:$I$89,5,0)</f>
        <v>42.528105732598839</v>
      </c>
      <c r="AK26" s="14">
        <f t="shared" si="35"/>
        <v>12.666312917178715</v>
      </c>
      <c r="AL26" s="22">
        <f t="shared" si="4"/>
        <v>96.130279148362561</v>
      </c>
      <c r="AM26" s="62">
        <f t="shared" si="5"/>
        <v>380.90805692614032</v>
      </c>
      <c r="AN26" s="62">
        <f ca="1">AVERAGE(OFFSET($AM$3,0,0,'Données projet'!$E$10+1,1))-AVERAGE(OFFSET($H$3,0,0,'Données projet'!$E$10+1,1))</f>
        <v>348.84749506659495</v>
      </c>
      <c r="AO26" s="62">
        <f t="shared" si="36"/>
        <v>220.09202639602199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6.5</v>
      </c>
      <c r="BD26" s="13">
        <f>IF('Données projet'!$A$88&gt;35,BD25+BC26-BL25,IF(A26&lt;'Données projet'!$A$88,$BA$205^A26,IF(A26='Données projet'!$A$88,'Données projet'!$B$88,BD25+BC26-BL25)))</f>
        <v>134.5</v>
      </c>
      <c r="BE26" s="14">
        <f>BD26*VLOOKUP('Données projet'!$B$11,Paramètres!$A$1:$I$89,3,0)*VLOOKUP('Données projet'!$B$11,Paramètres!$A$1:$I$89,5,0)</f>
        <v>62.946000000000005</v>
      </c>
      <c r="BF26" s="14">
        <f t="shared" si="37"/>
        <v>17.911019680519331</v>
      </c>
      <c r="BG26" s="22">
        <f t="shared" si="7"/>
        <v>140.82597594357114</v>
      </c>
      <c r="BH26" s="62">
        <f t="shared" si="8"/>
        <v>425.60375372134888</v>
      </c>
      <c r="BI26" s="62">
        <f ca="1">AVERAGE(OFFSET($BH$3,0,0,'Données projet'!$E$11+1,1))-AVERAGE(OFFSET($H$3,0,0,'Données projet'!$E$11+1,1))</f>
        <v>259.74478933784656</v>
      </c>
      <c r="BJ26" s="62">
        <f t="shared" si="38"/>
        <v>223.74038909289646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2.84</v>
      </c>
      <c r="BY26" s="13">
        <f>IF('Données projet'!$A$114&gt;35,BY25+BX26-CG25,IF(A26&lt;'Données projet'!$A$114,$BV$205^A26,IF(A26='Données projet'!$A$114,'Données projet'!$B$114,BY25+BX26-CG25)))</f>
        <v>50.484455997861858</v>
      </c>
      <c r="BZ26" s="14">
        <f>BY26*VLOOKUP('Données projet'!$B$12,Paramètres!$A$1:$I$89,3,0)*VLOOKUP('Données projet'!$B$12,Paramètres!$A$1:$I$89,5,0)</f>
        <v>51.19123838183193</v>
      </c>
      <c r="CA26" s="14">
        <f t="shared" si="39"/>
        <v>14.920979327781229</v>
      </c>
      <c r="CB26" s="22">
        <f t="shared" si="10"/>
        <v>115.14544584424293</v>
      </c>
      <c r="CC26" s="62">
        <f t="shared" si="11"/>
        <v>399.92322362202071</v>
      </c>
      <c r="CD26" s="62">
        <f ca="1">AVERAGE(OFFSET($CC$3,0,0,'Données projet'!$E$12+1,1))-AVERAGE(OFFSET($H$3,0,0,'Données projet'!$E$12+1,1))</f>
        <v>411.75894069172358</v>
      </c>
      <c r="CE26" s="62">
        <f t="shared" si="40"/>
        <v>256.4377087753457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2.84</v>
      </c>
      <c r="N27" s="14">
        <f>IF('Données projet'!$A$36&gt;35,N26+M27-V26,IF(A27&lt;'Données projet'!$A$36,$K$205^A27,IF(A27='Données projet'!$A$36,'Données projet'!$B$36,N26+M27-V26)))</f>
        <v>59.869828593776646</v>
      </c>
      <c r="O27" s="14">
        <f>N27*VLOOKUP('Données projet'!$B$9,Paramètres!$A$1:$I$89,3,0)*VLOOKUP('Données projet'!$B$9,Paramètres!$A$1:$I$89,5,0)</f>
        <v>54.17022091164911</v>
      </c>
      <c r="P27" s="14">
        <f t="shared" si="33"/>
        <v>15.685665051562438</v>
      </c>
      <c r="Q27" s="22">
        <f t="shared" si="2"/>
        <v>121.66566805259345</v>
      </c>
      <c r="R27" s="62">
        <f t="shared" si="0"/>
        <v>407.66566805259345</v>
      </c>
      <c r="S27" s="62">
        <f ca="1">AVERAGE(OFFSET($R$3,0,0,'Données projet'!$E$9+1,1))-AVERAGE(OFFSET($H$3,0,0,'Données projet'!$E$9+1,1))</f>
        <v>371.75294069149942</v>
      </c>
      <c r="T27" s="62">
        <f t="shared" si="34"/>
        <v>233.32640143610547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2.84</v>
      </c>
      <c r="AI27" s="14">
        <f>IF('Données projet'!$A$62&gt;35,AI26+AH27-AQ26,IF(A27&lt;'Données projet'!$A$62,$AF$205^A27,IF(A27='Données projet'!$A$62,'Données projet'!$B$62,AI26+AH27-AQ26)))</f>
        <v>59.869828593776646</v>
      </c>
      <c r="AJ27" s="14">
        <f>AI27*VLOOKUP('Données projet'!$B$10,Paramètres!$A$1:$I$89,3,0)*VLOOKUP('Données projet'!$B$10,Paramètres!$A$1:$I$89,5,0)</f>
        <v>50.434343607397452</v>
      </c>
      <c r="AK27" s="14">
        <f t="shared" si="35"/>
        <v>14.725874265601121</v>
      </c>
      <c r="AL27" s="22">
        <f t="shared" si="4"/>
        <v>113.48737946213917</v>
      </c>
      <c r="AM27" s="62">
        <f t="shared" si="5"/>
        <v>399.48737946213919</v>
      </c>
      <c r="AN27" s="62">
        <f ca="1">AVERAGE(OFFSET($AM$3,0,0,'Données projet'!$E$10+1,1))-AVERAGE(OFFSET($H$3,0,0,'Données projet'!$E$10+1,1))</f>
        <v>348.84749506659495</v>
      </c>
      <c r="AO27" s="62">
        <f t="shared" si="36"/>
        <v>220.09202639602199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6.5</v>
      </c>
      <c r="BD27" s="13">
        <f>IF('Données projet'!$A$88&gt;35,BD26+BC27-BL26,IF(A27&lt;'Données projet'!$A$88,$BA$205^A27,IF(A27='Données projet'!$A$88,'Données projet'!$B$88,BD26+BC27-BL26)))</f>
        <v>141</v>
      </c>
      <c r="BE27" s="14">
        <f>BD27*VLOOKUP('Données projet'!$B$11,Paramètres!$A$1:$I$89,3,0)*VLOOKUP('Données projet'!$B$11,Paramètres!$A$1:$I$89,5,0)</f>
        <v>65.988</v>
      </c>
      <c r="BF27" s="14">
        <f t="shared" si="37"/>
        <v>18.67374003807944</v>
      </c>
      <c r="BG27" s="22">
        <f t="shared" si="7"/>
        <v>147.45253056632168</v>
      </c>
      <c r="BH27" s="62">
        <f t="shared" si="8"/>
        <v>433.45253056632168</v>
      </c>
      <c r="BI27" s="62">
        <f ca="1">AVERAGE(OFFSET($BH$3,0,0,'Données projet'!$E$11+1,1))-AVERAGE(OFFSET($H$3,0,0,'Données projet'!$E$11+1,1))</f>
        <v>259.74478933784656</v>
      </c>
      <c r="BJ27" s="62">
        <f t="shared" si="38"/>
        <v>223.74038909289646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2.84</v>
      </c>
      <c r="BY27" s="13">
        <f>IF('Données projet'!$A$114&gt;35,BY26+BX27-CG26,IF(A27&lt;'Données projet'!$A$114,$BV$205^A27,IF(A27='Données projet'!$A$114,'Données projet'!$B$114,BY26+BX27-CG26)))</f>
        <v>59.869828593776646</v>
      </c>
      <c r="BZ27" s="14">
        <f>BY27*VLOOKUP('Données projet'!$B$12,Paramètres!$A$1:$I$89,3,0)*VLOOKUP('Données projet'!$B$12,Paramètres!$A$1:$I$89,5,0)</f>
        <v>60.708006194089528</v>
      </c>
      <c r="CA27" s="14">
        <f t="shared" si="39"/>
        <v>17.347152793180882</v>
      </c>
      <c r="CB27" s="22">
        <f t="shared" si="10"/>
        <v>135.94606856949596</v>
      </c>
      <c r="CC27" s="62">
        <f t="shared" si="11"/>
        <v>421.94606856949599</v>
      </c>
      <c r="CD27" s="62">
        <f ca="1">AVERAGE(OFFSET($CC$3,0,0,'Données projet'!$E$12+1,1))-AVERAGE(OFFSET($H$3,0,0,'Données projet'!$E$12+1,1))</f>
        <v>411.75894069172358</v>
      </c>
      <c r="CE27" s="62">
        <f t="shared" si="40"/>
        <v>256.4377087753457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71</v>
      </c>
      <c r="L28" s="13">
        <f>VLOOKUP(A28,'Données projet'!$A$35:$I$55,9,0)</f>
        <v>2.84</v>
      </c>
      <c r="M28" s="13">
        <f t="array" ref="M28">INDEX(L:L,MIN(IF(ISNUMBER(L28:L224),ROW(L28:L224),"")))</f>
        <v>2.84</v>
      </c>
      <c r="N28" s="14">
        <f>IF('Données projet'!$A$36&gt;35,N27+M28-V27,IF(A28&lt;'Données projet'!$A$36,$K$205^A28,IF(A28='Données projet'!$A$36,'Données projet'!$B$36,N27+M28-V27)))</f>
        <v>71</v>
      </c>
      <c r="O28" s="14">
        <f>N28*VLOOKUP('Données projet'!$B$9,Paramètres!$A$1:$I$89,3,0)*VLOOKUP('Données projet'!$B$9,Paramètres!$A$1:$I$89,5,0)</f>
        <v>64.240800000000007</v>
      </c>
      <c r="P28" s="14">
        <f t="shared" si="33"/>
        <v>18.236177554745847</v>
      </c>
      <c r="Q28" s="22">
        <f t="shared" si="2"/>
        <v>143.6474025745157</v>
      </c>
      <c r="R28" s="62">
        <f t="shared" si="0"/>
        <v>430.86962479673792</v>
      </c>
      <c r="S28" s="62">
        <f ca="1">AVERAGE(OFFSET($R$3,0,0,'Données projet'!$E$9+1,1))-AVERAGE(OFFSET($H$3,0,0,'Données projet'!$E$9+1,1))</f>
        <v>371.75294069149942</v>
      </c>
      <c r="T28" s="62">
        <f t="shared" si="34"/>
        <v>233.32640143610547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2.84</v>
      </c>
      <c r="AH28" s="13">
        <f t="array" ref="AH28">INDEX(AG:AG,MIN(IF(ISNUMBER(AG28:AG224),ROW(AG28:AG224),"")))</f>
        <v>2.84</v>
      </c>
      <c r="AI28" s="14">
        <f>IF('Données projet'!$A$62&gt;35,AI27+AH28-AQ27,IF(A28&lt;'Données projet'!$A$62,$AF$205^A28,IF(A28='Données projet'!$A$62,'Données projet'!$B$62,AI27+AH28-AQ27)))</f>
        <v>71</v>
      </c>
      <c r="AJ28" s="14">
        <f>AI28*VLOOKUP('Données projet'!$B$10,Paramètres!$A$1:$I$89,3,0)*VLOOKUP('Données projet'!$B$10,Paramètres!$A$1:$I$89,5,0)</f>
        <v>59.810400000000008</v>
      </c>
      <c r="AK28" s="14">
        <f t="shared" si="35"/>
        <v>17.120323357256389</v>
      </c>
      <c r="AL28" s="22">
        <f t="shared" si="4"/>
        <v>133.9876765138882</v>
      </c>
      <c r="AM28" s="62">
        <f t="shared" si="5"/>
        <v>421.2098987361104</v>
      </c>
      <c r="AN28" s="62">
        <f ca="1">AVERAGE(OFFSET($AM$3,0,0,'Données projet'!$E$10+1,1))-AVERAGE(OFFSET($H$3,0,0,'Données projet'!$E$10+1,1))</f>
        <v>348.84749506659495</v>
      </c>
      <c r="AO28" s="62">
        <f t="shared" si="36"/>
        <v>220.09202639602199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6.5</v>
      </c>
      <c r="BD28" s="13">
        <f>IF('Données projet'!$A$88&gt;35,BD27+BC28-BL27,IF(A28&lt;'Données projet'!$A$88,$BA$205^A28,IF(A28='Données projet'!$A$88,'Données projet'!$B$88,BD27+BC28-BL27)))</f>
        <v>147.5</v>
      </c>
      <c r="BE28" s="14">
        <f>BD28*VLOOKUP('Données projet'!$B$11,Paramètres!$A$1:$I$89,3,0)*VLOOKUP('Données projet'!$B$11,Paramètres!$A$1:$I$89,5,0)</f>
        <v>69.03</v>
      </c>
      <c r="BF28" s="14">
        <f t="shared" si="37"/>
        <v>19.432377104615718</v>
      </c>
      <c r="BG28" s="22">
        <f t="shared" si="7"/>
        <v>154.0719734572057</v>
      </c>
      <c r="BH28" s="62">
        <f t="shared" si="8"/>
        <v>441.29419567942796</v>
      </c>
      <c r="BI28" s="62">
        <f ca="1">AVERAGE(OFFSET($BH$3,0,0,'Données projet'!$E$11+1,1))-AVERAGE(OFFSET($H$3,0,0,'Données projet'!$E$11+1,1))</f>
        <v>259.74478933784656</v>
      </c>
      <c r="BJ28" s="62">
        <f t="shared" si="38"/>
        <v>223.74038909289646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71</v>
      </c>
      <c r="BW28" s="13">
        <f>VLOOKUP(A28,'Données projet'!$A$113:$I$133,9,0)</f>
        <v>2.84</v>
      </c>
      <c r="BX28" s="13">
        <f t="array" ref="BX28">INDEX(BW:BW,MIN(IF(ISNUMBER(BW28:BW224),ROW(BW28:BW224),"")))</f>
        <v>2.84</v>
      </c>
      <c r="BY28" s="13">
        <f>IF('Données projet'!$A$114&gt;35,BY27+BX28-CG27,IF(A28&lt;'Données projet'!$A$114,$BV$205^A28,IF(A28='Données projet'!$A$114,'Données projet'!$B$114,BY27+BX28-CG27)))</f>
        <v>71</v>
      </c>
      <c r="BZ28" s="14">
        <f>BY28*VLOOKUP('Données projet'!$B$12,Paramètres!$A$1:$I$89,3,0)*VLOOKUP('Données projet'!$B$12,Paramètres!$A$1:$I$89,5,0)</f>
        <v>71.994</v>
      </c>
      <c r="CA28" s="14">
        <f t="shared" si="39"/>
        <v>20.167825678149413</v>
      </c>
      <c r="CB28" s="22">
        <f t="shared" si="10"/>
        <v>160.51517972277688</v>
      </c>
      <c r="CC28" s="62">
        <f t="shared" si="11"/>
        <v>447.73740194499908</v>
      </c>
      <c r="CD28" s="62">
        <f ca="1">AVERAGE(OFFSET($CC$3,0,0,'Données projet'!$E$12+1,1))-AVERAGE(OFFSET($H$3,0,0,'Données projet'!$E$12+1,1))</f>
        <v>411.75894069172358</v>
      </c>
      <c r="CE28" s="62">
        <f t="shared" si="40"/>
        <v>256.4377087753457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70</v>
      </c>
      <c r="O29" s="14">
        <f>N29*VLOOKUP('Données projet'!$B$9,Paramètres!$A$1:$I$89,3,0)*VLOOKUP('Données projet'!$B$9,Paramètres!$A$1:$I$89,5,0)</f>
        <v>63.335999999999991</v>
      </c>
      <c r="P29" s="14">
        <f t="shared" si="33"/>
        <v>18.009040022946227</v>
      </c>
      <c r="Q29" s="22">
        <f t="shared" si="2"/>
        <v>141.67594470663133</v>
      </c>
      <c r="R29" s="62">
        <f t="shared" si="0"/>
        <v>430.12038915107576</v>
      </c>
      <c r="S29" s="62">
        <f ca="1">AVERAGE(OFFSET($R$3,0,0,'Données projet'!$E$9+1,1))-AVERAGE(OFFSET($H$3,0,0,'Données projet'!$E$9+1,1))</f>
        <v>371.75294069149942</v>
      </c>
      <c r="T29" s="62">
        <f t="shared" si="34"/>
        <v>233.32640143610547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70</v>
      </c>
      <c r="AJ29" s="14">
        <f>AI29*VLOOKUP('Données projet'!$B$10,Paramètres!$A$1:$I$89,3,0)*VLOOKUP('Données projet'!$B$10,Paramètres!$A$1:$I$89,5,0)</f>
        <v>58.968000000000011</v>
      </c>
      <c r="AK29" s="14">
        <f t="shared" si="35"/>
        <v>16.907084152971134</v>
      </c>
      <c r="AL29" s="22">
        <f t="shared" si="4"/>
        <v>132.14910489975807</v>
      </c>
      <c r="AM29" s="62">
        <f t="shared" si="5"/>
        <v>420.59354934420253</v>
      </c>
      <c r="AN29" s="62">
        <f ca="1">AVERAGE(OFFSET($AM$3,0,0,'Données projet'!$E$10+1,1))-AVERAGE(OFFSET($H$3,0,0,'Données projet'!$E$10+1,1))</f>
        <v>348.84749506659495</v>
      </c>
      <c r="AO29" s="62">
        <f t="shared" si="36"/>
        <v>220.09202639602199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6.5</v>
      </c>
      <c r="BD29" s="13">
        <f>IF('Données projet'!$A$88&gt;35,BD28+BC29-BL28,IF(A29&lt;'Données projet'!$A$88,$BA$205^A29,IF(A29='Données projet'!$A$88,'Données projet'!$B$88,BD28+BC29-BL28)))</f>
        <v>154</v>
      </c>
      <c r="BE29" s="14">
        <f>BD29*VLOOKUP('Données projet'!$B$11,Paramètres!$A$1:$I$89,3,0)*VLOOKUP('Données projet'!$B$11,Paramètres!$A$1:$I$89,5,0)</f>
        <v>72.072000000000003</v>
      </c>
      <c r="BF29" s="14">
        <f t="shared" si="37"/>
        <v>20.187131385147271</v>
      </c>
      <c r="BG29" s="22">
        <f t="shared" si="7"/>
        <v>160.68465382913149</v>
      </c>
      <c r="BH29" s="62">
        <f t="shared" si="8"/>
        <v>449.12909827357595</v>
      </c>
      <c r="BI29" s="62">
        <f ca="1">AVERAGE(OFFSET($BH$3,0,0,'Données projet'!$E$11+1,1))-AVERAGE(OFFSET($H$3,0,0,'Données projet'!$E$11+1,1))</f>
        <v>259.74478933784656</v>
      </c>
      <c r="BJ29" s="62">
        <f t="shared" si="38"/>
        <v>223.74038909289646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70</v>
      </c>
      <c r="BZ29" s="14">
        <f>BY29*VLOOKUP('Données projet'!$B$12,Paramètres!$A$1:$I$89,3,0)*VLOOKUP('Données projet'!$B$12,Paramètres!$A$1:$I$89,5,0)</f>
        <v>70.98</v>
      </c>
      <c r="CA29" s="14">
        <f t="shared" si="39"/>
        <v>19.916628839746853</v>
      </c>
      <c r="CB29" s="22">
        <f t="shared" si="10"/>
        <v>158.31162856255909</v>
      </c>
      <c r="CC29" s="62">
        <f t="shared" si="11"/>
        <v>446.75607300700358</v>
      </c>
      <c r="CD29" s="62">
        <f ca="1">AVERAGE(OFFSET($CC$3,0,0,'Données projet'!$E$12+1,1))-AVERAGE(OFFSET($H$3,0,0,'Données projet'!$E$12+1,1))</f>
        <v>411.75894069172358</v>
      </c>
      <c r="CE29" s="62">
        <f t="shared" si="40"/>
        <v>256.4377087753457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77</v>
      </c>
      <c r="O30" s="14">
        <f>N30*VLOOKUP('Données projet'!$B$9,Paramètres!$A$1:$I$89,3,0)*VLOOKUP('Données projet'!$B$9,Paramètres!$A$1:$I$89,5,0)</f>
        <v>69.669600000000003</v>
      </c>
      <c r="P30" s="14">
        <f t="shared" si="33"/>
        <v>19.591385027476957</v>
      </c>
      <c r="Q30" s="22">
        <f t="shared" si="2"/>
        <v>155.46288225618903</v>
      </c>
      <c r="R30" s="62">
        <f t="shared" si="0"/>
        <v>445.12954892285575</v>
      </c>
      <c r="S30" s="62">
        <f ca="1">AVERAGE(OFFSET($R$3,0,0,'Données projet'!$E$9+1,1))-AVERAGE(OFFSET($H$3,0,0,'Données projet'!$E$9+1,1))</f>
        <v>371.75294069149942</v>
      </c>
      <c r="T30" s="62">
        <f t="shared" si="34"/>
        <v>233.32640143610547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64.864800000000017</v>
      </c>
      <c r="AK30" s="14">
        <f t="shared" si="35"/>
        <v>18.392606985756636</v>
      </c>
      <c r="AL30" s="22">
        <f t="shared" si="4"/>
        <v>145.00665050019282</v>
      </c>
      <c r="AM30" s="62">
        <f t="shared" si="5"/>
        <v>434.67331716685953</v>
      </c>
      <c r="AN30" s="62">
        <f ca="1">AVERAGE(OFFSET($AM$3,0,0,'Données projet'!$E$10+1,1))-AVERAGE(OFFSET($H$3,0,0,'Données projet'!$E$10+1,1))</f>
        <v>348.84749506659495</v>
      </c>
      <c r="AO30" s="62">
        <f t="shared" si="36"/>
        <v>220.09202639602199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6.5</v>
      </c>
      <c r="BD30" s="13">
        <f>IF('Données projet'!$A$88&gt;35,BD29+BC30-BL29,IF(A30&lt;'Données projet'!$A$88,$BA$205^A30,IF(A30='Données projet'!$A$88,'Données projet'!$B$88,BD29+BC30-BL29)))</f>
        <v>160.5</v>
      </c>
      <c r="BE30" s="14">
        <f>BD30*VLOOKUP('Données projet'!$B$11,Paramètres!$A$1:$I$89,3,0)*VLOOKUP('Données projet'!$B$11,Paramètres!$A$1:$I$89,5,0)</f>
        <v>75.114000000000004</v>
      </c>
      <c r="BF30" s="14">
        <f t="shared" si="37"/>
        <v>20.938185501492693</v>
      </c>
      <c r="BG30" s="22">
        <f t="shared" si="7"/>
        <v>167.2908897484331</v>
      </c>
      <c r="BH30" s="62">
        <f t="shared" si="8"/>
        <v>456.95755641509982</v>
      </c>
      <c r="BI30" s="62">
        <f ca="1">AVERAGE(OFFSET($BH$3,0,0,'Données projet'!$E$11+1,1))-AVERAGE(OFFSET($H$3,0,0,'Données projet'!$E$11+1,1))</f>
        <v>259.74478933784656</v>
      </c>
      <c r="BJ30" s="62">
        <f t="shared" si="38"/>
        <v>223.74038909289646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77</v>
      </c>
      <c r="BZ30" s="14">
        <f>BY30*VLOOKUP('Données projet'!$B$12,Paramètres!$A$1:$I$89,3,0)*VLOOKUP('Données projet'!$B$12,Paramètres!$A$1:$I$89,5,0)</f>
        <v>78.078000000000003</v>
      </c>
      <c r="CA30" s="14">
        <f t="shared" si="39"/>
        <v>21.666582091642084</v>
      </c>
      <c r="CB30" s="22">
        <f t="shared" si="10"/>
        <v>173.72181380960993</v>
      </c>
      <c r="CC30" s="62">
        <f t="shared" si="11"/>
        <v>463.38848047627664</v>
      </c>
      <c r="CD30" s="62">
        <f ca="1">AVERAGE(OFFSET($CC$3,0,0,'Données projet'!$E$12+1,1))-AVERAGE(OFFSET($H$3,0,0,'Données projet'!$E$12+1,1))</f>
        <v>411.75894069172358</v>
      </c>
      <c r="CE30" s="62">
        <f t="shared" si="40"/>
        <v>256.4377087753457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84</v>
      </c>
      <c r="O31" s="14">
        <f>N31*VLOOKUP('Données projet'!$B$9,Paramètres!$A$1:$I$89,3,0)*VLOOKUP('Données projet'!$B$9,Paramètres!$A$1:$I$89,5,0)</f>
        <v>76.003200000000007</v>
      </c>
      <c r="P31" s="14">
        <f t="shared" si="33"/>
        <v>21.157049992000456</v>
      </c>
      <c r="Q31" s="22">
        <f t="shared" si="2"/>
        <v>169.22076873606747</v>
      </c>
      <c r="R31" s="62">
        <f t="shared" si="0"/>
        <v>460.1096576249563</v>
      </c>
      <c r="S31" s="62">
        <f ca="1">AVERAGE(OFFSET($R$3,0,0,'Données projet'!$E$9+1,1))-AVERAGE(OFFSET($H$3,0,0,'Données projet'!$E$9+1,1))</f>
        <v>371.75294069149942</v>
      </c>
      <c r="T31" s="62">
        <f t="shared" si="34"/>
        <v>233.32640143610547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84</v>
      </c>
      <c r="AJ31" s="14">
        <f>AI31*VLOOKUP('Données projet'!$B$10,Paramètres!$A$1:$I$89,3,0)*VLOOKUP('Données projet'!$B$10,Paramètres!$A$1:$I$89,5,0)</f>
        <v>70.761600000000001</v>
      </c>
      <c r="AK31" s="14">
        <f t="shared" si="35"/>
        <v>19.862470414169767</v>
      </c>
      <c r="AL31" s="22">
        <f t="shared" si="4"/>
        <v>157.83692263801234</v>
      </c>
      <c r="AM31" s="62">
        <f t="shared" si="5"/>
        <v>448.72581152690123</v>
      </c>
      <c r="AN31" s="62">
        <f ca="1">AVERAGE(OFFSET($AM$3,0,0,'Données projet'!$E$10+1,1))-AVERAGE(OFFSET($H$3,0,0,'Données projet'!$E$10+1,1))</f>
        <v>348.84749506659495</v>
      </c>
      <c r="AO31" s="62">
        <f t="shared" si="36"/>
        <v>220.09202639602199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6.5</v>
      </c>
      <c r="BD31" s="13">
        <f>IF('Données projet'!$A$88&gt;35,BD30+BC31-BL30,IF(A31&lt;'Données projet'!$A$88,$BA$205^A31,IF(A31='Données projet'!$A$88,'Données projet'!$B$88,BD30+BC31-BL30)))</f>
        <v>167</v>
      </c>
      <c r="BE31" s="14">
        <f>BD31*VLOOKUP('Données projet'!$B$11,Paramètres!$A$1:$I$89,3,0)*VLOOKUP('Données projet'!$B$11,Paramètres!$A$1:$I$89,5,0)</f>
        <v>78.156000000000006</v>
      </c>
      <c r="BF31" s="14">
        <f t="shared" si="37"/>
        <v>21.685706446534809</v>
      </c>
      <c r="BG31" s="22">
        <f t="shared" si="7"/>
        <v>173.89097206104813</v>
      </c>
      <c r="BH31" s="62">
        <f t="shared" si="8"/>
        <v>464.77986094993696</v>
      </c>
      <c r="BI31" s="62">
        <f ca="1">AVERAGE(OFFSET($BH$3,0,0,'Données projet'!$E$11+1,1))-AVERAGE(OFFSET($H$3,0,0,'Données projet'!$E$11+1,1))</f>
        <v>259.74478933784656</v>
      </c>
      <c r="BJ31" s="62">
        <f t="shared" si="38"/>
        <v>223.74038909289646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84</v>
      </c>
      <c r="BZ31" s="14">
        <f>BY31*VLOOKUP('Données projet'!$B$12,Paramètres!$A$1:$I$89,3,0)*VLOOKUP('Données projet'!$B$12,Paramètres!$A$1:$I$89,5,0)</f>
        <v>85.176000000000002</v>
      </c>
      <c r="CA31" s="14">
        <f t="shared" si="39"/>
        <v>23.398088487656441</v>
      </c>
      <c r="CB31" s="22">
        <f t="shared" si="10"/>
        <v>189.09987078266829</v>
      </c>
      <c r="CC31" s="62">
        <f t="shared" si="11"/>
        <v>479.98875967155715</v>
      </c>
      <c r="CD31" s="62">
        <f ca="1">AVERAGE(OFFSET($CC$3,0,0,'Données projet'!$E$12+1,1))-AVERAGE(OFFSET($H$3,0,0,'Données projet'!$E$12+1,1))</f>
        <v>411.75894069172358</v>
      </c>
      <c r="CE31" s="62">
        <f t="shared" si="40"/>
        <v>256.4377087753457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91</v>
      </c>
      <c r="O32" s="14">
        <f>N32*VLOOKUP('Données projet'!$B$9,Paramètres!$A$1:$I$89,3,0)*VLOOKUP('Données projet'!$B$9,Paramètres!$A$1:$I$89,5,0)</f>
        <v>82.336799999999997</v>
      </c>
      <c r="P32" s="14">
        <f t="shared" si="33"/>
        <v>22.707582950885364</v>
      </c>
      <c r="Q32" s="22">
        <f t="shared" si="2"/>
        <v>182.95230030612535</v>
      </c>
      <c r="R32" s="62">
        <f t="shared" si="0"/>
        <v>475.06341141723647</v>
      </c>
      <c r="S32" s="62">
        <f ca="1">AVERAGE(OFFSET($R$3,0,0,'Données projet'!$E$9+1,1))-AVERAGE(OFFSET($H$3,0,0,'Données projet'!$E$9+1,1))</f>
        <v>371.75294069149942</v>
      </c>
      <c r="T32" s="62">
        <f t="shared" si="34"/>
        <v>233.32640143610547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91</v>
      </c>
      <c r="AJ32" s="14">
        <f>AI32*VLOOKUP('Données projet'!$B$10,Paramètres!$A$1:$I$89,3,0)*VLOOKUP('Données projet'!$B$10,Paramètres!$A$1:$I$89,5,0)</f>
        <v>76.6584</v>
      </c>
      <c r="AK32" s="14">
        <f t="shared" si="35"/>
        <v>21.318127749842347</v>
      </c>
      <c r="AL32" s="22">
        <f t="shared" si="4"/>
        <v>170.6424524976421</v>
      </c>
      <c r="AM32" s="62">
        <f t="shared" si="5"/>
        <v>462.75356360875321</v>
      </c>
      <c r="AN32" s="62">
        <f ca="1">AVERAGE(OFFSET($AM$3,0,0,'Données projet'!$E$10+1,1))-AVERAGE(OFFSET($H$3,0,0,'Données projet'!$E$10+1,1))</f>
        <v>348.84749506659495</v>
      </c>
      <c r="AO32" s="62">
        <f t="shared" si="36"/>
        <v>220.09202639602199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6.5</v>
      </c>
      <c r="BD32" s="13">
        <f>IF('Données projet'!$A$88&gt;35,BD31+BC32-BL31,IF(A32&lt;'Données projet'!$A$88,$BA$205^A32,IF(A32='Données projet'!$A$88,'Données projet'!$B$88,BD31+BC32-BL31)))</f>
        <v>173.5</v>
      </c>
      <c r="BE32" s="14">
        <f>BD32*VLOOKUP('Données projet'!$B$11,Paramètres!$A$1:$I$89,3,0)*VLOOKUP('Données projet'!$B$11,Paramètres!$A$1:$I$89,5,0)</f>
        <v>81.198000000000008</v>
      </c>
      <c r="BF32" s="14">
        <f t="shared" si="37"/>
        <v>22.429847477648512</v>
      </c>
      <c r="BG32" s="22">
        <f t="shared" si="7"/>
        <v>180.48516769023783</v>
      </c>
      <c r="BH32" s="62">
        <f t="shared" si="8"/>
        <v>472.59627880134894</v>
      </c>
      <c r="BI32" s="62">
        <f ca="1">AVERAGE(OFFSET($BH$3,0,0,'Données projet'!$E$11+1,1))-AVERAGE(OFFSET($H$3,0,0,'Données projet'!$E$11+1,1))</f>
        <v>259.74478933784656</v>
      </c>
      <c r="BJ32" s="62">
        <f t="shared" si="38"/>
        <v>223.74038909289646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91</v>
      </c>
      <c r="BZ32" s="14">
        <f>BY32*VLOOKUP('Données projet'!$B$12,Paramètres!$A$1:$I$89,3,0)*VLOOKUP('Données projet'!$B$12,Paramètres!$A$1:$I$89,5,0)</f>
        <v>92.274000000000001</v>
      </c>
      <c r="CA32" s="14">
        <f t="shared" si="39"/>
        <v>25.112860036087575</v>
      </c>
      <c r="CB32" s="22">
        <f t="shared" si="10"/>
        <v>204.4487812295192</v>
      </c>
      <c r="CC32" s="62">
        <f t="shared" si="11"/>
        <v>496.55989234063031</v>
      </c>
      <c r="CD32" s="62">
        <f ca="1">AVERAGE(OFFSET($CC$3,0,0,'Données projet'!$E$12+1,1))-AVERAGE(OFFSET($H$3,0,0,'Données projet'!$E$12+1,1))</f>
        <v>411.75894069172358</v>
      </c>
      <c r="CE32" s="62">
        <f t="shared" si="40"/>
        <v>256.4377087753457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98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98</v>
      </c>
      <c r="O33" s="14">
        <f>N33*VLOOKUP('Données projet'!$B$9,Paramètres!$A$1:$I$89,3,0)*VLOOKUP('Données projet'!$B$9,Paramètres!$A$1:$I$89,5,0)</f>
        <v>88.670400000000001</v>
      </c>
      <c r="P33" s="14">
        <f t="shared" si="33"/>
        <v>24.244280250395512</v>
      </c>
      <c r="Q33" s="22">
        <f t="shared" si="2"/>
        <v>196.65973476943884</v>
      </c>
      <c r="R33" s="62">
        <f t="shared" si="0"/>
        <v>489.99306810277216</v>
      </c>
      <c r="S33" s="62">
        <f ca="1">AVERAGE(OFFSET($R$3,0,0,'Données projet'!$E$9+1,1))-AVERAGE(OFFSET($H$3,0,0,'Données projet'!$E$9+1,1))</f>
        <v>371.75294069149942</v>
      </c>
      <c r="T33" s="62">
        <f t="shared" si="34"/>
        <v>233.32640143610547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0.129</v>
      </c>
      <c r="Y33" s="17">
        <f>IF(ISNA(VLOOKUP(A33,'Données projet'!$A$35:$I$55,7,0)),0%,VLOOKUP(A33,'Données projet'!$A$35:$I$55,7,0))</f>
        <v>0.7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2.6989531705774374</v>
      </c>
      <c r="AB33" s="23">
        <f>EXP(-LN(2)/2)*AB32+(1-EXP(-LN(2)/2))/(LN(2)/2)*V33*Y33*VLOOKUP('Données projet'!$B$9,Paramètres!$A$1:$I$89,3,0)*0.475*44/12</f>
        <v>12.54943633932384</v>
      </c>
      <c r="AC33" s="24">
        <f t="shared" si="3"/>
        <v>15.248389509901278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82.555199999999999</v>
      </c>
      <c r="AK33" s="14">
        <f t="shared" si="35"/>
        <v>22.760796016854769</v>
      </c>
      <c r="AL33" s="22">
        <f t="shared" si="4"/>
        <v>183.42535972935536</v>
      </c>
      <c r="AM33" s="62">
        <f t="shared" si="5"/>
        <v>476.75869306268868</v>
      </c>
      <c r="AN33" s="62">
        <f ca="1">AVERAGE(OFFSET($AM$3,0,0,'Données projet'!$E$10+1,1))-AVERAGE(OFFSET($H$3,0,0,'Données projet'!$E$10+1,1))</f>
        <v>348.84749506659495</v>
      </c>
      <c r="AO33" s="62">
        <f t="shared" si="36"/>
        <v>220.09202639602199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0.129</v>
      </c>
      <c r="AT33" s="17">
        <f>IF(ISNA(VLOOKUP(A33,'Données projet'!$A$61:$I$81,7,0)),0%,VLOOKUP(A33,'Données projet'!$A$61:$I$81,7,0))</f>
        <v>0.7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2.512818469158304</v>
      </c>
      <c r="AW33" s="23">
        <f>EXP(-LN(2)/2)*AW32+(1-EXP(-LN(2)/2))/(LN(2)/2)*AQ33*AT33*VLOOKUP('Données projet'!$B$10,Paramètres!$A$1:$I$89,3,0)*0.475*44/12</f>
        <v>11.683957971094612</v>
      </c>
      <c r="AX33" s="23">
        <f t="shared" si="6"/>
        <v>14.196776440252917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180</v>
      </c>
      <c r="BB33" s="13">
        <f>VLOOKUP(A33,'Données projet'!$A$87:$I$107,9,0)</f>
        <v>6.5</v>
      </c>
      <c r="BC33" s="13">
        <f t="array" ref="BC33">INDEX(BB:BB,MIN(IF(ISNUMBER(BB33:BB229),ROW(BB33:BB229),"")))</f>
        <v>6.5</v>
      </c>
      <c r="BD33" s="13">
        <f>IF('Données projet'!$A$88&gt;35,BD32+BC33-BL32,IF(A33&lt;'Données projet'!$A$88,$BA$205^A33,IF(A33='Données projet'!$A$88,'Données projet'!$B$88,BD32+BC33-BL32)))</f>
        <v>180</v>
      </c>
      <c r="BE33" s="14">
        <f>BD33*VLOOKUP('Données projet'!$B$11,Paramètres!$A$1:$I$89,3,0)*VLOOKUP('Données projet'!$B$11,Paramètres!$A$1:$I$89,5,0)</f>
        <v>84.24</v>
      </c>
      <c r="BF33" s="14">
        <f t="shared" si="37"/>
        <v>23.170749718409468</v>
      </c>
      <c r="BG33" s="22">
        <f t="shared" si="7"/>
        <v>187.07372242622981</v>
      </c>
      <c r="BH33" s="62">
        <f t="shared" si="8"/>
        <v>480.40705575956315</v>
      </c>
      <c r="BI33" s="62">
        <f ca="1">AVERAGE(OFFSET($BH$3,0,0,'Données projet'!$E$11+1,1))-AVERAGE(OFFSET($H$3,0,0,'Données projet'!$E$11+1,1))</f>
        <v>259.74478933784656</v>
      </c>
      <c r="BJ33" s="62">
        <f t="shared" si="38"/>
        <v>223.74038909289646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0.11000000000000001</v>
      </c>
      <c r="BO33" s="17">
        <f>IF(ISNA(VLOOKUP(A33,'Données projet'!$A$87:$I$107,7,0)),0%,VLOOKUP(A33,'Données projet'!$A$87:$I$107,7,0))</f>
        <v>0.8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98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98</v>
      </c>
      <c r="BZ33" s="14">
        <f>BY33*VLOOKUP('Données projet'!$B$12,Paramètres!$A$1:$I$89,3,0)*VLOOKUP('Données projet'!$B$12,Paramètres!$A$1:$I$89,5,0)</f>
        <v>99.372000000000014</v>
      </c>
      <c r="CA33" s="14">
        <f t="shared" si="39"/>
        <v>26.812330397327713</v>
      </c>
      <c r="CB33" s="22">
        <f t="shared" si="10"/>
        <v>219.7710421086791</v>
      </c>
      <c r="CC33" s="62">
        <f t="shared" si="11"/>
        <v>513.10437544201238</v>
      </c>
      <c r="CD33" s="62">
        <f ca="1">AVERAGE(OFFSET($CC$3,0,0,'Données projet'!$E$12+1,1))-AVERAGE(OFFSET($H$3,0,0,'Données projet'!$E$12+1,1))</f>
        <v>411.75894069172358</v>
      </c>
      <c r="CE33" s="62">
        <f t="shared" si="40"/>
        <v>256.4377087753457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21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0.129</v>
      </c>
      <c r="CJ33" s="17">
        <f>IF(ISNA(VLOOKUP(A33,'Données projet'!$A$113:$I$133,7,0)),0%,VLOOKUP(A33,'Données projet'!$A$113:$I$133,7,0))</f>
        <v>0.7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3.024688898060921</v>
      </c>
      <c r="CM33" s="23">
        <f>EXP(-LN(2)/2)*CM32+(1-EXP(-LN(2)/2))/(LN(2)/2)*CG33*CJ33*VLOOKUP('Données projet'!$B$12,Paramètres!$A$1:$I$89,3,0)*0.475*44/12</f>
        <v>14.064023483724995</v>
      </c>
      <c r="CN33" s="24">
        <f t="shared" si="12"/>
        <v>17.088712381785918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84.8</v>
      </c>
      <c r="O34" s="14">
        <f>N34*VLOOKUP('Données projet'!$B$9,Paramètres!$A$1:$I$89,3,0)*VLOOKUP('Données projet'!$B$9,Paramètres!$A$1:$I$89,5,0)</f>
        <v>76.727040000000002</v>
      </c>
      <c r="P34" s="14">
        <f t="shared" si="33"/>
        <v>21.334993267156708</v>
      </c>
      <c r="Q34" s="22">
        <f t="shared" si="2"/>
        <v>170.79137460696458</v>
      </c>
      <c r="R34" s="62">
        <f t="shared" si="0"/>
        <v>464.12470794029787</v>
      </c>
      <c r="S34" s="62">
        <f ca="1">AVERAGE(OFFSET($R$3,0,0,'Données projet'!$E$9+1,1))-AVERAGE(OFFSET($H$3,0,0,'Données projet'!$E$9+1,1))</f>
        <v>371.75294069149942</v>
      </c>
      <c r="T34" s="62">
        <f t="shared" si="34"/>
        <v>233.32640143610547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2.6251501541962186</v>
      </c>
      <c r="AB34" s="23">
        <f>EXP(-LN(2)/2)*AB33+(1-EXP(-LN(2)/2))/(LN(2)/2)*V34*Y34*VLOOKUP('Données projet'!$B$9,Paramètres!$A$1:$I$89,3,0)*0.475*44/12</f>
        <v>8.8737915356047719</v>
      </c>
      <c r="AC34" s="24">
        <f t="shared" si="3"/>
        <v>11.49894168980099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84.8</v>
      </c>
      <c r="AJ34" s="14">
        <f>AI34*VLOOKUP('Données projet'!$B$10,Paramètres!$A$1:$I$89,3,0)*VLOOKUP('Données projet'!$B$10,Paramètres!$A$1:$I$89,5,0)</f>
        <v>71.435520000000011</v>
      </c>
      <c r="AK34" s="14">
        <f t="shared" si="35"/>
        <v>20.029525511148233</v>
      </c>
      <c r="AL34" s="22">
        <f t="shared" si="4"/>
        <v>159.30162093191652</v>
      </c>
      <c r="AM34" s="62">
        <f t="shared" si="5"/>
        <v>452.6349542652498</v>
      </c>
      <c r="AN34" s="62">
        <f ca="1">AVERAGE(OFFSET($AM$3,0,0,'Données projet'!$E$10+1,1))-AVERAGE(OFFSET($H$3,0,0,'Données projet'!$E$10+1,1))</f>
        <v>348.84749506659495</v>
      </c>
      <c r="AO34" s="62">
        <f t="shared" si="36"/>
        <v>220.09202639602199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2.4441053159757899</v>
      </c>
      <c r="AW34" s="23">
        <f>EXP(-LN(2)/2)*AW33+(1-EXP(-LN(2)/2))/(LN(2)/2)*AQ34*AT34*VLOOKUP('Données projet'!$B$10,Paramètres!$A$1:$I$89,3,0)*0.475*44/12</f>
        <v>8.2618059124596162</v>
      </c>
      <c r="AX34" s="23">
        <f t="shared" si="6"/>
        <v>10.705911228435406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</v>
      </c>
      <c r="BD34" s="13">
        <f>IF('Données projet'!$A$88&gt;35,BD33+BC34-BL33,IF(A34&lt;'Données projet'!$A$88,$BA$205^A34,IF(A34='Données projet'!$A$88,'Données projet'!$B$88,BD33+BC34-BL33)))</f>
        <v>187</v>
      </c>
      <c r="BE34" s="14">
        <f>BD34*VLOOKUP('Données projet'!$B$11,Paramètres!$A$1:$I$89,3,0)*VLOOKUP('Données projet'!$B$11,Paramètres!$A$1:$I$89,5,0)</f>
        <v>87.515999999999991</v>
      </c>
      <c r="BF34" s="14">
        <f t="shared" si="37"/>
        <v>23.965171662037644</v>
      </c>
      <c r="BG34" s="22">
        <f t="shared" si="7"/>
        <v>194.16304064471555</v>
      </c>
      <c r="BH34" s="62">
        <f t="shared" si="8"/>
        <v>487.49637397804884</v>
      </c>
      <c r="BI34" s="62">
        <f ca="1">AVERAGE(OFFSET($BH$3,0,0,'Données projet'!$E$11+1,1))-AVERAGE(OFFSET($H$3,0,0,'Données projet'!$E$11+1,1))</f>
        <v>259.74478933784656</v>
      </c>
      <c r="BJ34" s="62">
        <f t="shared" si="38"/>
        <v>223.74038909289646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7.8</v>
      </c>
      <c r="BY34" s="13">
        <f>IF('Données projet'!$A$114&gt;35,BY33+BX34-CG33,IF(A34&lt;'Données projet'!$A$114,$BV$205^A34,IF(A34='Données projet'!$A$114,'Données projet'!$B$114,BY33+BX34-CG33)))</f>
        <v>84.8</v>
      </c>
      <c r="BZ34" s="14">
        <f>BY34*VLOOKUP('Données projet'!$B$12,Paramètres!$A$1:$I$89,3,0)*VLOOKUP('Données projet'!$B$12,Paramètres!$A$1:$I$89,5,0)</f>
        <v>85.987200000000001</v>
      </c>
      <c r="CA34" s="14">
        <f t="shared" si="39"/>
        <v>23.594880218992504</v>
      </c>
      <c r="CB34" s="22">
        <f t="shared" si="10"/>
        <v>190.85545638141195</v>
      </c>
      <c r="CC34" s="62">
        <f t="shared" si="11"/>
        <v>484.18878971474527</v>
      </c>
      <c r="CD34" s="62">
        <f ca="1">AVERAGE(OFFSET($CC$3,0,0,'Données projet'!$E$12+1,1))-AVERAGE(OFFSET($H$3,0,0,'Données projet'!$E$12+1,1))</f>
        <v>411.75894069172358</v>
      </c>
      <c r="CE34" s="62">
        <f t="shared" si="40"/>
        <v>256.4377087753457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2.9419786210819692</v>
      </c>
      <c r="CM34" s="23">
        <f>EXP(-LN(2)/2)*CM33+(1-EXP(-LN(2)/2))/(LN(2)/2)*CG34*CJ34*VLOOKUP('Données projet'!$B$12,Paramètres!$A$1:$I$89,3,0)*0.475*44/12</f>
        <v>9.944766376108797</v>
      </c>
      <c r="CN34" s="24">
        <f t="shared" si="12"/>
        <v>12.886744997190766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92.6</v>
      </c>
      <c r="O35" s="14">
        <f>N35*VLOOKUP('Données projet'!$B$9,Paramètres!$A$1:$I$89,3,0)*VLOOKUP('Données projet'!$B$9,Paramètres!$A$1:$I$89,5,0)</f>
        <v>83.784479999999988</v>
      </c>
      <c r="P35" s="14">
        <f t="shared" si="33"/>
        <v>23.06000530770384</v>
      </c>
      <c r="Q35" s="22">
        <f t="shared" ref="Q35:Q66" si="53">(O35+P35)*0.475*44/12</f>
        <v>186.08747857758416</v>
      </c>
      <c r="R35" s="62">
        <f t="shared" si="0"/>
        <v>479.42081191091745</v>
      </c>
      <c r="S35" s="62">
        <f ca="1">AVERAGE(OFFSET($R$3,0,0,'Données projet'!$E$9+1,1))-AVERAGE(OFFSET($H$3,0,0,'Données projet'!$E$9+1,1))</f>
        <v>371.75294069149942</v>
      </c>
      <c r="T35" s="62">
        <f t="shared" si="34"/>
        <v>233.32640143610547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2.5533652851790762</v>
      </c>
      <c r="AB35" s="23">
        <f>EXP(-LN(2)/2)*AB34+(1-EXP(-LN(2)/2))/(LN(2)/2)*V35*Y35*VLOOKUP('Données projet'!$B$9,Paramètres!$A$1:$I$89,3,0)*0.475*44/12</f>
        <v>6.274718169661921</v>
      </c>
      <c r="AC35" s="24">
        <f t="shared" si="3"/>
        <v>8.8280834548409963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92.6</v>
      </c>
      <c r="AJ35" s="14">
        <f>AI35*VLOOKUP('Données projet'!$B$10,Paramètres!$A$1:$I$89,3,0)*VLOOKUP('Données projet'!$B$10,Paramètres!$A$1:$I$89,5,0)</f>
        <v>78.006240000000005</v>
      </c>
      <c r="AK35" s="14">
        <f t="shared" si="35"/>
        <v>21.648985720979425</v>
      </c>
      <c r="AL35" s="22">
        <f t="shared" si="4"/>
        <v>173.56618479737253</v>
      </c>
      <c r="AM35" s="62">
        <f t="shared" si="5"/>
        <v>466.89951813070581</v>
      </c>
      <c r="AN35" s="62">
        <f ca="1">AVERAGE(OFFSET($AM$3,0,0,'Données projet'!$E$10+1,1))-AVERAGE(OFFSET($H$3,0,0,'Données projet'!$E$10+1,1))</f>
        <v>348.84749506659495</v>
      </c>
      <c r="AO35" s="62">
        <f t="shared" si="36"/>
        <v>220.09202639602199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2.3772711275805194</v>
      </c>
      <c r="AW35" s="23">
        <f>EXP(-LN(2)/2)*AW34+(1-EXP(-LN(2)/2))/(LN(2)/2)*AQ35*AT35*VLOOKUP('Données projet'!$B$10,Paramètres!$A$1:$I$89,3,0)*0.475*44/12</f>
        <v>5.841978985547307</v>
      </c>
      <c r="AX35" s="23">
        <f t="shared" si="6"/>
        <v>8.2192501131278259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</v>
      </c>
      <c r="BD35" s="13">
        <f>IF('Données projet'!$A$88&gt;35,BD34+BC35-BL34,IF(A35&lt;'Données projet'!$A$88,$BA$205^A35,IF(A35='Données projet'!$A$88,'Données projet'!$B$88,BD34+BC35-BL34)))</f>
        <v>194</v>
      </c>
      <c r="BE35" s="14">
        <f>BD35*VLOOKUP('Données projet'!$B$11,Paramètres!$A$1:$I$89,3,0)*VLOOKUP('Données projet'!$B$11,Paramètres!$A$1:$I$89,5,0)</f>
        <v>90.792000000000002</v>
      </c>
      <c r="BF35" s="14">
        <f t="shared" si="37"/>
        <v>24.756138813110173</v>
      </c>
      <c r="BG35" s="22">
        <f t="shared" si="7"/>
        <v>201.24634176616689</v>
      </c>
      <c r="BH35" s="62">
        <f t="shared" si="8"/>
        <v>494.57967509950021</v>
      </c>
      <c r="BI35" s="62">
        <f ca="1">AVERAGE(OFFSET($BH$3,0,0,'Données projet'!$E$11+1,1))-AVERAGE(OFFSET($H$3,0,0,'Données projet'!$E$11+1,1))</f>
        <v>259.74478933784656</v>
      </c>
      <c r="BJ35" s="62">
        <f t="shared" si="38"/>
        <v>223.74038909289646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7.8</v>
      </c>
      <c r="BY35" s="13">
        <f>IF('Données projet'!$A$114&gt;35,BY34+BX35-CG34,IF(A35&lt;'Données projet'!$A$114,$BV$205^A35,IF(A35='Données projet'!$A$114,'Données projet'!$B$114,BY34+BX35-CG34)))</f>
        <v>92.6</v>
      </c>
      <c r="BZ35" s="14">
        <f>BY35*VLOOKUP('Données projet'!$B$12,Paramètres!$A$1:$I$89,3,0)*VLOOKUP('Données projet'!$B$12,Paramètres!$A$1:$I$89,5,0)</f>
        <v>93.8964</v>
      </c>
      <c r="CA35" s="14">
        <f t="shared" si="39"/>
        <v>25.502612364176063</v>
      </c>
      <c r="CB35" s="22">
        <f t="shared" si="10"/>
        <v>207.95327986760662</v>
      </c>
      <c r="CC35" s="62">
        <f t="shared" si="11"/>
        <v>501.28661320093994</v>
      </c>
      <c r="CD35" s="62">
        <f ca="1">AVERAGE(OFFSET($CC$3,0,0,'Données projet'!$E$12+1,1))-AVERAGE(OFFSET($H$3,0,0,'Données projet'!$E$12+1,1))</f>
        <v>411.75894069172358</v>
      </c>
      <c r="CE35" s="62">
        <f t="shared" si="40"/>
        <v>256.4377087753457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2.861530060976551</v>
      </c>
      <c r="CM35" s="23">
        <f>EXP(-LN(2)/2)*CM34+(1-EXP(-LN(2)/2))/(LN(2)/2)*CG35*CJ35*VLOOKUP('Données projet'!$B$12,Paramètres!$A$1:$I$89,3,0)*0.475*44/12</f>
        <v>7.0320117418624983</v>
      </c>
      <c r="CN35" s="24">
        <f t="shared" si="12"/>
        <v>9.8935418028390494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100.39999999999999</v>
      </c>
      <c r="O36" s="14">
        <f>N36*VLOOKUP('Données projet'!$B$9,Paramètres!$A$1:$I$89,3,0)*VLOOKUP('Données projet'!$B$9,Paramètres!$A$1:$I$89,5,0)</f>
        <v>90.841919999999988</v>
      </c>
      <c r="P36" s="14">
        <f t="shared" si="33"/>
        <v>24.768165658148625</v>
      </c>
      <c r="Q36" s="22">
        <f t="shared" si="53"/>
        <v>201.35423252127552</v>
      </c>
      <c r="R36" s="62">
        <f t="shared" si="0"/>
        <v>494.68756585460881</v>
      </c>
      <c r="S36" s="62">
        <f ca="1">AVERAGE(OFFSET($R$3,0,0,'Données projet'!$E$9+1,1))-AVERAGE(OFFSET($H$3,0,0,'Données projet'!$E$9+1,1))</f>
        <v>371.75294069149942</v>
      </c>
      <c r="T36" s="62">
        <f t="shared" si="34"/>
        <v>233.32640143610547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2.4835433771802098</v>
      </c>
      <c r="AB36" s="23">
        <f>EXP(-LN(2)/2)*AB35+(1-EXP(-LN(2)/2))/(LN(2)/2)*V36*Y36*VLOOKUP('Données projet'!$B$9,Paramètres!$A$1:$I$89,3,0)*0.475*44/12</f>
        <v>4.4368957678023859</v>
      </c>
      <c r="AC36" s="24">
        <f t="shared" si="3"/>
        <v>6.9204391449825957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100.39999999999999</v>
      </c>
      <c r="AJ36" s="14">
        <f>AI36*VLOOKUP('Données projet'!$B$10,Paramètres!$A$1:$I$89,3,0)*VLOOKUP('Données projet'!$B$10,Paramètres!$A$1:$I$89,5,0)</f>
        <v>84.57696</v>
      </c>
      <c r="AK36" s="14">
        <f t="shared" si="35"/>
        <v>23.252625379447668</v>
      </c>
      <c r="AL36" s="22">
        <f t="shared" si="4"/>
        <v>187.80319453587131</v>
      </c>
      <c r="AM36" s="62">
        <f t="shared" si="5"/>
        <v>481.13652786920466</v>
      </c>
      <c r="AN36" s="62">
        <f ca="1">AVERAGE(OFFSET($AM$3,0,0,'Données projet'!$E$10+1,1))-AVERAGE(OFFSET($H$3,0,0,'Données projet'!$E$10+1,1))</f>
        <v>348.84749506659495</v>
      </c>
      <c r="AO36" s="62">
        <f t="shared" si="36"/>
        <v>220.09202639602199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2.3122645235815749</v>
      </c>
      <c r="AW36" s="23">
        <f>EXP(-LN(2)/2)*AW35+(1-EXP(-LN(2)/2))/(LN(2)/2)*AQ36*AT36*VLOOKUP('Données projet'!$B$10,Paramètres!$A$1:$I$89,3,0)*0.475*44/12</f>
        <v>4.130902956229809</v>
      </c>
      <c r="AX36" s="23">
        <f t="shared" si="6"/>
        <v>6.4431674798113843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</v>
      </c>
      <c r="BD36" s="13">
        <f>IF('Données projet'!$A$88&gt;35,BD35+BC36-BL35,IF(A36&lt;'Données projet'!$A$88,$BA$205^A36,IF(A36='Données projet'!$A$88,'Données projet'!$B$88,BD35+BC36-BL35)))</f>
        <v>201</v>
      </c>
      <c r="BE36" s="14">
        <f>BD36*VLOOKUP('Données projet'!$B$11,Paramètres!$A$1:$I$89,3,0)*VLOOKUP('Données projet'!$B$11,Paramètres!$A$1:$I$89,5,0)</f>
        <v>94.067999999999998</v>
      </c>
      <c r="BF36" s="14">
        <f t="shared" si="37"/>
        <v>25.543790108694029</v>
      </c>
      <c r="BG36" s="22">
        <f t="shared" si="7"/>
        <v>208.32386777264207</v>
      </c>
      <c r="BH36" s="62">
        <f t="shared" si="8"/>
        <v>501.65720110597539</v>
      </c>
      <c r="BI36" s="62">
        <f ca="1">AVERAGE(OFFSET($BH$3,0,0,'Données projet'!$E$11+1,1))-AVERAGE(OFFSET($H$3,0,0,'Données projet'!$E$11+1,1))</f>
        <v>259.74478933784656</v>
      </c>
      <c r="BJ36" s="62">
        <f t="shared" si="38"/>
        <v>223.74038909289646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7.8</v>
      </c>
      <c r="BY36" s="13">
        <f>IF('Données projet'!$A$114&gt;35,BY35+BX36-CG35,IF(A36&lt;'Données projet'!$A$114,$BV$205^A36,IF(A36='Données projet'!$A$114,'Données projet'!$B$114,BY35+BX36-CG35)))</f>
        <v>100.39999999999999</v>
      </c>
      <c r="BZ36" s="14">
        <f>BY36*VLOOKUP('Données projet'!$B$12,Paramètres!$A$1:$I$89,3,0)*VLOOKUP('Données projet'!$B$12,Paramètres!$A$1:$I$89,5,0)</f>
        <v>101.80559999999998</v>
      </c>
      <c r="CA36" s="14">
        <f t="shared" si="39"/>
        <v>27.391707821525987</v>
      </c>
      <c r="CB36" s="22">
        <f t="shared" si="10"/>
        <v>225.01864445582441</v>
      </c>
      <c r="CC36" s="62">
        <f t="shared" si="11"/>
        <v>518.35197778915767</v>
      </c>
      <c r="CD36" s="62">
        <f ca="1">AVERAGE(OFFSET($CC$3,0,0,'Données projet'!$E$12+1,1))-AVERAGE(OFFSET($H$3,0,0,'Données projet'!$E$12+1,1))</f>
        <v>411.75894069172358</v>
      </c>
      <c r="CE36" s="62">
        <f t="shared" si="40"/>
        <v>256.4377087753457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2.7832813709778215</v>
      </c>
      <c r="CM36" s="23">
        <f>EXP(-LN(2)/2)*CM35+(1-EXP(-LN(2)/2))/(LN(2)/2)*CG36*CJ36*VLOOKUP('Données projet'!$B$12,Paramètres!$A$1:$I$89,3,0)*0.475*44/12</f>
        <v>4.9723831880543985</v>
      </c>
      <c r="CN36" s="24">
        <f t="shared" si="12"/>
        <v>7.75566455903222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108.19999999999999</v>
      </c>
      <c r="O37" s="14">
        <f>N37*VLOOKUP('Données projet'!$B$9,Paramètres!$A$1:$I$89,3,0)*VLOOKUP('Données projet'!$B$9,Paramètres!$A$1:$I$89,5,0)</f>
        <v>97.899359999999987</v>
      </c>
      <c r="P37" s="14">
        <f t="shared" si="33"/>
        <v>26.460932364201845</v>
      </c>
      <c r="Q37" s="22">
        <f t="shared" si="53"/>
        <v>216.59417586765153</v>
      </c>
      <c r="R37" s="62">
        <f t="shared" si="0"/>
        <v>509.92750920098484</v>
      </c>
      <c r="S37" s="62">
        <f ca="1">AVERAGE(OFFSET($R$3,0,0,'Données projet'!$E$9+1,1))-AVERAGE(OFFSET($H$3,0,0,'Données projet'!$E$9+1,1))</f>
        <v>371.75294069149942</v>
      </c>
      <c r="T37" s="62">
        <f t="shared" si="34"/>
        <v>233.32640143610547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2.4156307529273469</v>
      </c>
      <c r="AB37" s="23">
        <f>EXP(-LN(2)/2)*AB36+(1-EXP(-LN(2)/2))/(LN(2)/2)*V37*Y37*VLOOKUP('Données projet'!$B$9,Paramètres!$A$1:$I$89,3,0)*0.475*44/12</f>
        <v>3.1373590848309605</v>
      </c>
      <c r="AC37" s="24">
        <f t="shared" si="3"/>
        <v>5.5529898377583073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108.19999999999999</v>
      </c>
      <c r="AJ37" s="14">
        <f>AI37*VLOOKUP('Données projet'!$B$10,Paramètres!$A$1:$I$89,3,0)*VLOOKUP('Données projet'!$B$10,Paramètres!$A$1:$I$89,5,0)</f>
        <v>91.147679999999994</v>
      </c>
      <c r="AK37" s="14">
        <f t="shared" si="35"/>
        <v>24.841813315846473</v>
      </c>
      <c r="AL37" s="22">
        <f t="shared" si="4"/>
        <v>202.01503419176592</v>
      </c>
      <c r="AM37" s="62">
        <f t="shared" si="5"/>
        <v>495.34836752509921</v>
      </c>
      <c r="AN37" s="62">
        <f ca="1">AVERAGE(OFFSET($AM$3,0,0,'Données projet'!$E$10+1,1))-AVERAGE(OFFSET($H$3,0,0,'Données projet'!$E$10+1,1))</f>
        <v>348.84749506659495</v>
      </c>
      <c r="AO37" s="62">
        <f t="shared" si="36"/>
        <v>220.09202639602199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2.2490355285875303</v>
      </c>
      <c r="AW37" s="23">
        <f>EXP(-LN(2)/2)*AW36+(1-EXP(-LN(2)/2))/(LN(2)/2)*AQ37*AT37*VLOOKUP('Données projet'!$B$10,Paramètres!$A$1:$I$89,3,0)*0.475*44/12</f>
        <v>2.9209894927736539</v>
      </c>
      <c r="AX37" s="23">
        <f t="shared" si="6"/>
        <v>5.1700250213611838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</v>
      </c>
      <c r="BD37" s="13">
        <f>IF('Données projet'!$A$88&gt;35,BD36+BC37-BL36,IF(A37&lt;'Données projet'!$A$88,$BA$205^A37,IF(A37='Données projet'!$A$88,'Données projet'!$B$88,BD36+BC37-BL36)))</f>
        <v>208</v>
      </c>
      <c r="BE37" s="14">
        <f>BD37*VLOOKUP('Données projet'!$B$11,Paramètres!$A$1:$I$89,3,0)*VLOOKUP('Données projet'!$B$11,Paramètres!$A$1:$I$89,5,0)</f>
        <v>97.343999999999994</v>
      </c>
      <c r="BF37" s="14">
        <f t="shared" si="37"/>
        <v>26.328254259866451</v>
      </c>
      <c r="BG37" s="22">
        <f t="shared" si="7"/>
        <v>215.39584283593408</v>
      </c>
      <c r="BH37" s="62">
        <f t="shared" si="8"/>
        <v>508.72917616926736</v>
      </c>
      <c r="BI37" s="62">
        <f ca="1">AVERAGE(OFFSET($BH$3,0,0,'Données projet'!$E$11+1,1))-AVERAGE(OFFSET($H$3,0,0,'Données projet'!$E$11+1,1))</f>
        <v>259.74478933784656</v>
      </c>
      <c r="BJ37" s="62">
        <f t="shared" si="38"/>
        <v>223.74038909289646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7.8</v>
      </c>
      <c r="BY37" s="13">
        <f>IF('Données projet'!$A$114&gt;35,BY36+BX37-CG36,IF(A37&lt;'Données projet'!$A$114,$BV$205^A37,IF(A37='Données projet'!$A$114,'Données projet'!$B$114,BY36+BX37-CG36)))</f>
        <v>108.19999999999999</v>
      </c>
      <c r="BZ37" s="14">
        <f>BY37*VLOOKUP('Données projet'!$B$12,Paramètres!$A$1:$I$89,3,0)*VLOOKUP('Données projet'!$B$12,Paramètres!$A$1:$I$89,5,0)</f>
        <v>109.7148</v>
      </c>
      <c r="CA37" s="14">
        <f t="shared" si="39"/>
        <v>29.263779078727129</v>
      </c>
      <c r="CB37" s="22">
        <f t="shared" si="10"/>
        <v>242.05435856211645</v>
      </c>
      <c r="CC37" s="62">
        <f t="shared" si="11"/>
        <v>535.38769189544973</v>
      </c>
      <c r="CD37" s="62">
        <f ca="1">AVERAGE(OFFSET($CC$3,0,0,'Données projet'!$E$12+1,1))-AVERAGE(OFFSET($H$3,0,0,'Données projet'!$E$12+1,1))</f>
        <v>411.75894069172358</v>
      </c>
      <c r="CE37" s="62">
        <f t="shared" si="40"/>
        <v>256.4377087753457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2.707172395522027</v>
      </c>
      <c r="CM37" s="23">
        <f>EXP(-LN(2)/2)*CM36+(1-EXP(-LN(2)/2))/(LN(2)/2)*CG37*CJ37*VLOOKUP('Données projet'!$B$12,Paramètres!$A$1:$I$89,3,0)*0.475*44/12</f>
        <v>3.5160058709312492</v>
      </c>
      <c r="CN37" s="24">
        <f t="shared" si="12"/>
        <v>6.2231782664532762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115.99999999999999</v>
      </c>
      <c r="O38" s="14">
        <f>N38*VLOOKUP('Données projet'!$B$9,Paramètres!$A$1:$I$89,3,0)*VLOOKUP('Données projet'!$B$9,Paramètres!$A$1:$I$89,5,0)</f>
        <v>104.95679999999999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371.75294069149942</v>
      </c>
      <c r="T38" s="62">
        <f t="shared" si="34"/>
        <v>233.32640143610547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2.3495752029560482</v>
      </c>
      <c r="AB38" s="23">
        <f>EXP(-LN(2)/2)*AB37+(1-EXP(-LN(2)/2))/(LN(2)/2)*V38*Y38*VLOOKUP('Données projet'!$B$9,Paramètres!$A$1:$I$89,3,0)*0.475*44/12</f>
        <v>2.218447883901193</v>
      </c>
      <c r="AC38" s="24">
        <f t="shared" si="3"/>
        <v>4.5680230868572416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115.99999999999999</v>
      </c>
      <c r="AJ38" s="14">
        <f>AI38*VLOOKUP('Données projet'!$B$10,Paramètres!$A$1:$I$89,3,0)*VLOOKUP('Données projet'!$B$10,Paramètres!$A$1:$I$89,5,0)</f>
        <v>97.718399999999988</v>
      </c>
      <c r="AK38" s="14">
        <f t="shared" si="35"/>
        <v>26.417709819192194</v>
      </c>
      <c r="AL38" s="22">
        <f t="shared" si="4"/>
        <v>216.20372460175972</v>
      </c>
      <c r="AM38" s="62">
        <f t="shared" si="5"/>
        <v>509.537057935093</v>
      </c>
      <c r="AN38" s="62">
        <f ca="1">AVERAGE(OFFSET($AM$3,0,0,'Données projet'!$E$10+1,1))-AVERAGE(OFFSET($H$3,0,0,'Données projet'!$E$10+1,1))</f>
        <v>348.84749506659495</v>
      </c>
      <c r="AO38" s="62">
        <f t="shared" si="36"/>
        <v>220.09202639602199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2.187535533786666</v>
      </c>
      <c r="AW38" s="23">
        <f>EXP(-LN(2)/2)*AW37+(1-EXP(-LN(2)/2))/(LN(2)/2)*AQ38*AT38*VLOOKUP('Données projet'!$B$10,Paramètres!$A$1:$I$89,3,0)*0.475*44/12</f>
        <v>2.0654514781149045</v>
      </c>
      <c r="AX38" s="23">
        <f t="shared" si="6"/>
        <v>4.2529870119015705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7</v>
      </c>
      <c r="BD38" s="13">
        <f>IF('Données projet'!$A$88&gt;35,BD37+BC38-BL37,IF(A38&lt;'Données projet'!$A$88,$BA$205^A38,IF(A38='Données projet'!$A$88,'Données projet'!$B$88,BD37+BC38-BL37)))</f>
        <v>215</v>
      </c>
      <c r="BE38" s="14">
        <f>BD38*VLOOKUP('Données projet'!$B$11,Paramètres!$A$1:$I$89,3,0)*VLOOKUP('Données projet'!$B$11,Paramètres!$A$1:$I$89,5,0)</f>
        <v>100.61999999999999</v>
      </c>
      <c r="BF38" s="14">
        <f t="shared" si="37"/>
        <v>27.10965082293415</v>
      </c>
      <c r="BG38" s="22">
        <f t="shared" si="7"/>
        <v>222.46247518327695</v>
      </c>
      <c r="BH38" s="62">
        <f t="shared" si="8"/>
        <v>515.79580851661024</v>
      </c>
      <c r="BI38" s="62">
        <f ca="1">AVERAGE(OFFSET($BH$3,0,0,'Données projet'!$E$11+1,1))-AVERAGE(OFFSET($H$3,0,0,'Données projet'!$E$11+1,1))</f>
        <v>259.74478933784656</v>
      </c>
      <c r="BJ38" s="62">
        <f t="shared" si="38"/>
        <v>223.74038909289646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7.8</v>
      </c>
      <c r="BX38" s="13">
        <f t="array" ref="BX38">INDEX(BW:BW,MIN(IF(ISNUMBER(BW38:BW234),ROW(BW38:BW234),"")))</f>
        <v>7.8</v>
      </c>
      <c r="BY38" s="13">
        <f>IF('Données projet'!$A$114&gt;35,BY37+BX38-CG37,IF(A38&lt;'Données projet'!$A$114,$BV$205^A38,IF(A38='Données projet'!$A$114,'Données projet'!$B$114,BY37+BX38-CG37)))</f>
        <v>115.99999999999999</v>
      </c>
      <c r="BZ38" s="14">
        <f>BY38*VLOOKUP('Données projet'!$B$12,Paramètres!$A$1:$I$89,3,0)*VLOOKUP('Données projet'!$B$12,Paramètres!$A$1:$I$89,5,0)</f>
        <v>117.624</v>
      </c>
      <c r="CA38" s="14">
        <f t="shared" si="39"/>
        <v>31.120192961985413</v>
      </c>
      <c r="CB38" s="22">
        <f t="shared" si="10"/>
        <v>259.06280274212457</v>
      </c>
      <c r="CC38" s="62">
        <f t="shared" si="11"/>
        <v>552.39613607545789</v>
      </c>
      <c r="CD38" s="62">
        <f ca="1">AVERAGE(OFFSET($CC$3,0,0,'Données projet'!$E$12+1,1))-AVERAGE(OFFSET($H$3,0,0,'Données projet'!$E$12+1,1))</f>
        <v>411.75894069172358</v>
      </c>
      <c r="CE38" s="62">
        <f t="shared" si="40"/>
        <v>256.4377087753457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21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2.6331446240024681</v>
      </c>
      <c r="CM38" s="23">
        <f>EXP(-LN(2)/2)*CM37+(1-EXP(-LN(2)/2))/(LN(2)/2)*CG38*CJ38*VLOOKUP('Données projet'!$B$12,Paramètres!$A$1:$I$89,3,0)*0.475*44/12</f>
        <v>2.4861915940271992</v>
      </c>
      <c r="CN38" s="24">
        <f t="shared" si="12"/>
        <v>5.1193362180296678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103.39999999999999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371.75294069149942</v>
      </c>
      <c r="T39" s="62">
        <f t="shared" si="34"/>
        <v>233.32640143610547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2.2853259454724251</v>
      </c>
      <c r="AB39" s="23">
        <f>EXP(-LN(2)/2)*AB38+(1-EXP(-LN(2)/2))/(LN(2)/2)*V39*Y39*VLOOKUP('Données projet'!$B$9,Paramètres!$A$1:$I$89,3,0)*0.475*44/12</f>
        <v>1.5686795424154802</v>
      </c>
      <c r="AC39" s="24">
        <f t="shared" si="3"/>
        <v>3.8540054878879051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103.39999999999999</v>
      </c>
      <c r="AJ39" s="14">
        <f>AI39*VLOOKUP('Données projet'!$B$10,Paramètres!$A$1:$I$89,3,0)*VLOOKUP('Données projet'!$B$10,Paramètres!$A$1:$I$89,5,0)</f>
        <v>87.104160000000007</v>
      </c>
      <c r="AK39" s="14">
        <f t="shared" si="35"/>
        <v>23.865494318543401</v>
      </c>
      <c r="AL39" s="22">
        <f t="shared" si="4"/>
        <v>193.27214793812973</v>
      </c>
      <c r="AM39" s="62">
        <f t="shared" si="5"/>
        <v>486.60548127146308</v>
      </c>
      <c r="AN39" s="62">
        <f ca="1">AVERAGE(OFFSET($AM$3,0,0,'Données projet'!$E$10+1,1))-AVERAGE(OFFSET($H$3,0,0,'Données projet'!$E$10+1,1))</f>
        <v>348.84749506659495</v>
      </c>
      <c r="AO39" s="62">
        <f t="shared" si="36"/>
        <v>220.09202639602199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2.1277172595777754</v>
      </c>
      <c r="AW39" s="23">
        <f>EXP(-LN(2)/2)*AW38+(1-EXP(-LN(2)/2))/(LN(2)/2)*AQ39*AT39*VLOOKUP('Données projet'!$B$10,Paramètres!$A$1:$I$89,3,0)*0.475*44/12</f>
        <v>1.460494746386827</v>
      </c>
      <c r="AX39" s="23">
        <f t="shared" si="6"/>
        <v>3.5882120059646025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7</v>
      </c>
      <c r="BD39" s="13">
        <f>IF('Données projet'!$A$88&gt;35,BD38+BC39-BL38,IF(A39&lt;'Données projet'!$A$88,$BA$205^A39,IF(A39='Données projet'!$A$88,'Données projet'!$B$88,BD38+BC39-BL38)))</f>
        <v>222</v>
      </c>
      <c r="BE39" s="14">
        <f>BD39*VLOOKUP('Données projet'!$B$11,Paramètres!$A$1:$I$89,3,0)*VLOOKUP('Données projet'!$B$11,Paramètres!$A$1:$I$89,5,0)</f>
        <v>103.896</v>
      </c>
      <c r="BF39" s="14">
        <f t="shared" si="37"/>
        <v>27.888091127225799</v>
      </c>
      <c r="BG39" s="22">
        <f t="shared" si="7"/>
        <v>229.52395871325157</v>
      </c>
      <c r="BH39" s="62">
        <f t="shared" si="8"/>
        <v>522.85729204658492</v>
      </c>
      <c r="BI39" s="62">
        <f ca="1">AVERAGE(OFFSET($BH$3,0,0,'Données projet'!$E$11+1,1))-AVERAGE(OFFSET($H$3,0,0,'Données projet'!$E$11+1,1))</f>
        <v>259.74478933784656</v>
      </c>
      <c r="BJ39" s="62">
        <f t="shared" si="38"/>
        <v>223.74038909289646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103.39999999999999</v>
      </c>
      <c r="BZ39" s="14">
        <f>BY39*VLOOKUP('Données projet'!$B$12,Paramètres!$A$1:$I$89,3,0)*VLOOKUP('Données projet'!$B$12,Paramètres!$A$1:$I$89,5,0)</f>
        <v>104.8476</v>
      </c>
      <c r="CA39" s="14">
        <f t="shared" si="39"/>
        <v>28.113670466115643</v>
      </c>
      <c r="CB39" s="22">
        <f t="shared" si="10"/>
        <v>231.57421272848475</v>
      </c>
      <c r="CC39" s="62">
        <f t="shared" si="11"/>
        <v>524.90754606181804</v>
      </c>
      <c r="CD39" s="62">
        <f ca="1">AVERAGE(OFFSET($CC$3,0,0,'Données projet'!$E$12+1,1))-AVERAGE(OFFSET($H$3,0,0,'Données projet'!$E$12+1,1))</f>
        <v>411.75894069172358</v>
      </c>
      <c r="CE39" s="62">
        <f t="shared" si="40"/>
        <v>256.4377087753457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2.5611411457880631</v>
      </c>
      <c r="CM39" s="23">
        <f>EXP(-LN(2)/2)*CM38+(1-EXP(-LN(2)/2))/(LN(2)/2)*CG39*CJ39*VLOOKUP('Données projet'!$B$12,Paramètres!$A$1:$I$89,3,0)*0.475*44/12</f>
        <v>1.7580029354656246</v>
      </c>
      <c r="CN39" s="24">
        <f t="shared" si="12"/>
        <v>4.3191440812536879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</v>
      </c>
      <c r="O40" s="14">
        <f>N40*VLOOKUP('Données projet'!$B$9,Paramètres!$A$1:$I$89,3,0)*VLOOKUP('Données projet'!$B$9,Paramètres!$A$1:$I$89,5,0)</f>
        <v>101.15664</v>
      </c>
      <c r="P40" s="14">
        <f t="shared" si="33"/>
        <v>27.237366379381644</v>
      </c>
      <c r="Q40" s="22">
        <f t="shared" si="53"/>
        <v>223.61956111075634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371.75294069149942</v>
      </c>
      <c r="T40" s="62">
        <f t="shared" si="34"/>
        <v>233.32640143610547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2.2228335873134135</v>
      </c>
      <c r="AB40" s="23">
        <f>EXP(-LN(2)/2)*AB39+(1-EXP(-LN(2)/2))/(LN(2)/2)*V40*Y40*VLOOKUP('Données projet'!$B$9,Paramètres!$A$1:$I$89,3,0)*0.475*44/12</f>
        <v>1.1092239419505965</v>
      </c>
      <c r="AC40" s="24">
        <f t="shared" si="3"/>
        <v>3.3320575292640102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</v>
      </c>
      <c r="AJ40" s="14">
        <f>AI40*VLOOKUP('Données projet'!$B$10,Paramètres!$A$1:$I$89,3,0)*VLOOKUP('Données projet'!$B$10,Paramètres!$A$1:$I$89,5,0)</f>
        <v>94.180320000000009</v>
      </c>
      <c r="AK40" s="14">
        <f t="shared" si="35"/>
        <v>25.570738079029208</v>
      </c>
      <c r="AL40" s="22">
        <f t="shared" si="4"/>
        <v>208.5664261543092</v>
      </c>
      <c r="AM40" s="62">
        <f t="shared" si="5"/>
        <v>501.89975948764254</v>
      </c>
      <c r="AN40" s="62">
        <f ca="1">AVERAGE(OFFSET($AM$3,0,0,'Données projet'!$E$10+1,1))-AVERAGE(OFFSET($H$3,0,0,'Données projet'!$E$10+1,1))</f>
        <v>348.84749506659495</v>
      </c>
      <c r="AO40" s="62">
        <f t="shared" si="36"/>
        <v>220.09202639602199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2.0695347192228333</v>
      </c>
      <c r="AW40" s="23">
        <f>EXP(-LN(2)/2)*AW39+(1-EXP(-LN(2)/2))/(LN(2)/2)*AQ40*AT40*VLOOKUP('Données projet'!$B$10,Paramètres!$A$1:$I$89,3,0)*0.475*44/12</f>
        <v>1.0327257390574522</v>
      </c>
      <c r="AX40" s="23">
        <f t="shared" si="6"/>
        <v>3.1022604582802855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7</v>
      </c>
      <c r="BD40" s="13">
        <f>IF('Données projet'!$A$88&gt;35,BD39+BC40-BL39,IF(A40&lt;'Données projet'!$A$88,$BA$205^A40,IF(A40='Données projet'!$A$88,'Données projet'!$B$88,BD39+BC40-BL39)))</f>
        <v>229</v>
      </c>
      <c r="BE40" s="14">
        <f>BD40*VLOOKUP('Données projet'!$B$11,Paramètres!$A$1:$I$89,3,0)*VLOOKUP('Données projet'!$B$11,Paramètres!$A$1:$I$89,5,0)</f>
        <v>107.172</v>
      </c>
      <c r="BF40" s="14">
        <f t="shared" si="37"/>
        <v>28.663679082578788</v>
      </c>
      <c r="BG40" s="22">
        <f t="shared" si="7"/>
        <v>236.58047440215805</v>
      </c>
      <c r="BH40" s="62">
        <f t="shared" si="8"/>
        <v>529.91380773549133</v>
      </c>
      <c r="BI40" s="62">
        <f ca="1">AVERAGE(OFFSET($BH$3,0,0,'Données projet'!$E$11+1,1))-AVERAGE(OFFSET($H$3,0,0,'Données projet'!$E$11+1,1))</f>
        <v>259.74478933784656</v>
      </c>
      <c r="BJ40" s="62">
        <f t="shared" si="38"/>
        <v>223.74038909289646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111.8</v>
      </c>
      <c r="BZ40" s="14">
        <f>BY40*VLOOKUP('Données projet'!$B$12,Paramètres!$A$1:$I$89,3,0)*VLOOKUP('Données projet'!$B$12,Paramètres!$A$1:$I$89,5,0)</f>
        <v>113.3652</v>
      </c>
      <c r="CA40" s="14">
        <f t="shared" si="39"/>
        <v>30.122456058687586</v>
      </c>
      <c r="CB40" s="22">
        <f t="shared" si="10"/>
        <v>249.90766763554748</v>
      </c>
      <c r="CC40" s="62">
        <f t="shared" si="11"/>
        <v>543.24100096888083</v>
      </c>
      <c r="CD40" s="62">
        <f ca="1">AVERAGE(OFFSET($CC$3,0,0,'Données projet'!$E$12+1,1))-AVERAGE(OFFSET($H$3,0,0,'Données projet'!$E$12+1,1))</f>
        <v>411.75894069172358</v>
      </c>
      <c r="CE40" s="62">
        <f t="shared" si="40"/>
        <v>256.4377087753457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2.4911066064719294</v>
      </c>
      <c r="CM40" s="23">
        <f>EXP(-LN(2)/2)*CM39+(1-EXP(-LN(2)/2))/(LN(2)/2)*CG40*CJ40*VLOOKUP('Données projet'!$B$12,Paramètres!$A$1:$I$89,3,0)*0.475*44/12</f>
        <v>1.2430957970135996</v>
      </c>
      <c r="CN40" s="24">
        <f t="shared" si="12"/>
        <v>3.7342024034855292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</v>
      </c>
      <c r="O41" s="14">
        <f>N41*VLOOKUP('Données projet'!$B$9,Paramètres!$A$1:$I$89,3,0)*VLOOKUP('Données projet'!$B$9,Paramètres!$A$1:$I$89,5,0)</f>
        <v>108.75695999999999</v>
      </c>
      <c r="P41" s="14">
        <f t="shared" si="33"/>
        <v>29.037921223305585</v>
      </c>
      <c r="Q41" s="22">
        <f t="shared" si="53"/>
        <v>239.99275146392384</v>
      </c>
      <c r="R41" s="62">
        <f t="shared" si="0"/>
        <v>533.32608479725718</v>
      </c>
      <c r="S41" s="62">
        <f ca="1">AVERAGE(OFFSET($R$3,0,0,'Données projet'!$E$9+1,1))-AVERAGE(OFFSET($H$3,0,0,'Données projet'!$E$9+1,1))</f>
        <v>371.75294069149942</v>
      </c>
      <c r="T41" s="62">
        <f t="shared" si="34"/>
        <v>233.32640143610547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2.1620500859745904</v>
      </c>
      <c r="AB41" s="23">
        <f>EXP(-LN(2)/2)*AB40+(1-EXP(-LN(2)/2))/(LN(2)/2)*V41*Y41*VLOOKUP('Données projet'!$B$9,Paramètres!$A$1:$I$89,3,0)*0.475*44/12</f>
        <v>0.78433977120774012</v>
      </c>
      <c r="AC41" s="24">
        <f t="shared" si="3"/>
        <v>2.9463898571823304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</v>
      </c>
      <c r="AJ41" s="14">
        <f>AI41*VLOOKUP('Données projet'!$B$10,Paramètres!$A$1:$I$89,3,0)*VLOOKUP('Données projet'!$B$10,Paramètres!$A$1:$I$89,5,0)</f>
        <v>101.25648000000001</v>
      </c>
      <c r="AK41" s="14">
        <f t="shared" si="35"/>
        <v>27.261118700621143</v>
      </c>
      <c r="AL41" s="22">
        <f t="shared" si="4"/>
        <v>223.83481773691517</v>
      </c>
      <c r="AM41" s="62">
        <f t="shared" si="5"/>
        <v>517.16815107024854</v>
      </c>
      <c r="AN41" s="62">
        <f ca="1">AVERAGE(OFFSET($AM$3,0,0,'Données projet'!$E$10+1,1))-AVERAGE(OFFSET($H$3,0,0,'Données projet'!$E$10+1,1))</f>
        <v>348.84749506659495</v>
      </c>
      <c r="AO41" s="62">
        <f t="shared" si="36"/>
        <v>220.09202639602199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2.0129431834935838</v>
      </c>
      <c r="AW41" s="23">
        <f>EXP(-LN(2)/2)*AW40+(1-EXP(-LN(2)/2))/(LN(2)/2)*AQ41*AT41*VLOOKUP('Données projet'!$B$10,Paramètres!$A$1:$I$89,3,0)*0.475*44/12</f>
        <v>0.73024737319341348</v>
      </c>
      <c r="AX41" s="23">
        <f t="shared" si="6"/>
        <v>2.7431905566869972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7</v>
      </c>
      <c r="BD41" s="13">
        <f>IF('Données projet'!$A$88&gt;35,BD40+BC41-BL40,IF(A41&lt;'Données projet'!$A$88,$BA$205^A41,IF(A41='Données projet'!$A$88,'Données projet'!$B$88,BD40+BC41-BL40)))</f>
        <v>236</v>
      </c>
      <c r="BE41" s="14">
        <f>BD41*VLOOKUP('Données projet'!$B$11,Paramètres!$A$1:$I$89,3,0)*VLOOKUP('Données projet'!$B$11,Paramètres!$A$1:$I$89,5,0)</f>
        <v>110.44799999999999</v>
      </c>
      <c r="BF41" s="14">
        <f t="shared" si="37"/>
        <v>29.436511885319565</v>
      </c>
      <c r="BG41" s="22">
        <f t="shared" si="7"/>
        <v>243.63219153359822</v>
      </c>
      <c r="BH41" s="62">
        <f t="shared" si="8"/>
        <v>536.96552486693156</v>
      </c>
      <c r="BI41" s="62">
        <f ca="1">AVERAGE(OFFSET($BH$3,0,0,'Données projet'!$E$11+1,1))-AVERAGE(OFFSET($H$3,0,0,'Données projet'!$E$11+1,1))</f>
        <v>259.74478933784656</v>
      </c>
      <c r="BJ41" s="62">
        <f t="shared" si="38"/>
        <v>223.74038909289646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120.2</v>
      </c>
      <c r="BZ41" s="14">
        <f>BY41*VLOOKUP('Données projet'!$B$12,Paramètres!$A$1:$I$89,3,0)*VLOOKUP('Données projet'!$B$12,Paramètres!$A$1:$I$89,5,0)</f>
        <v>121.88280000000002</v>
      </c>
      <c r="CA41" s="14">
        <f t="shared" si="39"/>
        <v>32.113732800054677</v>
      </c>
      <c r="CB41" s="22">
        <f t="shared" si="10"/>
        <v>268.21062796009522</v>
      </c>
      <c r="CC41" s="62">
        <f t="shared" si="11"/>
        <v>561.54396129342854</v>
      </c>
      <c r="CD41" s="62">
        <f ca="1">AVERAGE(OFFSET($CC$3,0,0,'Données projet'!$E$12+1,1))-AVERAGE(OFFSET($H$3,0,0,'Données projet'!$E$12+1,1))</f>
        <v>411.75894069172358</v>
      </c>
      <c r="CE41" s="62">
        <f t="shared" si="40"/>
        <v>256.4377087753457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2.4229871653163517</v>
      </c>
      <c r="CM41" s="23">
        <f>EXP(-LN(2)/2)*CM40+(1-EXP(-LN(2)/2))/(LN(2)/2)*CG41*CJ41*VLOOKUP('Données projet'!$B$12,Paramètres!$A$1:$I$89,3,0)*0.475*44/12</f>
        <v>0.87900146773281229</v>
      </c>
      <c r="CN41" s="24">
        <f t="shared" si="12"/>
        <v>3.3019886330491639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</v>
      </c>
      <c r="O42" s="14">
        <f>N42*VLOOKUP('Données projet'!$B$9,Paramètres!$A$1:$I$89,3,0)*VLOOKUP('Données projet'!$B$9,Paramètres!$A$1:$I$89,5,0)</f>
        <v>116.35727999999999</v>
      </c>
      <c r="P42" s="14">
        <f t="shared" si="33"/>
        <v>30.823876427820704</v>
      </c>
      <c r="Q42" s="22">
        <f t="shared" si="53"/>
        <v>256.34051411178768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371.75294069149942</v>
      </c>
      <c r="T42" s="62">
        <f t="shared" si="34"/>
        <v>233.32640143610547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2.1029287126763427</v>
      </c>
      <c r="AB42" s="23">
        <f>EXP(-LN(2)/2)*AB41+(1-EXP(-LN(2)/2))/(LN(2)/2)*V42*Y42*VLOOKUP('Données projet'!$B$9,Paramètres!$A$1:$I$89,3,0)*0.475*44/12</f>
        <v>0.55461197097529824</v>
      </c>
      <c r="AC42" s="24">
        <f t="shared" si="3"/>
        <v>2.6575406836516411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108.33264000000001</v>
      </c>
      <c r="AK42" s="14">
        <f t="shared" si="35"/>
        <v>28.937793020723717</v>
      </c>
      <c r="AL42" s="22">
        <f t="shared" si="4"/>
        <v>239.07933751109377</v>
      </c>
      <c r="AM42" s="62">
        <f t="shared" si="5"/>
        <v>532.41267084442711</v>
      </c>
      <c r="AN42" s="62">
        <f ca="1">AVERAGE(OFFSET($AM$3,0,0,'Données projet'!$E$10+1,1))-AVERAGE(OFFSET($H$3,0,0,'Données projet'!$E$10+1,1))</f>
        <v>348.84749506659495</v>
      </c>
      <c r="AO42" s="62">
        <f t="shared" si="36"/>
        <v>220.09202639602199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1.9578991462848705</v>
      </c>
      <c r="AW42" s="23">
        <f>EXP(-LN(2)/2)*AW41+(1-EXP(-LN(2)/2))/(LN(2)/2)*AQ42*AT42*VLOOKUP('Données projet'!$B$10,Paramètres!$A$1:$I$89,3,0)*0.475*44/12</f>
        <v>0.51636286952872612</v>
      </c>
      <c r="AX42" s="23">
        <f t="shared" si="6"/>
        <v>2.4742620158135966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7</v>
      </c>
      <c r="BD42" s="13">
        <f>IF('Données projet'!$A$88&gt;35,BD41+BC42-BL41,IF(A42&lt;'Données projet'!$A$88,$BA$205^A42,IF(A42='Données projet'!$A$88,'Données projet'!$B$88,BD41+BC42-BL41)))</f>
        <v>243</v>
      </c>
      <c r="BE42" s="14">
        <f>BD42*VLOOKUP('Données projet'!$B$11,Paramètres!$A$1:$I$89,3,0)*VLOOKUP('Données projet'!$B$11,Paramètres!$A$1:$I$89,5,0)</f>
        <v>113.72399999999999</v>
      </c>
      <c r="BF42" s="14">
        <f t="shared" si="37"/>
        <v>30.206680638130489</v>
      </c>
      <c r="BG42" s="22">
        <f t="shared" si="7"/>
        <v>250.67926877807722</v>
      </c>
      <c r="BH42" s="62">
        <f t="shared" si="8"/>
        <v>544.0126021114105</v>
      </c>
      <c r="BI42" s="62">
        <f ca="1">AVERAGE(OFFSET($BH$3,0,0,'Données projet'!$E$11+1,1))-AVERAGE(OFFSET($H$3,0,0,'Données projet'!$E$11+1,1))</f>
        <v>259.74478933784656</v>
      </c>
      <c r="BJ42" s="62">
        <f t="shared" si="38"/>
        <v>223.74038909289646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128.6</v>
      </c>
      <c r="BZ42" s="14">
        <f>BY42*VLOOKUP('Données projet'!$B$12,Paramètres!$A$1:$I$89,3,0)*VLOOKUP('Données projet'!$B$12,Paramètres!$A$1:$I$89,5,0)</f>
        <v>130.40040000000002</v>
      </c>
      <c r="CA42" s="14">
        <f t="shared" si="39"/>
        <v>34.088863450406919</v>
      </c>
      <c r="CB42" s="22">
        <f t="shared" si="10"/>
        <v>286.48546717612544</v>
      </c>
      <c r="CC42" s="62">
        <f t="shared" si="11"/>
        <v>579.8188005094587</v>
      </c>
      <c r="CD42" s="62">
        <f ca="1">AVERAGE(OFFSET($CC$3,0,0,'Données projet'!$E$12+1,1))-AVERAGE(OFFSET($H$3,0,0,'Données projet'!$E$12+1,1))</f>
        <v>411.75894069172358</v>
      </c>
      <c r="CE42" s="62">
        <f t="shared" si="40"/>
        <v>256.4377087753457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2.3567304538614189</v>
      </c>
      <c r="CM42" s="23">
        <f>EXP(-LN(2)/2)*CM41+(1-EXP(-LN(2)/2))/(LN(2)/2)*CG42*CJ42*VLOOKUP('Données projet'!$B$12,Paramètres!$A$1:$I$89,3,0)*0.475*44/12</f>
        <v>0.62154789850679981</v>
      </c>
      <c r="CN42" s="24">
        <f t="shared" si="12"/>
        <v>2.9782783523682186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123.9576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371.75294069149942</v>
      </c>
      <c r="T43" s="62">
        <f t="shared" si="34"/>
        <v>233.32640143610547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2.0454240164399935</v>
      </c>
      <c r="AB43" s="23">
        <f>EXP(-LN(2)/2)*AB42+(1-EXP(-LN(2)/2))/(LN(2)/2)*V43*Y43*VLOOKUP('Données projet'!$B$9,Paramètres!$A$1:$I$89,3,0)*0.475*44/12</f>
        <v>0.39216988560387006</v>
      </c>
      <c r="AC43" s="24">
        <f t="shared" si="3"/>
        <v>2.4375939020438637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115.40880000000001</v>
      </c>
      <c r="AK43" s="14">
        <f t="shared" si="35"/>
        <v>30.60175820334798</v>
      </c>
      <c r="AL43" s="22">
        <f t="shared" si="4"/>
        <v>254.30172220416441</v>
      </c>
      <c r="AM43" s="62">
        <f t="shared" si="5"/>
        <v>547.63505553749769</v>
      </c>
      <c r="AN43" s="62">
        <f ca="1">AVERAGE(OFFSET($AM$3,0,0,'Données projet'!$E$10+1,1))-AVERAGE(OFFSET($H$3,0,0,'Données projet'!$E$10+1,1))</f>
        <v>348.84749506659495</v>
      </c>
      <c r="AO43" s="62">
        <f t="shared" si="36"/>
        <v>220.09202639602199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1.9043602911682695</v>
      </c>
      <c r="AW43" s="23">
        <f>EXP(-LN(2)/2)*AW42+(1-EXP(-LN(2)/2))/(LN(2)/2)*AQ43*AT43*VLOOKUP('Données projet'!$B$10,Paramètres!$A$1:$I$89,3,0)*0.475*44/12</f>
        <v>0.36512368659670674</v>
      </c>
      <c r="AX43" s="23">
        <f t="shared" si="6"/>
        <v>2.2694839777649762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250</v>
      </c>
      <c r="BB43" s="13">
        <f>VLOOKUP(A43,'Données projet'!$A$87:$I$107,9,0)</f>
        <v>7</v>
      </c>
      <c r="BC43" s="13">
        <f t="array" ref="BC43">INDEX(BB:BB,MIN(IF(ISNUMBER(BB43:BB239),ROW(BB43:BB239),"")))</f>
        <v>7</v>
      </c>
      <c r="BD43" s="13">
        <f>IF('Données projet'!$A$88&gt;35,BD42+BC43-BL42,IF(A43&lt;'Données projet'!$A$88,$BA$205^A43,IF(A43='Données projet'!$A$88,'Données projet'!$B$88,BD42+BC43-BL42)))</f>
        <v>250</v>
      </c>
      <c r="BE43" s="14">
        <f>BD43*VLOOKUP('Données projet'!$B$11,Paramètres!$A$1:$I$89,3,0)*VLOOKUP('Données projet'!$B$11,Paramètres!$A$1:$I$89,5,0)</f>
        <v>117</v>
      </c>
      <c r="BF43" s="14">
        <f t="shared" si="37"/>
        <v>30.974270896484146</v>
      </c>
      <c r="BG43" s="22">
        <f t="shared" si="7"/>
        <v>257.72185514470988</v>
      </c>
      <c r="BH43" s="62">
        <f t="shared" si="8"/>
        <v>551.05518847804319</v>
      </c>
      <c r="BI43" s="62">
        <f ca="1">AVERAGE(OFFSET($BH$3,0,0,'Données projet'!$E$11+1,1))-AVERAGE(OFFSET($H$3,0,0,'Données projet'!$E$11+1,1))</f>
        <v>259.74478933784656</v>
      </c>
      <c r="BJ43" s="62">
        <f t="shared" si="38"/>
        <v>223.74038909289646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63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137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137</v>
      </c>
      <c r="BZ43" s="14">
        <f>BY43*VLOOKUP('Données projet'!$B$12,Paramètres!$A$1:$I$89,3,0)*VLOOKUP('Données projet'!$B$12,Paramètres!$A$1:$I$89,5,0)</f>
        <v>138.91800000000001</v>
      </c>
      <c r="CA43" s="14">
        <f t="shared" si="39"/>
        <v>36.049022673886341</v>
      </c>
      <c r="CB43" s="22">
        <f t="shared" si="10"/>
        <v>304.73423115701871</v>
      </c>
      <c r="CC43" s="62">
        <f t="shared" si="11"/>
        <v>598.06756449035197</v>
      </c>
      <c r="CD43" s="62">
        <f ca="1">AVERAGE(OFFSET($CC$3,0,0,'Données projet'!$E$12+1,1))-AVERAGE(OFFSET($H$3,0,0,'Données projet'!$E$12+1,1))</f>
        <v>411.75894069172358</v>
      </c>
      <c r="CE43" s="62">
        <f t="shared" si="40"/>
        <v>256.4377087753457</v>
      </c>
      <c r="CF43" s="16">
        <f>IF(ISNA(VLOOKUP(A43,'Données projet'!$A$113:$I$133,3,0)),0,VLOOKUP(A43,'Données projet'!$A$113:$I$133,3,0))</f>
        <v>4</v>
      </c>
      <c r="CG43" s="16">
        <f>IF(ISNA(VLOOKUP(A43,'Données projet'!$A$113:$I$133,4,0)),0,VLOOKUP(A43,'Données projet'!$A$113:$I$133,4,0))</f>
        <v>21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2.2922855356655103</v>
      </c>
      <c r="CM43" s="23">
        <f>EXP(-LN(2)/2)*CM42+(1-EXP(-LN(2)/2))/(LN(2)/2)*CG43*CJ43*VLOOKUP('Données projet'!$B$12,Paramètres!$A$1:$I$89,3,0)*0.475*44/12</f>
        <v>0.43950073386640615</v>
      </c>
      <c r="CN43" s="24">
        <f t="shared" si="12"/>
        <v>2.7317862695319164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</v>
      </c>
      <c r="O44" s="14">
        <f>N44*VLOOKUP('Données projet'!$B$9,Paramètres!$A$1:$I$89,3,0)*VLOOKUP('Données projet'!$B$9,Paramètres!$A$1:$I$89,5,0)</f>
        <v>112.55712000000001</v>
      </c>
      <c r="P44" s="14">
        <f t="shared" si="33"/>
        <v>29.932653834140599</v>
      </c>
      <c r="Q44" s="22">
        <f t="shared" si="53"/>
        <v>248.16968942779488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371.75294069149942</v>
      </c>
      <c r="T44" s="62">
        <f t="shared" si="34"/>
        <v>233.32640143610547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1.9894917891462678</v>
      </c>
      <c r="AB44" s="23">
        <f>EXP(-LN(2)/2)*AB43+(1-EXP(-LN(2)/2))/(LN(2)/2)*V44*Y44*VLOOKUP('Données projet'!$B$9,Paramètres!$A$1:$I$89,3,0)*0.475*44/12</f>
        <v>0.27730598548764912</v>
      </c>
      <c r="AC44" s="24">
        <f t="shared" si="3"/>
        <v>2.266797774633917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104.79456</v>
      </c>
      <c r="AK44" s="14">
        <f t="shared" si="35"/>
        <v>28.101103481959861</v>
      </c>
      <c r="AL44" s="22">
        <f t="shared" si="4"/>
        <v>231.45994723108012</v>
      </c>
      <c r="AM44" s="62">
        <f t="shared" si="5"/>
        <v>524.79328056441341</v>
      </c>
      <c r="AN44" s="62">
        <f ca="1">AVERAGE(OFFSET($AM$3,0,0,'Données projet'!$E$10+1,1))-AVERAGE(OFFSET($H$3,0,0,'Données projet'!$E$10+1,1))</f>
        <v>348.84749506659495</v>
      </c>
      <c r="AO44" s="62">
        <f t="shared" si="36"/>
        <v>220.09202639602199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1.8522854588603179</v>
      </c>
      <c r="AW44" s="23">
        <f>EXP(-LN(2)/2)*AW43+(1-EXP(-LN(2)/2))/(LN(2)/2)*AQ44*AT44*VLOOKUP('Données projet'!$B$10,Paramètres!$A$1:$I$89,3,0)*0.475*44/12</f>
        <v>0.25818143476436306</v>
      </c>
      <c r="AX44" s="23">
        <f t="shared" si="6"/>
        <v>2.1104668936246811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7</v>
      </c>
      <c r="BD44" s="13">
        <f>IF('Données projet'!$A$88&gt;35,BD43+BC44-BL43,IF(A44&lt;'Données projet'!$A$88,$BA$205^A44,IF(A44='Données projet'!$A$88,'Données projet'!$B$88,BD43+BC44-BL43)))</f>
        <v>194</v>
      </c>
      <c r="BE44" s="14">
        <f>BD44*VLOOKUP('Données projet'!$B$11,Paramètres!$A$1:$I$89,3,0)*VLOOKUP('Données projet'!$B$11,Paramètres!$A$1:$I$89,5,0)</f>
        <v>90.792000000000002</v>
      </c>
      <c r="BF44" s="14">
        <f t="shared" si="37"/>
        <v>24.756138813110173</v>
      </c>
      <c r="BG44" s="22">
        <f t="shared" si="7"/>
        <v>201.24634176616689</v>
      </c>
      <c r="BH44" s="62">
        <f t="shared" si="8"/>
        <v>494.57967509950021</v>
      </c>
      <c r="BI44" s="62">
        <f ca="1">AVERAGE(OFFSET($BH$3,0,0,'Données projet'!$E$11+1,1))-AVERAGE(OFFSET($H$3,0,0,'Données projet'!$E$11+1,1))</f>
        <v>259.74478933784656</v>
      </c>
      <c r="BJ44" s="62">
        <f t="shared" si="38"/>
        <v>223.74038909289646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</v>
      </c>
      <c r="BZ44" s="14">
        <f>BY44*VLOOKUP('Données projet'!$B$12,Paramètres!$A$1:$I$89,3,0)*VLOOKUP('Données projet'!$B$12,Paramètres!$A$1:$I$89,5,0)</f>
        <v>126.1416</v>
      </c>
      <c r="CA44" s="14">
        <f t="shared" si="39"/>
        <v>33.10323903126482</v>
      </c>
      <c r="CB44" s="22">
        <f t="shared" si="10"/>
        <v>277.35142797945286</v>
      </c>
      <c r="CC44" s="62">
        <f t="shared" si="11"/>
        <v>570.68476131278612</v>
      </c>
      <c r="CD44" s="62">
        <f ca="1">AVERAGE(OFFSET($CC$3,0,0,'Données projet'!$E$12+1,1))-AVERAGE(OFFSET($H$3,0,0,'Données projet'!$E$12+1,1))</f>
        <v>411.75894069172358</v>
      </c>
      <c r="CE44" s="62">
        <f t="shared" si="40"/>
        <v>256.4377087753457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2.2296028671466797</v>
      </c>
      <c r="CM44" s="23">
        <f>EXP(-LN(2)/2)*CM43+(1-EXP(-LN(2)/2))/(LN(2)/2)*CG44*CJ44*VLOOKUP('Données projet'!$B$12,Paramètres!$A$1:$I$89,3,0)*0.475*44/12</f>
        <v>0.31077394925339991</v>
      </c>
      <c r="CN44" s="24">
        <f t="shared" si="12"/>
        <v>2.5403768164000797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132.80000000000001</v>
      </c>
      <c r="O45" s="14">
        <f>N45*VLOOKUP('Données projet'!$B$9,Paramètres!$A$1:$I$89,3,0)*VLOOKUP('Données projet'!$B$9,Paramètres!$A$1:$I$89,5,0)</f>
        <v>120.15744000000001</v>
      </c>
      <c r="P45" s="14">
        <f t="shared" si="33"/>
        <v>31.711716786129845</v>
      </c>
      <c r="Q45" s="22">
        <f t="shared" si="53"/>
        <v>264.50544806917611</v>
      </c>
      <c r="R45" s="62">
        <f t="shared" si="0"/>
        <v>557.83878140250943</v>
      </c>
      <c r="S45" s="62">
        <f ca="1">AVERAGE(OFFSET($R$3,0,0,'Données projet'!$E$9+1,1))-AVERAGE(OFFSET($H$3,0,0,'Données projet'!$E$9+1,1))</f>
        <v>371.75294069149942</v>
      </c>
      <c r="T45" s="62">
        <f t="shared" si="34"/>
        <v>233.32640143610547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1.9350890315492368</v>
      </c>
      <c r="AB45" s="23">
        <f>EXP(-LN(2)/2)*AB44+(1-EXP(-LN(2)/2))/(LN(2)/2)*V45*Y45*VLOOKUP('Données projet'!$B$9,Paramètres!$A$1:$I$89,3,0)*0.475*44/12</f>
        <v>0.19608494280193503</v>
      </c>
      <c r="AC45" s="24">
        <f t="shared" si="3"/>
        <v>2.1311739743511717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111.87072000000003</v>
      </c>
      <c r="AK45" s="14">
        <f t="shared" si="35"/>
        <v>29.771307279851975</v>
      </c>
      <c r="AL45" s="22">
        <f t="shared" si="4"/>
        <v>246.69319751240889</v>
      </c>
      <c r="AM45" s="62">
        <f t="shared" si="5"/>
        <v>540.02653084574217</v>
      </c>
      <c r="AN45" s="62">
        <f ca="1">AVERAGE(OFFSET($AM$3,0,0,'Données projet'!$E$10+1,1))-AVERAGE(OFFSET($H$3,0,0,'Données projet'!$E$10+1,1))</f>
        <v>348.84749506659495</v>
      </c>
      <c r="AO45" s="62">
        <f t="shared" si="36"/>
        <v>220.09202639602199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1.8016346155803238</v>
      </c>
      <c r="AW45" s="23">
        <f>EXP(-LN(2)/2)*AW44+(1-EXP(-LN(2)/2))/(LN(2)/2)*AQ45*AT45*VLOOKUP('Données projet'!$B$10,Paramètres!$A$1:$I$89,3,0)*0.475*44/12</f>
        <v>0.18256184329835337</v>
      </c>
      <c r="AX45" s="23">
        <f t="shared" si="6"/>
        <v>1.9841964588786771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7</v>
      </c>
      <c r="BD45" s="13">
        <f>IF('Données projet'!$A$88&gt;35,BD44+BC45-BL44,IF(A45&lt;'Données projet'!$A$88,$BA$205^A45,IF(A45='Données projet'!$A$88,'Données projet'!$B$88,BD44+BC45-BL44)))</f>
        <v>201</v>
      </c>
      <c r="BE45" s="14">
        <f>BD45*VLOOKUP('Données projet'!$B$11,Paramètres!$A$1:$I$89,3,0)*VLOOKUP('Données projet'!$B$11,Paramètres!$A$1:$I$89,5,0)</f>
        <v>94.067999999999998</v>
      </c>
      <c r="BF45" s="14">
        <f t="shared" si="37"/>
        <v>25.543790108694029</v>
      </c>
      <c r="BG45" s="22">
        <f t="shared" si="7"/>
        <v>208.32386777264207</v>
      </c>
      <c r="BH45" s="62">
        <f t="shared" si="8"/>
        <v>501.65720110597539</v>
      </c>
      <c r="BI45" s="62">
        <f ca="1">AVERAGE(OFFSET($BH$3,0,0,'Données projet'!$E$11+1,1))-AVERAGE(OFFSET($H$3,0,0,'Données projet'!$E$11+1,1))</f>
        <v>259.74478933784656</v>
      </c>
      <c r="BJ45" s="62">
        <f t="shared" si="38"/>
        <v>223.74038909289646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132.80000000000001</v>
      </c>
      <c r="BZ45" s="14">
        <f>BY45*VLOOKUP('Données projet'!$B$12,Paramètres!$A$1:$I$89,3,0)*VLOOKUP('Données projet'!$B$12,Paramètres!$A$1:$I$89,5,0)</f>
        <v>134.65920000000003</v>
      </c>
      <c r="CA45" s="14">
        <f t="shared" si="39"/>
        <v>35.07074737441733</v>
      </c>
      <c r="CB45" s="22">
        <f t="shared" si="10"/>
        <v>295.61299167711019</v>
      </c>
      <c r="CC45" s="62">
        <f t="shared" si="11"/>
        <v>588.9463250104435</v>
      </c>
      <c r="CD45" s="62">
        <f ca="1">AVERAGE(OFFSET($CC$3,0,0,'Données projet'!$E$12+1,1))-AVERAGE(OFFSET($H$3,0,0,'Données projet'!$E$12+1,1))</f>
        <v>411.75894069172358</v>
      </c>
      <c r="CE45" s="62">
        <f t="shared" si="40"/>
        <v>256.4377087753457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2.1686342594948349</v>
      </c>
      <c r="CM45" s="23">
        <f>EXP(-LN(2)/2)*CM44+(1-EXP(-LN(2)/2))/(LN(2)/2)*CG45*CJ45*VLOOKUP('Données projet'!$B$12,Paramètres!$A$1:$I$89,3,0)*0.475*44/12</f>
        <v>0.21975036693320307</v>
      </c>
      <c r="CN45" s="24">
        <f t="shared" si="12"/>
        <v>2.3883846264280382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141.20000000000002</v>
      </c>
      <c r="O46" s="14">
        <f>N46*VLOOKUP('Données projet'!$B$9,Paramètres!$A$1:$I$89,3,0)*VLOOKUP('Données projet'!$B$9,Paramètres!$A$1:$I$89,5,0)</f>
        <v>127.75776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371.75294069149942</v>
      </c>
      <c r="T46" s="62">
        <f t="shared" si="34"/>
        <v>233.32640143610547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1.8821739202196135</v>
      </c>
      <c r="AB46" s="23">
        <f>EXP(-LN(2)/2)*AB45+(1-EXP(-LN(2)/2))/(LN(2)/2)*V46*Y46*VLOOKUP('Données projet'!$B$9,Paramètres!$A$1:$I$89,3,0)*0.475*44/12</f>
        <v>0.13865299274382456</v>
      </c>
      <c r="AC46" s="24">
        <f t="shared" si="3"/>
        <v>2.0208269129634382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118.94688000000004</v>
      </c>
      <c r="AK46" s="14">
        <f t="shared" si="35"/>
        <v>31.429250481525276</v>
      </c>
      <c r="AL46" s="22">
        <f t="shared" si="4"/>
        <v>261.90509392198993</v>
      </c>
      <c r="AM46" s="62">
        <f t="shared" si="5"/>
        <v>555.23842725532324</v>
      </c>
      <c r="AN46" s="62">
        <f ca="1">AVERAGE(OFFSET($AM$3,0,0,'Données projet'!$E$10+1,1))-AVERAGE(OFFSET($H$3,0,0,'Données projet'!$E$10+1,1))</f>
        <v>348.84749506659495</v>
      </c>
      <c r="AO46" s="62">
        <f t="shared" si="36"/>
        <v>220.09202639602199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1.752368822273433</v>
      </c>
      <c r="AW46" s="23">
        <f>EXP(-LN(2)/2)*AW45+(1-EXP(-LN(2)/2))/(LN(2)/2)*AQ46*AT46*VLOOKUP('Données projet'!$B$10,Paramètres!$A$1:$I$89,3,0)*0.475*44/12</f>
        <v>0.12909071738218153</v>
      </c>
      <c r="AX46" s="23">
        <f t="shared" si="6"/>
        <v>1.8814595396556146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7</v>
      </c>
      <c r="BD46" s="13">
        <f>IF('Données projet'!$A$88&gt;35,BD45+BC46-BL45,IF(A46&lt;'Données projet'!$A$88,$BA$205^A46,IF(A46='Données projet'!$A$88,'Données projet'!$B$88,BD45+BC46-BL45)))</f>
        <v>208</v>
      </c>
      <c r="BE46" s="14">
        <f>BD46*VLOOKUP('Données projet'!$B$11,Paramètres!$A$1:$I$89,3,0)*VLOOKUP('Données projet'!$B$11,Paramètres!$A$1:$I$89,5,0)</f>
        <v>97.343999999999994</v>
      </c>
      <c r="BF46" s="14">
        <f t="shared" si="37"/>
        <v>26.328254259866451</v>
      </c>
      <c r="BG46" s="22">
        <f t="shared" si="7"/>
        <v>215.39584283593408</v>
      </c>
      <c r="BH46" s="62">
        <f t="shared" si="8"/>
        <v>508.72917616926736</v>
      </c>
      <c r="BI46" s="62">
        <f ca="1">AVERAGE(OFFSET($BH$3,0,0,'Données projet'!$E$11+1,1))-AVERAGE(OFFSET($H$3,0,0,'Données projet'!$E$11+1,1))</f>
        <v>259.74478933784656</v>
      </c>
      <c r="BJ46" s="62">
        <f t="shared" si="38"/>
        <v>223.74038909289646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141.20000000000002</v>
      </c>
      <c r="BZ46" s="14">
        <f>BY46*VLOOKUP('Données projet'!$B$12,Paramètres!$A$1:$I$89,3,0)*VLOOKUP('Données projet'!$B$12,Paramètres!$A$1:$I$89,5,0)</f>
        <v>143.17680000000004</v>
      </c>
      <c r="CA46" s="14">
        <f t="shared" si="39"/>
        <v>37.023812674521515</v>
      </c>
      <c r="CB46" s="22">
        <f t="shared" si="10"/>
        <v>313.84940040812506</v>
      </c>
      <c r="CC46" s="62">
        <f t="shared" si="11"/>
        <v>607.18273374145838</v>
      </c>
      <c r="CD46" s="62">
        <f ca="1">AVERAGE(OFFSET($CC$3,0,0,'Données projet'!$E$12+1,1))-AVERAGE(OFFSET($H$3,0,0,'Données projet'!$E$12+1,1))</f>
        <v>411.75894069172358</v>
      </c>
      <c r="CE46" s="62">
        <f t="shared" si="40"/>
        <v>256.4377087753457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2.1093328416254296</v>
      </c>
      <c r="CM46" s="23">
        <f>EXP(-LN(2)/2)*CM45+(1-EXP(-LN(2)/2))/(LN(2)/2)*CG46*CJ46*VLOOKUP('Données projet'!$B$12,Paramètres!$A$1:$I$89,3,0)*0.475*44/12</f>
        <v>0.15538697462669995</v>
      </c>
      <c r="CN46" s="24">
        <f t="shared" si="12"/>
        <v>2.2647198162521294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149.60000000000002</v>
      </c>
      <c r="O47" s="14">
        <f>N47*VLOOKUP('Données projet'!$B$9,Paramètres!$A$1:$I$89,3,0)*VLOOKUP('Données projet'!$B$9,Paramètres!$A$1:$I$89,5,0)</f>
        <v>135.35808</v>
      </c>
      <c r="P47" s="14">
        <f t="shared" si="33"/>
        <v>35.231528980112834</v>
      </c>
      <c r="Q47" s="22">
        <f t="shared" si="53"/>
        <v>297.11023564036316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371.75294069149942</v>
      </c>
      <c r="T47" s="62">
        <f t="shared" si="34"/>
        <v>233.32640143610547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1.8307057753919835</v>
      </c>
      <c r="AB47" s="23">
        <f>EXP(-LN(2)/2)*AB46+(1-EXP(-LN(2)/2))/(LN(2)/2)*V47*Y47*VLOOKUP('Données projet'!$B$9,Paramètres!$A$1:$I$89,3,0)*0.475*44/12</f>
        <v>9.8042471400967515E-2</v>
      </c>
      <c r="AC47" s="24">
        <f t="shared" si="3"/>
        <v>1.9287482467929511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126.02304000000004</v>
      </c>
      <c r="AK47" s="14">
        <f t="shared" si="35"/>
        <v>33.075745544773369</v>
      </c>
      <c r="AL47" s="22">
        <f t="shared" si="4"/>
        <v>277.0970514904804</v>
      </c>
      <c r="AM47" s="62">
        <f t="shared" si="5"/>
        <v>570.43038482381371</v>
      </c>
      <c r="AN47" s="62">
        <f ca="1">AVERAGE(OFFSET($AM$3,0,0,'Données projet'!$E$10+1,1))-AVERAGE(OFFSET($H$3,0,0,'Données projet'!$E$10+1,1))</f>
        <v>348.84749506659495</v>
      </c>
      <c r="AO47" s="62">
        <f t="shared" si="36"/>
        <v>220.09202639602199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1.7044502046752947</v>
      </c>
      <c r="AW47" s="23">
        <f>EXP(-LN(2)/2)*AW46+(1-EXP(-LN(2)/2))/(LN(2)/2)*AQ47*AT47*VLOOKUP('Données projet'!$B$10,Paramètres!$A$1:$I$89,3,0)*0.475*44/12</f>
        <v>9.1280921649176686E-2</v>
      </c>
      <c r="AX47" s="23">
        <f t="shared" si="6"/>
        <v>1.7957311263244715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7</v>
      </c>
      <c r="BD47" s="13">
        <f>IF('Données projet'!$A$88&gt;35,BD46+BC47-BL46,IF(A47&lt;'Données projet'!$A$88,$BA$205^A47,IF(A47='Données projet'!$A$88,'Données projet'!$B$88,BD46+BC47-BL46)))</f>
        <v>215</v>
      </c>
      <c r="BE47" s="14">
        <f>BD47*VLOOKUP('Données projet'!$B$11,Paramètres!$A$1:$I$89,3,0)*VLOOKUP('Données projet'!$B$11,Paramètres!$A$1:$I$89,5,0)</f>
        <v>100.61999999999999</v>
      </c>
      <c r="BF47" s="14">
        <f t="shared" si="37"/>
        <v>27.10965082293415</v>
      </c>
      <c r="BG47" s="22">
        <f t="shared" si="7"/>
        <v>222.46247518327695</v>
      </c>
      <c r="BH47" s="62">
        <f t="shared" si="8"/>
        <v>515.79580851661024</v>
      </c>
      <c r="BI47" s="62">
        <f ca="1">AVERAGE(OFFSET($BH$3,0,0,'Données projet'!$E$11+1,1))-AVERAGE(OFFSET($H$3,0,0,'Données projet'!$E$11+1,1))</f>
        <v>259.74478933784656</v>
      </c>
      <c r="BJ47" s="62">
        <f t="shared" si="38"/>
        <v>223.74038909289646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149.60000000000002</v>
      </c>
      <c r="BZ47" s="14">
        <f>BY47*VLOOKUP('Données projet'!$B$12,Paramètres!$A$1:$I$89,3,0)*VLOOKUP('Données projet'!$B$12,Paramètres!$A$1:$I$89,5,0)</f>
        <v>151.69440000000003</v>
      </c>
      <c r="CA47" s="14">
        <f t="shared" si="39"/>
        <v>38.963392010880654</v>
      </c>
      <c r="CB47" s="22">
        <f t="shared" si="10"/>
        <v>332.06232108561716</v>
      </c>
      <c r="CC47" s="62">
        <f t="shared" si="11"/>
        <v>625.39565441895047</v>
      </c>
      <c r="CD47" s="62">
        <f ca="1">AVERAGE(OFFSET($CC$3,0,0,'Données projet'!$E$12+1,1))-AVERAGE(OFFSET($H$3,0,0,'Données projet'!$E$12+1,1))</f>
        <v>411.75894069172358</v>
      </c>
      <c r="CE47" s="62">
        <f t="shared" si="40"/>
        <v>256.4377087753457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2.051653024146189</v>
      </c>
      <c r="CM47" s="23">
        <f>EXP(-LN(2)/2)*CM46+(1-EXP(-LN(2)/2))/(LN(2)/2)*CG47*CJ47*VLOOKUP('Données projet'!$B$12,Paramètres!$A$1:$I$89,3,0)*0.475*44/12</f>
        <v>0.10987518346660154</v>
      </c>
      <c r="CN47" s="24">
        <f t="shared" si="12"/>
        <v>2.1615282076127906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158.00000000000003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371.75294069149942</v>
      </c>
      <c r="T48" s="62">
        <f t="shared" si="34"/>
        <v>233.32640143610547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1.7806450296912573</v>
      </c>
      <c r="AB48" s="23">
        <f>EXP(-LN(2)/2)*AB47+(1-EXP(-LN(2)/2))/(LN(2)/2)*V48*Y48*VLOOKUP('Données projet'!$B$9,Paramètres!$A$1:$I$89,3,0)*0.475*44/12</f>
        <v>6.932649637191228E-2</v>
      </c>
      <c r="AC48" s="24">
        <f t="shared" si="3"/>
        <v>1.8499715260631695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133.09920000000002</v>
      </c>
      <c r="AK48" s="14">
        <f t="shared" si="35"/>
        <v>34.71150853565117</v>
      </c>
      <c r="AL48" s="22">
        <f t="shared" si="4"/>
        <v>292.27031736625912</v>
      </c>
      <c r="AM48" s="62">
        <f t="shared" si="5"/>
        <v>585.60365069959244</v>
      </c>
      <c r="AN48" s="62">
        <f ca="1">AVERAGE(OFFSET($AM$3,0,0,'Données projet'!$E$10+1,1))-AVERAGE(OFFSET($H$3,0,0,'Données projet'!$E$10+1,1))</f>
        <v>348.84749506659495</v>
      </c>
      <c r="AO48" s="62">
        <f t="shared" si="36"/>
        <v>220.09202639602199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1.6578419241953082</v>
      </c>
      <c r="AW48" s="23">
        <f>EXP(-LN(2)/2)*AW47+(1-EXP(-LN(2)/2))/(LN(2)/2)*AQ48*AT48*VLOOKUP('Données projet'!$B$10,Paramètres!$A$1:$I$89,3,0)*0.475*44/12</f>
        <v>6.4545358691090765E-2</v>
      </c>
      <c r="AX48" s="23">
        <f t="shared" si="6"/>
        <v>1.7223872828863989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7</v>
      </c>
      <c r="BD48" s="13">
        <f>IF('Données projet'!$A$88&gt;35,BD47+BC48-BL47,IF(A48&lt;'Données projet'!$A$88,$BA$205^A48,IF(A48='Données projet'!$A$88,'Données projet'!$B$88,BD47+BC48-BL47)))</f>
        <v>222</v>
      </c>
      <c r="BE48" s="14">
        <f>BD48*VLOOKUP('Données projet'!$B$11,Paramètres!$A$1:$I$89,3,0)*VLOOKUP('Données projet'!$B$11,Paramètres!$A$1:$I$89,5,0)</f>
        <v>103.896</v>
      </c>
      <c r="BF48" s="14">
        <f t="shared" si="37"/>
        <v>27.888091127225799</v>
      </c>
      <c r="BG48" s="22">
        <f t="shared" si="7"/>
        <v>229.52395871325157</v>
      </c>
      <c r="BH48" s="62">
        <f t="shared" si="8"/>
        <v>522.85729204658492</v>
      </c>
      <c r="BI48" s="62">
        <f ca="1">AVERAGE(OFFSET($BH$3,0,0,'Données projet'!$E$11+1,1))-AVERAGE(OFFSET($H$3,0,0,'Données projet'!$E$11+1,1))</f>
        <v>259.74478933784656</v>
      </c>
      <c r="BJ48" s="62">
        <f t="shared" si="38"/>
        <v>223.74038909289646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158.00000000000003</v>
      </c>
      <c r="BZ48" s="14">
        <f>BY48*VLOOKUP('Données projet'!$B$12,Paramètres!$A$1:$I$89,3,0)*VLOOKUP('Données projet'!$B$12,Paramètres!$A$1:$I$89,5,0)</f>
        <v>160.21200000000005</v>
      </c>
      <c r="CA48" s="14">
        <f t="shared" si="39"/>
        <v>40.890328912852695</v>
      </c>
      <c r="CB48" s="22">
        <f t="shared" si="10"/>
        <v>350.25322285655176</v>
      </c>
      <c r="CC48" s="62">
        <f t="shared" si="11"/>
        <v>643.58655618988507</v>
      </c>
      <c r="CD48" s="62">
        <f ca="1">AVERAGE(OFFSET($CC$3,0,0,'Données projet'!$E$12+1,1))-AVERAGE(OFFSET($H$3,0,0,'Données projet'!$E$12+1,1))</f>
        <v>411.75894069172358</v>
      </c>
      <c r="CE48" s="62">
        <f t="shared" si="40"/>
        <v>256.4377087753457</v>
      </c>
      <c r="CF48" s="16">
        <f>IF(ISNA(VLOOKUP(A48,'Données projet'!$A$113:$I$133,3,0)),0,VLOOKUP(A48,'Données projet'!$A$113:$I$133,3,0))</f>
        <v>5</v>
      </c>
      <c r="CG48" s="16">
        <f>IF(ISNA(VLOOKUP(A48,'Données projet'!$A$113:$I$133,4,0)),0,VLOOKUP(A48,'Données projet'!$A$113:$I$133,4,0))</f>
        <v>21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1.9955504643091679</v>
      </c>
      <c r="CM48" s="23">
        <f>EXP(-LN(2)/2)*CM47+(1-EXP(-LN(2)/2))/(LN(2)/2)*CG48*CJ48*VLOOKUP('Données projet'!$B$12,Paramètres!$A$1:$I$89,3,0)*0.475*44/12</f>
        <v>7.7693487313349976E-2</v>
      </c>
      <c r="CN48" s="24">
        <f t="shared" si="12"/>
        <v>2.0732439516225178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145.40000000000003</v>
      </c>
      <c r="O49" s="14">
        <f>N49*VLOOKUP('Données projet'!$B$9,Paramètres!$A$1:$I$89,3,0)*VLOOKUP('Données projet'!$B$9,Paramètres!$A$1:$I$89,5,0)</f>
        <v>131.55792000000002</v>
      </c>
      <c r="P49" s="14">
        <f t="shared" si="33"/>
        <v>34.3560989338864</v>
      </c>
      <c r="Q49" s="22">
        <f t="shared" si="53"/>
        <v>288.96691630985219</v>
      </c>
      <c r="R49" s="62">
        <f t="shared" si="0"/>
        <v>582.30024964318545</v>
      </c>
      <c r="S49" s="62">
        <f ca="1">AVERAGE(OFFSET($R$3,0,0,'Données projet'!$E$9+1,1))-AVERAGE(OFFSET($H$3,0,0,'Données projet'!$E$9+1,1))</f>
        <v>371.75294069149942</v>
      </c>
      <c r="T49" s="62">
        <f t="shared" si="34"/>
        <v>233.32640143610547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1.7319531977142975</v>
      </c>
      <c r="AB49" s="23">
        <f>EXP(-LN(2)/2)*AB48+(1-EXP(-LN(2)/2))/(LN(2)/2)*V49*Y49*VLOOKUP('Données projet'!$B$9,Paramètres!$A$1:$I$89,3,0)*0.475*44/12</f>
        <v>4.9021235700483758E-2</v>
      </c>
      <c r="AC49" s="24">
        <f t="shared" si="3"/>
        <v>1.7809744334147812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122.48496000000003</v>
      </c>
      <c r="AK49" s="14">
        <f t="shared" si="35"/>
        <v>32.25388222264565</v>
      </c>
      <c r="AL49" s="22">
        <f t="shared" si="4"/>
        <v>269.50348353777451</v>
      </c>
      <c r="AM49" s="62">
        <f t="shared" si="5"/>
        <v>562.83681687110789</v>
      </c>
      <c r="AN49" s="62">
        <f ca="1">AVERAGE(OFFSET($AM$3,0,0,'Données projet'!$E$10+1,1))-AVERAGE(OFFSET($H$3,0,0,'Données projet'!$E$10+1,1))</f>
        <v>348.84749506659495</v>
      </c>
      <c r="AO49" s="62">
        <f t="shared" si="36"/>
        <v>220.09202639602199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1.6125081495960698</v>
      </c>
      <c r="AW49" s="23">
        <f>EXP(-LN(2)/2)*AW48+(1-EXP(-LN(2)/2))/(LN(2)/2)*AQ49*AT49*VLOOKUP('Données projet'!$B$10,Paramètres!$A$1:$I$89,3,0)*0.475*44/12</f>
        <v>4.5640460824588343E-2</v>
      </c>
      <c r="AX49" s="23">
        <f t="shared" si="6"/>
        <v>1.6581486104206582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</v>
      </c>
      <c r="BD49" s="13">
        <f>IF('Données projet'!$A$88&gt;35,BD48+BC49-BL48,IF(A49&lt;'Données projet'!$A$88,$BA$205^A49,IF(A49='Données projet'!$A$88,'Données projet'!$B$88,BD48+BC49-BL48)))</f>
        <v>229</v>
      </c>
      <c r="BE49" s="14">
        <f>BD49*VLOOKUP('Données projet'!$B$11,Paramètres!$A$1:$I$89,3,0)*VLOOKUP('Données projet'!$B$11,Paramètres!$A$1:$I$89,5,0)</f>
        <v>107.172</v>
      </c>
      <c r="BF49" s="14">
        <f t="shared" si="37"/>
        <v>28.663679082578788</v>
      </c>
      <c r="BG49" s="22">
        <f t="shared" si="7"/>
        <v>236.58047440215805</v>
      </c>
      <c r="BH49" s="62">
        <f t="shared" si="8"/>
        <v>529.91380773549133</v>
      </c>
      <c r="BI49" s="62">
        <f ca="1">AVERAGE(OFFSET($BH$3,0,0,'Données projet'!$E$11+1,1))-AVERAGE(OFFSET($H$3,0,0,'Données projet'!$E$11+1,1))</f>
        <v>259.74478933784656</v>
      </c>
      <c r="BJ49" s="62">
        <f t="shared" si="38"/>
        <v>223.74038909289646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8.4</v>
      </c>
      <c r="BY49" s="13">
        <f>IF('Données projet'!$A$114&gt;35,BY48+BX49-CG48,IF(A49&lt;'Données projet'!$A$114,$BV$205^A49,IF(A49='Données projet'!$A$114,'Données projet'!$B$114,BY48+BX49-CG48)))</f>
        <v>145.40000000000003</v>
      </c>
      <c r="BZ49" s="14">
        <f>BY49*VLOOKUP('Données projet'!$B$12,Paramètres!$A$1:$I$89,3,0)*VLOOKUP('Données projet'!$B$12,Paramètres!$A$1:$I$89,5,0)</f>
        <v>147.43560000000002</v>
      </c>
      <c r="CA49" s="14">
        <f t="shared" si="39"/>
        <v>37.99523294834102</v>
      </c>
      <c r="CB49" s="22">
        <f t="shared" si="10"/>
        <v>322.95870071836066</v>
      </c>
      <c r="CC49" s="62">
        <f t="shared" si="11"/>
        <v>616.29203405169392</v>
      </c>
      <c r="CD49" s="62">
        <f ca="1">AVERAGE(OFFSET($CC$3,0,0,'Données projet'!$E$12+1,1))-AVERAGE(OFFSET($H$3,0,0,'Données projet'!$E$12+1,1))</f>
        <v>411.75894069172358</v>
      </c>
      <c r="CE49" s="62">
        <f t="shared" si="40"/>
        <v>256.4377087753457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1.9409820319211957</v>
      </c>
      <c r="CM49" s="23">
        <f>EXP(-LN(2)/2)*CM48+(1-EXP(-LN(2)/2))/(LN(2)/2)*CG49*CJ49*VLOOKUP('Données projet'!$B$12,Paramètres!$A$1:$I$89,3,0)*0.475*44/12</f>
        <v>5.4937591733300768E-2</v>
      </c>
      <c r="CN49" s="24">
        <f t="shared" si="12"/>
        <v>1.9959196236544965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153.80000000000004</v>
      </c>
      <c r="O50" s="14">
        <f>N50*VLOOKUP('Données projet'!$B$9,Paramètres!$A$1:$I$89,3,0)*VLOOKUP('Données projet'!$B$9,Paramètres!$A$1:$I$89,5,0)</f>
        <v>139.15824000000003</v>
      </c>
      <c r="P50" s="14">
        <f t="shared" si="33"/>
        <v>36.104102468715482</v>
      </c>
      <c r="Q50" s="22">
        <f t="shared" si="53"/>
        <v>305.24857979967953</v>
      </c>
      <c r="R50" s="62">
        <f t="shared" si="0"/>
        <v>598.5819131330129</v>
      </c>
      <c r="S50" s="62">
        <f ca="1">AVERAGE(OFFSET($R$3,0,0,'Données projet'!$E$9+1,1))-AVERAGE(OFFSET($H$3,0,0,'Données projet'!$E$9+1,1))</f>
        <v>371.75294069149942</v>
      </c>
      <c r="T50" s="62">
        <f t="shared" si="34"/>
        <v>233.32640143610547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1.6845928464433397</v>
      </c>
      <c r="AB50" s="23">
        <f>EXP(-LN(2)/2)*AB49+(1-EXP(-LN(2)/2))/(LN(2)/2)*V50*Y50*VLOOKUP('Données projet'!$B$9,Paramètres!$A$1:$I$89,3,0)*0.475*44/12</f>
        <v>3.466324818595614E-2</v>
      </c>
      <c r="AC50" s="24">
        <f t="shared" si="3"/>
        <v>1.7192560946292959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129.56112000000005</v>
      </c>
      <c r="AK50" s="14">
        <f t="shared" si="35"/>
        <v>33.894927099295955</v>
      </c>
      <c r="AL50" s="22">
        <f t="shared" si="4"/>
        <v>284.68594869794055</v>
      </c>
      <c r="AM50" s="62">
        <f t="shared" si="5"/>
        <v>578.01928203127386</v>
      </c>
      <c r="AN50" s="62">
        <f ca="1">AVERAGE(OFFSET($AM$3,0,0,'Données projet'!$E$10+1,1))-AVERAGE(OFFSET($H$3,0,0,'Données projet'!$E$10+1,1))</f>
        <v>348.84749506659495</v>
      </c>
      <c r="AO50" s="62">
        <f t="shared" si="36"/>
        <v>220.09202639602199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1.5684140294472471</v>
      </c>
      <c r="AW50" s="23">
        <f>EXP(-LN(2)/2)*AW49+(1-EXP(-LN(2)/2))/(LN(2)/2)*AQ50*AT50*VLOOKUP('Données projet'!$B$10,Paramètres!$A$1:$I$89,3,0)*0.475*44/12</f>
        <v>3.2272679345545383E-2</v>
      </c>
      <c r="AX50" s="23">
        <f t="shared" si="6"/>
        <v>1.6006867087927925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</v>
      </c>
      <c r="BD50" s="13">
        <f>IF('Données projet'!$A$88&gt;35,BD49+BC50-BL49,IF(A50&lt;'Données projet'!$A$88,$BA$205^A50,IF(A50='Données projet'!$A$88,'Données projet'!$B$88,BD49+BC50-BL49)))</f>
        <v>236</v>
      </c>
      <c r="BE50" s="14">
        <f>BD50*VLOOKUP('Données projet'!$B$11,Paramètres!$A$1:$I$89,3,0)*VLOOKUP('Données projet'!$B$11,Paramètres!$A$1:$I$89,5,0)</f>
        <v>110.44799999999999</v>
      </c>
      <c r="BF50" s="14">
        <f t="shared" si="37"/>
        <v>29.436511885319565</v>
      </c>
      <c r="BG50" s="22">
        <f t="shared" si="7"/>
        <v>243.63219153359822</v>
      </c>
      <c r="BH50" s="62">
        <f t="shared" si="8"/>
        <v>536.96552486693156</v>
      </c>
      <c r="BI50" s="62">
        <f ca="1">AVERAGE(OFFSET($BH$3,0,0,'Données projet'!$E$11+1,1))-AVERAGE(OFFSET($H$3,0,0,'Données projet'!$E$11+1,1))</f>
        <v>259.74478933784656</v>
      </c>
      <c r="BJ50" s="62">
        <f t="shared" si="38"/>
        <v>223.74038909289646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8.4</v>
      </c>
      <c r="BY50" s="13">
        <f>IF('Données projet'!$A$114&gt;35,BY49+BX50-CG49,IF(A50&lt;'Données projet'!$A$114,$BV$205^A50,IF(A50='Données projet'!$A$114,'Données projet'!$B$114,BY49+BX50-CG49)))</f>
        <v>153.80000000000004</v>
      </c>
      <c r="BZ50" s="14">
        <f>BY50*VLOOKUP('Données projet'!$B$12,Paramètres!$A$1:$I$89,3,0)*VLOOKUP('Données projet'!$B$12,Paramètres!$A$1:$I$89,5,0)</f>
        <v>155.95320000000004</v>
      </c>
      <c r="CA50" s="14">
        <f t="shared" si="39"/>
        <v>39.928391937903875</v>
      </c>
      <c r="CB50" s="22">
        <f t="shared" si="10"/>
        <v>341.16043929184929</v>
      </c>
      <c r="CC50" s="62">
        <f t="shared" si="11"/>
        <v>634.4937726251826</v>
      </c>
      <c r="CD50" s="62">
        <f ca="1">AVERAGE(OFFSET($CC$3,0,0,'Données projet'!$E$12+1,1))-AVERAGE(OFFSET($H$3,0,0,'Données projet'!$E$12+1,1))</f>
        <v>411.75894069172358</v>
      </c>
      <c r="CE50" s="62">
        <f t="shared" si="40"/>
        <v>256.4377087753457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1.8879057761865017</v>
      </c>
      <c r="CM50" s="23">
        <f>EXP(-LN(2)/2)*CM49+(1-EXP(-LN(2)/2))/(LN(2)/2)*CG50*CJ50*VLOOKUP('Données projet'!$B$12,Paramètres!$A$1:$I$89,3,0)*0.475*44/12</f>
        <v>3.8846743656674988E-2</v>
      </c>
      <c r="CN50" s="24">
        <f t="shared" si="12"/>
        <v>1.9267525198431767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162.20000000000005</v>
      </c>
      <c r="O51" s="14">
        <f>N51*VLOOKUP('Données projet'!$B$9,Paramètres!$A$1:$I$89,3,0)*VLOOKUP('Données projet'!$B$9,Paramètres!$A$1:$I$89,5,0)</f>
        <v>146.75856000000005</v>
      </c>
      <c r="P51" s="14">
        <f t="shared" si="33"/>
        <v>37.841022770456242</v>
      </c>
      <c r="Q51" s="22">
        <f t="shared" si="53"/>
        <v>321.51093999187805</v>
      </c>
      <c r="R51" s="62">
        <f t="shared" si="0"/>
        <v>614.84427332521136</v>
      </c>
      <c r="S51" s="62">
        <f ca="1">AVERAGE(OFFSET($R$3,0,0,'Données projet'!$E$9+1,1))-AVERAGE(OFFSET($H$3,0,0,'Données projet'!$E$9+1,1))</f>
        <v>371.75294069149942</v>
      </c>
      <c r="T51" s="62">
        <f t="shared" si="34"/>
        <v>233.32640143610547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1.6385275664684591</v>
      </c>
      <c r="AB51" s="23">
        <f>EXP(-LN(2)/2)*AB50+(1-EXP(-LN(2)/2))/(LN(2)/2)*V51*Y51*VLOOKUP('Données projet'!$B$9,Paramètres!$A$1:$I$89,3,0)*0.475*44/12</f>
        <v>2.4510617850241879E-2</v>
      </c>
      <c r="AC51" s="24">
        <f t="shared" si="3"/>
        <v>1.663038184318701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136.63728000000006</v>
      </c>
      <c r="AK51" s="14">
        <f t="shared" si="35"/>
        <v>35.525566915250494</v>
      </c>
      <c r="AL51" s="22">
        <f t="shared" si="4"/>
        <v>299.85029171072807</v>
      </c>
      <c r="AM51" s="62">
        <f t="shared" si="5"/>
        <v>593.18362504406139</v>
      </c>
      <c r="AN51" s="62">
        <f ca="1">AVERAGE(OFFSET($AM$3,0,0,'Données projet'!$E$10+1,1))-AVERAGE(OFFSET($H$3,0,0,'Données projet'!$E$10+1,1))</f>
        <v>348.84749506659495</v>
      </c>
      <c r="AO51" s="62">
        <f t="shared" si="36"/>
        <v>220.09202639602199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1.525525665332703</v>
      </c>
      <c r="AW51" s="23">
        <f>EXP(-LN(2)/2)*AW50+(1-EXP(-LN(2)/2))/(LN(2)/2)*AQ51*AT51*VLOOKUP('Données projet'!$B$10,Paramètres!$A$1:$I$89,3,0)*0.475*44/12</f>
        <v>2.2820230412294171E-2</v>
      </c>
      <c r="AX51" s="23">
        <f t="shared" si="6"/>
        <v>1.5483458957449971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</v>
      </c>
      <c r="BD51" s="13">
        <f>IF('Données projet'!$A$88&gt;35,BD50+BC51-BL50,IF(A51&lt;'Données projet'!$A$88,$BA$205^A51,IF(A51='Données projet'!$A$88,'Données projet'!$B$88,BD50+BC51-BL50)))</f>
        <v>243</v>
      </c>
      <c r="BE51" s="14">
        <f>BD51*VLOOKUP('Données projet'!$B$11,Paramètres!$A$1:$I$89,3,0)*VLOOKUP('Données projet'!$B$11,Paramètres!$A$1:$I$89,5,0)</f>
        <v>113.72399999999999</v>
      </c>
      <c r="BF51" s="14">
        <f t="shared" si="37"/>
        <v>30.206680638130489</v>
      </c>
      <c r="BG51" s="22">
        <f t="shared" si="7"/>
        <v>250.67926877807722</v>
      </c>
      <c r="BH51" s="62">
        <f t="shared" si="8"/>
        <v>544.0126021114105</v>
      </c>
      <c r="BI51" s="62">
        <f ca="1">AVERAGE(OFFSET($BH$3,0,0,'Données projet'!$E$11+1,1))-AVERAGE(OFFSET($H$3,0,0,'Données projet'!$E$11+1,1))</f>
        <v>259.74478933784656</v>
      </c>
      <c r="BJ51" s="62">
        <f t="shared" si="38"/>
        <v>223.74038909289646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8.4</v>
      </c>
      <c r="BY51" s="13">
        <f>IF('Données projet'!$A$114&gt;35,BY50+BX51-CG50,IF(A51&lt;'Données projet'!$A$114,$BV$205^A51,IF(A51='Données projet'!$A$114,'Données projet'!$B$114,BY50+BX51-CG50)))</f>
        <v>162.20000000000005</v>
      </c>
      <c r="BZ51" s="14">
        <f>BY51*VLOOKUP('Données projet'!$B$12,Paramètres!$A$1:$I$89,3,0)*VLOOKUP('Données projet'!$B$12,Paramètres!$A$1:$I$89,5,0)</f>
        <v>164.47080000000005</v>
      </c>
      <c r="CA51" s="14">
        <f t="shared" si="39"/>
        <v>41.849293714451377</v>
      </c>
      <c r="CB51" s="22">
        <f t="shared" si="10"/>
        <v>359.34082988600289</v>
      </c>
      <c r="CC51" s="62">
        <f t="shared" si="11"/>
        <v>652.67416321933615</v>
      </c>
      <c r="CD51" s="62">
        <f ca="1">AVERAGE(OFFSET($CC$3,0,0,'Données projet'!$E$12+1,1))-AVERAGE(OFFSET($H$3,0,0,'Données projet'!$E$12+1,1))</f>
        <v>411.75894069172358</v>
      </c>
      <c r="CE51" s="62">
        <f t="shared" si="40"/>
        <v>256.4377087753457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1.836280893456032</v>
      </c>
      <c r="CM51" s="23">
        <f>EXP(-LN(2)/2)*CM50+(1-EXP(-LN(2)/2))/(LN(2)/2)*CG51*CJ51*VLOOKUP('Données projet'!$B$12,Paramètres!$A$1:$I$89,3,0)*0.475*44/12</f>
        <v>2.7468795866650384E-2</v>
      </c>
      <c r="CN51" s="24">
        <f t="shared" si="12"/>
        <v>1.8637496893226824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170.60000000000005</v>
      </c>
      <c r="O52" s="14">
        <f>N52*VLOOKUP('Données projet'!$B$9,Paramètres!$A$1:$I$89,3,0)*VLOOKUP('Données projet'!$B$9,Paramètres!$A$1:$I$89,5,0)</f>
        <v>154.35888000000003</v>
      </c>
      <c r="P52" s="14">
        <f t="shared" si="33"/>
        <v>39.567499286120309</v>
      </c>
      <c r="Q52" s="22">
        <f t="shared" si="53"/>
        <v>337.75511058999291</v>
      </c>
      <c r="R52" s="62">
        <f t="shared" si="0"/>
        <v>631.08844392332617</v>
      </c>
      <c r="S52" s="62">
        <f ca="1">AVERAGE(OFFSET($R$3,0,0,'Données projet'!$E$9+1,1))-AVERAGE(OFFSET($H$3,0,0,'Données projet'!$E$9+1,1))</f>
        <v>371.75294069149942</v>
      </c>
      <c r="T52" s="62">
        <f t="shared" si="34"/>
        <v>233.32640143610547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1.5937219439969592</v>
      </c>
      <c r="AB52" s="23">
        <f>EXP(-LN(2)/2)*AB51+(1-EXP(-LN(2)/2))/(LN(2)/2)*V52*Y52*VLOOKUP('Données projet'!$B$9,Paramètres!$A$1:$I$89,3,0)*0.475*44/12</f>
        <v>1.733162409297807E-2</v>
      </c>
      <c r="AC52" s="24">
        <f t="shared" si="3"/>
        <v>1.6110535680899374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143.71344000000008</v>
      </c>
      <c r="AK52" s="14">
        <f t="shared" si="35"/>
        <v>37.146401990372148</v>
      </c>
      <c r="AL52" s="22">
        <f t="shared" si="4"/>
        <v>314.99755813323162</v>
      </c>
      <c r="AM52" s="62">
        <f t="shared" si="5"/>
        <v>608.33089146656494</v>
      </c>
      <c r="AN52" s="62">
        <f ca="1">AVERAGE(OFFSET($AM$3,0,0,'Données projet'!$E$10+1,1))-AVERAGE(OFFSET($H$3,0,0,'Données projet'!$E$10+1,1))</f>
        <v>348.84749506659495</v>
      </c>
      <c r="AO52" s="62">
        <f t="shared" si="36"/>
        <v>220.09202639602199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1.4838100857902721</v>
      </c>
      <c r="AW52" s="23">
        <f>EXP(-LN(2)/2)*AW51+(1-EXP(-LN(2)/2))/(LN(2)/2)*AQ52*AT52*VLOOKUP('Données projet'!$B$10,Paramètres!$A$1:$I$89,3,0)*0.475*44/12</f>
        <v>1.6136339672772691E-2</v>
      </c>
      <c r="AX52" s="23">
        <f t="shared" si="6"/>
        <v>1.4999464254630448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</v>
      </c>
      <c r="BD52" s="13">
        <f>IF('Données projet'!$A$88&gt;35,BD51+BC52-BL51,IF(A52&lt;'Données projet'!$A$88,$BA$205^A52,IF(A52='Données projet'!$A$88,'Données projet'!$B$88,BD51+BC52-BL51)))</f>
        <v>250</v>
      </c>
      <c r="BE52" s="14">
        <f>BD52*VLOOKUP('Données projet'!$B$11,Paramètres!$A$1:$I$89,3,0)*VLOOKUP('Données projet'!$B$11,Paramètres!$A$1:$I$89,5,0)</f>
        <v>117</v>
      </c>
      <c r="BF52" s="14">
        <f t="shared" si="37"/>
        <v>30.974270896484146</v>
      </c>
      <c r="BG52" s="22">
        <f t="shared" si="7"/>
        <v>257.72185514470988</v>
      </c>
      <c r="BH52" s="62">
        <f t="shared" si="8"/>
        <v>551.05518847804319</v>
      </c>
      <c r="BI52" s="62">
        <f ca="1">AVERAGE(OFFSET($BH$3,0,0,'Données projet'!$E$11+1,1))-AVERAGE(OFFSET($H$3,0,0,'Données projet'!$E$11+1,1))</f>
        <v>259.74478933784656</v>
      </c>
      <c r="BJ52" s="62">
        <f t="shared" si="38"/>
        <v>223.74038909289646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8.4</v>
      </c>
      <c r="BY52" s="13">
        <f>IF('Données projet'!$A$114&gt;35,BY51+BX52-CG51,IF(A52&lt;'Données projet'!$A$114,$BV$205^A52,IF(A52='Données projet'!$A$114,'Données projet'!$B$114,BY51+BX52-CG51)))</f>
        <v>170.60000000000005</v>
      </c>
      <c r="BZ52" s="14">
        <f>BY52*VLOOKUP('Données projet'!$B$12,Paramètres!$A$1:$I$89,3,0)*VLOOKUP('Données projet'!$B$12,Paramètres!$A$1:$I$89,5,0)</f>
        <v>172.98840000000007</v>
      </c>
      <c r="CA52" s="14">
        <f t="shared" si="39"/>
        <v>43.758645457754092</v>
      </c>
      <c r="CB52" s="22">
        <f t="shared" si="10"/>
        <v>377.50110417225511</v>
      </c>
      <c r="CC52" s="62">
        <f t="shared" si="11"/>
        <v>670.83443750558843</v>
      </c>
      <c r="CD52" s="62">
        <f ca="1">AVERAGE(OFFSET($CC$3,0,0,'Données projet'!$E$12+1,1))-AVERAGE(OFFSET($H$3,0,0,'Données projet'!$E$12+1,1))</f>
        <v>411.75894069172358</v>
      </c>
      <c r="CE52" s="62">
        <f t="shared" si="40"/>
        <v>256.4377087753457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1.7860676958586614</v>
      </c>
      <c r="CM52" s="23">
        <f>EXP(-LN(2)/2)*CM51+(1-EXP(-LN(2)/2))/(LN(2)/2)*CG52*CJ52*VLOOKUP('Données projet'!$B$12,Paramètres!$A$1:$I$89,3,0)*0.475*44/12</f>
        <v>1.9423371828337494E-2</v>
      </c>
      <c r="CN52" s="24">
        <f t="shared" si="12"/>
        <v>1.8054910676869989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179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179.00000000000006</v>
      </c>
      <c r="O53" s="14">
        <f>N53*VLOOKUP('Données projet'!$B$9,Paramètres!$A$1:$I$89,3,0)*VLOOKUP('Données projet'!$B$9,Paramètres!$A$1:$I$89,5,0)</f>
        <v>161.95920000000004</v>
      </c>
      <c r="P53" s="14">
        <f t="shared" si="33"/>
        <v>41.284104935125725</v>
      </c>
      <c r="Q53" s="22">
        <f t="shared" si="53"/>
        <v>353.9820894286774</v>
      </c>
      <c r="R53" s="62">
        <f t="shared" si="0"/>
        <v>647.31542276201071</v>
      </c>
      <c r="S53" s="62">
        <f ca="1">AVERAGE(OFFSET($R$3,0,0,'Données projet'!$E$9+1,1))-AVERAGE(OFFSET($H$3,0,0,'Données projet'!$E$9+1,1))</f>
        <v>371.75294069149942</v>
      </c>
      <c r="T53" s="62">
        <f t="shared" si="34"/>
        <v>233.32640143610547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1.5501415336281679</v>
      </c>
      <c r="AB53" s="23">
        <f>EXP(-LN(2)/2)*AB52+(1-EXP(-LN(2)/2))/(LN(2)/2)*V53*Y53*VLOOKUP('Données projet'!$B$9,Paramètres!$A$1:$I$89,3,0)*0.475*44/12</f>
        <v>1.2255308925120939E-2</v>
      </c>
      <c r="AC53" s="24">
        <f t="shared" si="3"/>
        <v>1.5623968425532888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150.78960000000006</v>
      </c>
      <c r="AK53" s="14">
        <f t="shared" si="35"/>
        <v>38.757970187689722</v>
      </c>
      <c r="AL53" s="22">
        <f t="shared" si="4"/>
        <v>330.12868474355969</v>
      </c>
      <c r="AM53" s="62">
        <f t="shared" si="5"/>
        <v>623.46201807689295</v>
      </c>
      <c r="AN53" s="62">
        <f ca="1">AVERAGE(OFFSET($AM$3,0,0,'Données projet'!$E$10+1,1))-AVERAGE(OFFSET($H$3,0,0,'Données projet'!$E$10+1,1))</f>
        <v>348.84749506659495</v>
      </c>
      <c r="AO53" s="62">
        <f t="shared" si="36"/>
        <v>220.09202639602199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1.4432352209641559</v>
      </c>
      <c r="AW53" s="23">
        <f>EXP(-LN(2)/2)*AW52+(1-EXP(-LN(2)/2))/(LN(2)/2)*AQ53*AT53*VLOOKUP('Données projet'!$B$10,Paramètres!$A$1:$I$89,3,0)*0.475*44/12</f>
        <v>1.1410115206147086E-2</v>
      </c>
      <c r="AX53" s="23">
        <f t="shared" si="6"/>
        <v>1.4546453361703029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257</v>
      </c>
      <c r="BB53" s="13">
        <f>VLOOKUP(A53,'Données projet'!$A$87:$I$107,9,0)</f>
        <v>7</v>
      </c>
      <c r="BC53" s="13">
        <f t="array" ref="BC53">INDEX(BB:BB,MIN(IF(ISNUMBER(BB53:BB249),ROW(BB53:BB249),"")))</f>
        <v>7</v>
      </c>
      <c r="BD53" s="13">
        <f>IF('Données projet'!$A$88&gt;35,BD52+BC53-BL52,IF(A53&lt;'Données projet'!$A$88,$BA$205^A53,IF(A53='Données projet'!$A$88,'Données projet'!$B$88,BD52+BC53-BL52)))</f>
        <v>257</v>
      </c>
      <c r="BE53" s="14">
        <f>BD53*VLOOKUP('Données projet'!$B$11,Paramètres!$A$1:$I$89,3,0)*VLOOKUP('Données projet'!$B$11,Paramètres!$A$1:$I$89,5,0)</f>
        <v>120.276</v>
      </c>
      <c r="BF53" s="14">
        <f t="shared" si="37"/>
        <v>31.739363152156315</v>
      </c>
      <c r="BG53" s="22">
        <f t="shared" si="7"/>
        <v>264.76009082333889</v>
      </c>
      <c r="BH53" s="62">
        <f t="shared" si="8"/>
        <v>558.0934241566722</v>
      </c>
      <c r="BI53" s="62">
        <f ca="1">AVERAGE(OFFSET($BH$3,0,0,'Données projet'!$E$11+1,1))-AVERAGE(OFFSET($H$3,0,0,'Données projet'!$E$11+1,1))</f>
        <v>259.74478933784656</v>
      </c>
      <c r="BJ53" s="62">
        <f t="shared" si="38"/>
        <v>223.74038909289646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179</v>
      </c>
      <c r="BW53" s="13">
        <f>VLOOKUP(A53,'Données projet'!$A$113:$I$133,9,0)</f>
        <v>8.4</v>
      </c>
      <c r="BX53" s="13">
        <f t="array" ref="BX53">INDEX(BW:BW,MIN(IF(ISNUMBER(BW53:BW249),ROW(BW53:BW249),"")))</f>
        <v>8.4</v>
      </c>
      <c r="BY53" s="13">
        <f>IF('Données projet'!$A$114&gt;35,BY52+BX53-CG52,IF(A53&lt;'Données projet'!$A$114,$BV$205^A53,IF(A53='Données projet'!$A$114,'Données projet'!$B$114,BY52+BX53-CG52)))</f>
        <v>179.00000000000006</v>
      </c>
      <c r="BZ53" s="14">
        <f>BY53*VLOOKUP('Données projet'!$B$12,Paramètres!$A$1:$I$89,3,0)*VLOOKUP('Données projet'!$B$12,Paramètres!$A$1:$I$89,5,0)</f>
        <v>181.50600000000006</v>
      </c>
      <c r="CA53" s="14">
        <f t="shared" si="39"/>
        <v>45.657080773122978</v>
      </c>
      <c r="CB53" s="22">
        <f t="shared" si="10"/>
        <v>395.64236567985591</v>
      </c>
      <c r="CC53" s="62">
        <f t="shared" si="11"/>
        <v>688.97569901318923</v>
      </c>
      <c r="CD53" s="62">
        <f ca="1">AVERAGE(OFFSET($CC$3,0,0,'Données projet'!$E$12+1,1))-AVERAGE(OFFSET($H$3,0,0,'Données projet'!$E$12+1,1))</f>
        <v>411.75894069172358</v>
      </c>
      <c r="CE53" s="62">
        <f t="shared" si="40"/>
        <v>256.4377087753457</v>
      </c>
      <c r="CF53" s="16">
        <f>IF(ISNA(VLOOKUP(A53,'Données projet'!$A$113:$I$133,3,0)),0,VLOOKUP(A53,'Données projet'!$A$113:$I$133,3,0))</f>
        <v>6</v>
      </c>
      <c r="CG53" s="16">
        <f>IF(ISNA(VLOOKUP(A53,'Données projet'!$A$113:$I$133,4,0)),0,VLOOKUP(A53,'Données projet'!$A$113:$I$133,4,0))</f>
        <v>21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1.7372275807901882</v>
      </c>
      <c r="CM53" s="23">
        <f>EXP(-LN(2)/2)*CM52+(1-EXP(-LN(2)/2))/(LN(2)/2)*CG53*CJ53*VLOOKUP('Données projet'!$B$12,Paramètres!$A$1:$I$89,3,0)*0.475*44/12</f>
        <v>1.3734397933325192E-2</v>
      </c>
      <c r="CN53" s="24">
        <f t="shared" si="12"/>
        <v>1.7509619787235133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166.00000000000006</v>
      </c>
      <c r="O54" s="14">
        <f>N54*VLOOKUP('Données projet'!$B$9,Paramètres!$A$1:$I$89,3,0)*VLOOKUP('Données projet'!$B$9,Paramètres!$A$1:$I$89,5,0)</f>
        <v>150.19680000000005</v>
      </c>
      <c r="P54" s="14">
        <f t="shared" si="33"/>
        <v>38.623305713694506</v>
      </c>
      <c r="Q54" s="22">
        <f t="shared" si="53"/>
        <v>328.86168411801799</v>
      </c>
      <c r="R54" s="62">
        <f t="shared" si="0"/>
        <v>622.1950174513513</v>
      </c>
      <c r="S54" s="62">
        <f ca="1">AVERAGE(OFFSET($R$3,0,0,'Données projet'!$E$9+1,1))-AVERAGE(OFFSET($H$3,0,0,'Données projet'!$E$9+1,1))</f>
        <v>371.75294069149942</v>
      </c>
      <c r="T54" s="62">
        <f t="shared" si="34"/>
        <v>233.32640143610547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1.5077528318727054</v>
      </c>
      <c r="AB54" s="23">
        <f>EXP(-LN(2)/2)*AB53+(1-EXP(-LN(2)/2))/(LN(2)/2)*V54*Y54*VLOOKUP('Données projet'!$B$9,Paramètres!$A$1:$I$89,3,0)*0.475*44/12</f>
        <v>8.665812046489035E-3</v>
      </c>
      <c r="AC54" s="24">
        <f t="shared" si="3"/>
        <v>1.5164186439191945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139.83840000000006</v>
      </c>
      <c r="AK54" s="14">
        <f t="shared" si="35"/>
        <v>36.259982716198863</v>
      </c>
      <c r="AL54" s="22">
        <f t="shared" si="4"/>
        <v>306.7046832307131</v>
      </c>
      <c r="AM54" s="62">
        <f t="shared" si="5"/>
        <v>600.03801656404642</v>
      </c>
      <c r="AN54" s="62">
        <f ca="1">AVERAGE(OFFSET($AM$3,0,0,'Données projet'!$E$10+1,1))-AVERAGE(OFFSET($H$3,0,0,'Données projet'!$E$10+1,1))</f>
        <v>348.84749506659495</v>
      </c>
      <c r="AO54" s="62">
        <f t="shared" si="36"/>
        <v>220.09202639602199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1.4037698779504493</v>
      </c>
      <c r="AW54" s="23">
        <f>EXP(-LN(2)/2)*AW53+(1-EXP(-LN(2)/2))/(LN(2)/2)*AQ54*AT54*VLOOKUP('Données projet'!$B$10,Paramètres!$A$1:$I$89,3,0)*0.475*44/12</f>
        <v>8.0681698363863456E-3</v>
      </c>
      <c r="AX54" s="23">
        <f t="shared" si="6"/>
        <v>1.4118380477868355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265</v>
      </c>
      <c r="BE54" s="14">
        <f>BD54*VLOOKUP('Données projet'!$B$11,Paramètres!$A$1:$I$89,3,0)*VLOOKUP('Données projet'!$B$11,Paramètres!$A$1:$I$89,5,0)</f>
        <v>124.02</v>
      </c>
      <c r="BF54" s="14">
        <f t="shared" si="37"/>
        <v>32.610792634958898</v>
      </c>
      <c r="BG54" s="22">
        <f t="shared" si="7"/>
        <v>272.79863050588671</v>
      </c>
      <c r="BH54" s="62">
        <f t="shared" si="8"/>
        <v>566.13196383922002</v>
      </c>
      <c r="BI54" s="62">
        <f ca="1">AVERAGE(OFFSET($BH$3,0,0,'Données projet'!$E$11+1,1))-AVERAGE(OFFSET($H$3,0,0,'Données projet'!$E$11+1,1))</f>
        <v>259.74478933784656</v>
      </c>
      <c r="BJ54" s="62">
        <f t="shared" si="38"/>
        <v>223.74038909289646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166.00000000000006</v>
      </c>
      <c r="BZ54" s="14">
        <f>BY54*VLOOKUP('Données projet'!$B$12,Paramètres!$A$1:$I$89,3,0)*VLOOKUP('Données projet'!$B$12,Paramètres!$A$1:$I$89,5,0)</f>
        <v>168.32400000000007</v>
      </c>
      <c r="CA54" s="14">
        <f t="shared" si="39"/>
        <v>42.71443916408608</v>
      </c>
      <c r="CB54" s="22">
        <f t="shared" si="10"/>
        <v>367.55861487745005</v>
      </c>
      <c r="CC54" s="62">
        <f t="shared" si="11"/>
        <v>660.89194821078331</v>
      </c>
      <c r="CD54" s="62">
        <f ca="1">AVERAGE(OFFSET($CC$3,0,0,'Données projet'!$E$12+1,1))-AVERAGE(OFFSET($H$3,0,0,'Données projet'!$E$12+1,1))</f>
        <v>411.75894069172358</v>
      </c>
      <c r="CE54" s="62">
        <f t="shared" si="40"/>
        <v>256.4377087753457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1.6897230012366526</v>
      </c>
      <c r="CM54" s="23">
        <f>EXP(-LN(2)/2)*CM53+(1-EXP(-LN(2)/2))/(LN(2)/2)*CG54*CJ54*VLOOKUP('Données projet'!$B$12,Paramètres!$A$1:$I$89,3,0)*0.475*44/12</f>
        <v>9.7116859141687471E-3</v>
      </c>
      <c r="CN54" s="24">
        <f t="shared" si="12"/>
        <v>1.6994346871508215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174.00000000000006</v>
      </c>
      <c r="O55" s="14">
        <f>N55*VLOOKUP('Données projet'!$B$9,Paramètres!$A$1:$I$89,3,0)*VLOOKUP('Données projet'!$B$9,Paramètres!$A$1:$I$89,5,0)</f>
        <v>157.43520000000007</v>
      </c>
      <c r="P55" s="14">
        <f t="shared" si="33"/>
        <v>40.263474653179919</v>
      </c>
      <c r="Q55" s="22">
        <f t="shared" si="53"/>
        <v>344.32519168762178</v>
      </c>
      <c r="R55" s="62">
        <f t="shared" si="0"/>
        <v>637.65852502095504</v>
      </c>
      <c r="S55" s="62">
        <f ca="1">AVERAGE(OFFSET($R$3,0,0,'Données projet'!$E$9+1,1))-AVERAGE(OFFSET($H$3,0,0,'Données projet'!$E$9+1,1))</f>
        <v>371.75294069149942</v>
      </c>
      <c r="T55" s="62">
        <f t="shared" si="34"/>
        <v>233.32640143610547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1.4665232513958708</v>
      </c>
      <c r="AB55" s="23">
        <f>EXP(-LN(2)/2)*AB54+(1-EXP(-LN(2)/2))/(LN(2)/2)*V55*Y55*VLOOKUP('Données projet'!$B$9,Paramètres!$A$1:$I$89,3,0)*0.475*44/12</f>
        <v>6.1276544625604697E-3</v>
      </c>
      <c r="AC55" s="24">
        <f t="shared" si="3"/>
        <v>1.4726509058584312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146.57760000000007</v>
      </c>
      <c r="AK55" s="14">
        <f t="shared" si="35"/>
        <v>37.799791292871248</v>
      </c>
      <c r="AL55" s="22">
        <f t="shared" si="4"/>
        <v>321.12395650175091</v>
      </c>
      <c r="AM55" s="62">
        <f t="shared" si="5"/>
        <v>614.45728983508423</v>
      </c>
      <c r="AN55" s="62">
        <f ca="1">AVERAGE(OFFSET($AM$3,0,0,'Données projet'!$E$10+1,1))-AVERAGE(OFFSET($H$3,0,0,'Données projet'!$E$10+1,1))</f>
        <v>348.84749506659495</v>
      </c>
      <c r="AO55" s="62">
        <f t="shared" si="36"/>
        <v>220.09202639602199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1.3653837168168448</v>
      </c>
      <c r="AW55" s="23">
        <f>EXP(-LN(2)/2)*AW54+(1-EXP(-LN(2)/2))/(LN(2)/2)*AQ55*AT55*VLOOKUP('Données projet'!$B$10,Paramètres!$A$1:$I$89,3,0)*0.475*44/12</f>
        <v>5.7050576030735429E-3</v>
      </c>
      <c r="AX55" s="23">
        <f t="shared" si="6"/>
        <v>1.3710887744199183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273</v>
      </c>
      <c r="BE55" s="14">
        <f>BD55*VLOOKUP('Données projet'!$B$11,Paramètres!$A$1:$I$89,3,0)*VLOOKUP('Données projet'!$B$11,Paramètres!$A$1:$I$89,5,0)</f>
        <v>127.76400000000001</v>
      </c>
      <c r="BF55" s="14">
        <f t="shared" si="37"/>
        <v>33.479164830670051</v>
      </c>
      <c r="BG55" s="22">
        <f t="shared" si="7"/>
        <v>280.83184541341694</v>
      </c>
      <c r="BH55" s="62">
        <f t="shared" si="8"/>
        <v>574.16517874675026</v>
      </c>
      <c r="BI55" s="62">
        <f ca="1">AVERAGE(OFFSET($BH$3,0,0,'Données projet'!$E$11+1,1))-AVERAGE(OFFSET($H$3,0,0,'Données projet'!$E$11+1,1))</f>
        <v>259.74478933784656</v>
      </c>
      <c r="BJ55" s="62">
        <f t="shared" si="38"/>
        <v>223.74038909289646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174.00000000000006</v>
      </c>
      <c r="BZ55" s="14">
        <f>BY55*VLOOKUP('Données projet'!$B$12,Paramètres!$A$1:$I$89,3,0)*VLOOKUP('Données projet'!$B$12,Paramètres!$A$1:$I$89,5,0)</f>
        <v>176.43600000000006</v>
      </c>
      <c r="CA55" s="14">
        <f t="shared" si="39"/>
        <v>44.528341291050616</v>
      </c>
      <c r="CB55" s="22">
        <f t="shared" si="10"/>
        <v>384.84622774857991</v>
      </c>
      <c r="CC55" s="62">
        <f t="shared" si="11"/>
        <v>678.17956108191322</v>
      </c>
      <c r="CD55" s="62">
        <f ca="1">AVERAGE(OFFSET($CC$3,0,0,'Données projet'!$E$12+1,1))-AVERAGE(OFFSET($H$3,0,0,'Données projet'!$E$12+1,1))</f>
        <v>411.75894069172358</v>
      </c>
      <c r="CE55" s="62">
        <f t="shared" si="40"/>
        <v>256.4377087753457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1.6435174369091656</v>
      </c>
      <c r="CM55" s="23">
        <f>EXP(-LN(2)/2)*CM54+(1-EXP(-LN(2)/2))/(LN(2)/2)*CG55*CJ55*VLOOKUP('Données projet'!$B$12,Paramètres!$A$1:$I$89,3,0)*0.475*44/12</f>
        <v>6.867198966662596E-3</v>
      </c>
      <c r="CN55" s="24">
        <f t="shared" si="12"/>
        <v>1.6503846358758283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182.00000000000006</v>
      </c>
      <c r="O56" s="14">
        <f>N56*VLOOKUP('Données projet'!$B$9,Paramètres!$A$1:$I$89,3,0)*VLOOKUP('Données projet'!$B$9,Paramètres!$A$1:$I$89,5,0)</f>
        <v>164.67360000000005</v>
      </c>
      <c r="P56" s="14">
        <f t="shared" si="33"/>
        <v>41.894886049197019</v>
      </c>
      <c r="Q56" s="22">
        <f t="shared" si="53"/>
        <v>359.77344653568485</v>
      </c>
      <c r="R56" s="62">
        <f t="shared" si="0"/>
        <v>653.10677986901817</v>
      </c>
      <c r="S56" s="62">
        <f ca="1">AVERAGE(OFFSET($R$3,0,0,'Données projet'!$E$9+1,1))-AVERAGE(OFFSET($H$3,0,0,'Données projet'!$E$9+1,1))</f>
        <v>371.75294069149942</v>
      </c>
      <c r="T56" s="62">
        <f t="shared" si="34"/>
        <v>233.32640143610547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1.4264210959653447</v>
      </c>
      <c r="AB56" s="23">
        <f>EXP(-LN(2)/2)*AB55+(1-EXP(-LN(2)/2))/(LN(2)/2)*V56*Y56*VLOOKUP('Données projet'!$B$9,Paramètres!$A$1:$I$89,3,0)*0.475*44/12</f>
        <v>4.3329060232445175E-3</v>
      </c>
      <c r="AC56" s="24">
        <f t="shared" si="3"/>
        <v>1.4307540019885892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153.31680000000009</v>
      </c>
      <c r="AK56" s="14">
        <f t="shared" si="35"/>
        <v>39.33137819175279</v>
      </c>
      <c r="AL56" s="22">
        <f t="shared" si="4"/>
        <v>335.52891035063624</v>
      </c>
      <c r="AM56" s="62">
        <f t="shared" si="5"/>
        <v>628.86224368396961</v>
      </c>
      <c r="AN56" s="62">
        <f ca="1">AVERAGE(OFFSET($AM$3,0,0,'Données projet'!$E$10+1,1))-AVERAGE(OFFSET($H$3,0,0,'Données projet'!$E$10+1,1))</f>
        <v>348.84749506659495</v>
      </c>
      <c r="AO56" s="62">
        <f t="shared" si="36"/>
        <v>220.09202639602199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1.3280472272780792</v>
      </c>
      <c r="AW56" s="23">
        <f>EXP(-LN(2)/2)*AW55+(1-EXP(-LN(2)/2))/(LN(2)/2)*AQ56*AT56*VLOOKUP('Données projet'!$B$10,Paramètres!$A$1:$I$89,3,0)*0.475*44/12</f>
        <v>4.0340849181931728E-3</v>
      </c>
      <c r="AX56" s="23">
        <f t="shared" si="6"/>
        <v>1.3320813121962725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281</v>
      </c>
      <c r="BE56" s="14">
        <f>BD56*VLOOKUP('Données projet'!$B$11,Paramètres!$A$1:$I$89,3,0)*VLOOKUP('Données projet'!$B$11,Paramètres!$A$1:$I$89,5,0)</f>
        <v>131.50800000000001</v>
      </c>
      <c r="BF56" s="14">
        <f t="shared" si="37"/>
        <v>34.344579617082509</v>
      </c>
      <c r="BG56" s="22">
        <f t="shared" si="7"/>
        <v>288.85990949975201</v>
      </c>
      <c r="BH56" s="62">
        <f t="shared" si="8"/>
        <v>582.19324283308538</v>
      </c>
      <c r="BI56" s="62">
        <f ca="1">AVERAGE(OFFSET($BH$3,0,0,'Données projet'!$E$11+1,1))-AVERAGE(OFFSET($H$3,0,0,'Données projet'!$E$11+1,1))</f>
        <v>259.74478933784656</v>
      </c>
      <c r="BJ56" s="62">
        <f t="shared" si="38"/>
        <v>223.74038909289646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182.00000000000006</v>
      </c>
      <c r="BZ56" s="14">
        <f>BY56*VLOOKUP('Données projet'!$B$12,Paramètres!$A$1:$I$89,3,0)*VLOOKUP('Données projet'!$B$12,Paramètres!$A$1:$I$89,5,0)</f>
        <v>184.54800000000006</v>
      </c>
      <c r="CA56" s="14">
        <f t="shared" si="39"/>
        <v>46.332558240871698</v>
      </c>
      <c r="CB56" s="22">
        <f t="shared" si="10"/>
        <v>402.11697226951833</v>
      </c>
      <c r="CC56" s="62">
        <f t="shared" si="11"/>
        <v>695.45030560285159</v>
      </c>
      <c r="CD56" s="62">
        <f ca="1">AVERAGE(OFFSET($CC$3,0,0,'Données projet'!$E$12+1,1))-AVERAGE(OFFSET($H$3,0,0,'Données projet'!$E$12+1,1))</f>
        <v>411.75894069172358</v>
      </c>
      <c r="CE56" s="62">
        <f t="shared" si="40"/>
        <v>256.4377087753457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1.5985753661680588</v>
      </c>
      <c r="CM56" s="23">
        <f>EXP(-LN(2)/2)*CM55+(1-EXP(-LN(2)/2))/(LN(2)/2)*CG56*CJ56*VLOOKUP('Données projet'!$B$12,Paramètres!$A$1:$I$89,3,0)*0.475*44/12</f>
        <v>4.8558429570843735E-3</v>
      </c>
      <c r="CN56" s="24">
        <f t="shared" si="12"/>
        <v>1.6034312091251433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190.00000000000006</v>
      </c>
      <c r="O57" s="14">
        <f>N57*VLOOKUP('Données projet'!$B$9,Paramètres!$A$1:$I$89,3,0)*VLOOKUP('Données projet'!$B$9,Paramètres!$A$1:$I$89,5,0)</f>
        <v>171.91200000000006</v>
      </c>
      <c r="P57" s="14">
        <f t="shared" si="33"/>
        <v>43.51796884103733</v>
      </c>
      <c r="Q57" s="22">
        <f t="shared" si="53"/>
        <v>375.2071957314734</v>
      </c>
      <c r="R57" s="62">
        <f t="shared" si="0"/>
        <v>668.54052906480672</v>
      </c>
      <c r="S57" s="62">
        <f ca="1">AVERAGE(OFFSET($R$3,0,0,'Données projet'!$E$9+1,1))-AVERAGE(OFFSET($H$3,0,0,'Données projet'!$E$9+1,1))</f>
        <v>371.75294069149942</v>
      </c>
      <c r="T57" s="62">
        <f t="shared" si="34"/>
        <v>233.32640143610547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1.3874155360839471</v>
      </c>
      <c r="AB57" s="23">
        <f>EXP(-LN(2)/2)*AB56+(1-EXP(-LN(2)/2))/(LN(2)/2)*V57*Y57*VLOOKUP('Données projet'!$B$9,Paramètres!$A$1:$I$89,3,0)*0.475*44/12</f>
        <v>3.0638272312802349E-3</v>
      </c>
      <c r="AC57" s="24">
        <f t="shared" si="3"/>
        <v>1.3904793633152273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160.05600000000007</v>
      </c>
      <c r="AK57" s="14">
        <f t="shared" si="35"/>
        <v>40.855146105751423</v>
      </c>
      <c r="AL57" s="22">
        <f t="shared" si="4"/>
        <v>349.9202461341838</v>
      </c>
      <c r="AM57" s="62">
        <f t="shared" si="5"/>
        <v>643.25357946751706</v>
      </c>
      <c r="AN57" s="62">
        <f ca="1">AVERAGE(OFFSET($AM$3,0,0,'Données projet'!$E$10+1,1))-AVERAGE(OFFSET($H$3,0,0,'Données projet'!$E$10+1,1))</f>
        <v>348.84749506659495</v>
      </c>
      <c r="AO57" s="62">
        <f t="shared" si="36"/>
        <v>220.09202639602199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1.2917317060091917</v>
      </c>
      <c r="AW57" s="23">
        <f>EXP(-LN(2)/2)*AW56+(1-EXP(-LN(2)/2))/(LN(2)/2)*AQ57*AT57*VLOOKUP('Données projet'!$B$10,Paramètres!$A$1:$I$89,3,0)*0.475*44/12</f>
        <v>2.8525288015367714E-3</v>
      </c>
      <c r="AX57" s="23">
        <f t="shared" si="6"/>
        <v>1.2945842348107286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289</v>
      </c>
      <c r="BE57" s="14">
        <f>BD57*VLOOKUP('Données projet'!$B$11,Paramètres!$A$1:$I$89,3,0)*VLOOKUP('Données projet'!$B$11,Paramètres!$A$1:$I$89,5,0)</f>
        <v>135.25199999999998</v>
      </c>
      <c r="BF57" s="14">
        <f t="shared" si="37"/>
        <v>35.207130861518152</v>
      </c>
      <c r="BG57" s="22">
        <f t="shared" si="7"/>
        <v>296.88298625047742</v>
      </c>
      <c r="BH57" s="62">
        <f t="shared" si="8"/>
        <v>590.21631958381067</v>
      </c>
      <c r="BI57" s="62">
        <f ca="1">AVERAGE(OFFSET($BH$3,0,0,'Données projet'!$E$11+1,1))-AVERAGE(OFFSET($H$3,0,0,'Données projet'!$E$11+1,1))</f>
        <v>259.74478933784656</v>
      </c>
      <c r="BJ57" s="62">
        <f t="shared" si="38"/>
        <v>223.74038909289646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190.00000000000006</v>
      </c>
      <c r="BZ57" s="14">
        <f>BY57*VLOOKUP('Données projet'!$B$12,Paramètres!$A$1:$I$89,3,0)*VLOOKUP('Données projet'!$B$12,Paramètres!$A$1:$I$89,5,0)</f>
        <v>192.66000000000008</v>
      </c>
      <c r="CA57" s="14">
        <f t="shared" si="39"/>
        <v>48.127564387788738</v>
      </c>
      <c r="CB57" s="22">
        <f t="shared" si="10"/>
        <v>419.3716746420655</v>
      </c>
      <c r="CC57" s="62">
        <f t="shared" si="11"/>
        <v>712.70500797539876</v>
      </c>
      <c r="CD57" s="62">
        <f ca="1">AVERAGE(OFFSET($CC$3,0,0,'Données projet'!$E$12+1,1))-AVERAGE(OFFSET($H$3,0,0,'Données projet'!$E$12+1,1))</f>
        <v>411.75894069172358</v>
      </c>
      <c r="CE57" s="62">
        <f t="shared" si="40"/>
        <v>256.4377087753457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1.5548622387147684</v>
      </c>
      <c r="CM57" s="23">
        <f>EXP(-LN(2)/2)*CM56+(1-EXP(-LN(2)/2))/(LN(2)/2)*CG57*CJ57*VLOOKUP('Données projet'!$B$12,Paramètres!$A$1:$I$89,3,0)*0.475*44/12</f>
        <v>3.433599483331298E-3</v>
      </c>
      <c r="CN57" s="24">
        <f t="shared" si="12"/>
        <v>1.5582958381980996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198.00000000000006</v>
      </c>
      <c r="O58" s="14">
        <f>N58*VLOOKUP('Données projet'!$B$9,Paramètres!$A$1:$I$89,3,0)*VLOOKUP('Données projet'!$B$9,Paramètres!$A$1:$I$89,5,0)</f>
        <v>179.15040000000005</v>
      </c>
      <c r="P58" s="14">
        <f t="shared" si="33"/>
        <v>45.133113803437347</v>
      </c>
      <c r="Q58" s="22">
        <f t="shared" si="53"/>
        <v>390.62711987432004</v>
      </c>
      <c r="R58" s="62">
        <f t="shared" si="0"/>
        <v>683.96045320765336</v>
      </c>
      <c r="S58" s="62">
        <f ca="1">AVERAGE(OFFSET($R$3,0,0,'Données projet'!$E$9+1,1))-AVERAGE(OFFSET($H$3,0,0,'Données projet'!$E$9+1,1))</f>
        <v>371.75294069149942</v>
      </c>
      <c r="T58" s="62">
        <f t="shared" si="34"/>
        <v>233.32640143610547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1.3494765852887194</v>
      </c>
      <c r="AB58" s="23">
        <f>EXP(-LN(2)/2)*AB57+(1-EXP(-LN(2)/2))/(LN(2)/2)*V58*Y58*VLOOKUP('Données projet'!$B$9,Paramètres!$A$1:$I$89,3,0)*0.475*44/12</f>
        <v>2.1664530116222588E-3</v>
      </c>
      <c r="AC58" s="24">
        <f t="shared" si="3"/>
        <v>1.3516430383003417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166.79520000000008</v>
      </c>
      <c r="AK58" s="14">
        <f t="shared" si="35"/>
        <v>42.371461898472788</v>
      </c>
      <c r="AL58" s="22">
        <f t="shared" si="4"/>
        <v>364.29860280650684</v>
      </c>
      <c r="AM58" s="62">
        <f t="shared" si="5"/>
        <v>657.63193613984015</v>
      </c>
      <c r="AN58" s="62">
        <f ca="1">AVERAGE(OFFSET($AM$3,0,0,'Données projet'!$E$10+1,1))-AVERAGE(OFFSET($H$3,0,0,'Données projet'!$E$10+1,1))</f>
        <v>348.84749506659495</v>
      </c>
      <c r="AO58" s="62">
        <f t="shared" si="36"/>
        <v>220.09202639602199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1.2564092345791522</v>
      </c>
      <c r="AW58" s="23">
        <f>EXP(-LN(2)/2)*AW57+(1-EXP(-LN(2)/2))/(LN(2)/2)*AQ58*AT58*VLOOKUP('Données projet'!$B$10,Paramètres!$A$1:$I$89,3,0)*0.475*44/12</f>
        <v>2.0170424590965864E-3</v>
      </c>
      <c r="AX58" s="23">
        <f t="shared" si="6"/>
        <v>1.2584262770382488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297</v>
      </c>
      <c r="BE58" s="14">
        <f>BD58*VLOOKUP('Données projet'!$B$11,Paramètres!$A$1:$I$89,3,0)*VLOOKUP('Données projet'!$B$11,Paramètres!$A$1:$I$89,5,0)</f>
        <v>138.99600000000001</v>
      </c>
      <c r="BF58" s="14">
        <f t="shared" si="37"/>
        <v>36.066906938767758</v>
      </c>
      <c r="BG58" s="22">
        <f t="shared" si="7"/>
        <v>304.90122958502047</v>
      </c>
      <c r="BH58" s="62">
        <f t="shared" si="8"/>
        <v>598.23456291835373</v>
      </c>
      <c r="BI58" s="62">
        <f ca="1">AVERAGE(OFFSET($BH$3,0,0,'Données projet'!$E$11+1,1))-AVERAGE(OFFSET($H$3,0,0,'Données projet'!$E$11+1,1))</f>
        <v>259.74478933784656</v>
      </c>
      <c r="BJ58" s="62">
        <f t="shared" si="38"/>
        <v>223.74038909289646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198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198.00000000000006</v>
      </c>
      <c r="BZ58" s="14">
        <f>BY58*VLOOKUP('Données projet'!$B$12,Paramètres!$A$1:$I$89,3,0)*VLOOKUP('Données projet'!$B$12,Paramètres!$A$1:$I$89,5,0)</f>
        <v>200.77200000000008</v>
      </c>
      <c r="CA58" s="14">
        <f t="shared" si="39"/>
        <v>49.913791898945412</v>
      </c>
      <c r="CB58" s="22">
        <f t="shared" si="10"/>
        <v>436.61108755732999</v>
      </c>
      <c r="CC58" s="62">
        <f t="shared" si="11"/>
        <v>729.94442089066331</v>
      </c>
      <c r="CD58" s="62">
        <f ca="1">AVERAGE(OFFSET($CC$3,0,0,'Données projet'!$E$12+1,1))-AVERAGE(OFFSET($H$3,0,0,'Données projet'!$E$12+1,1))</f>
        <v>411.75894069172358</v>
      </c>
      <c r="CE58" s="62">
        <f t="shared" si="40"/>
        <v>256.4377087753457</v>
      </c>
      <c r="CF58" s="16">
        <f>IF(ISNA(VLOOKUP(A58,'Données projet'!$A$113:$I$133,3,0)),0,VLOOKUP(A58,'Données projet'!$A$113:$I$133,3,0))</f>
        <v>7</v>
      </c>
      <c r="CG58" s="16">
        <f>IF(ISNA(VLOOKUP(A58,'Données projet'!$A$113:$I$133,4,0)),0,VLOOKUP(A58,'Données projet'!$A$113:$I$133,4,0))</f>
        <v>21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1.5123444490304616</v>
      </c>
      <c r="CM58" s="23">
        <f>EXP(-LN(2)/2)*CM57+(1-EXP(-LN(2)/2))/(LN(2)/2)*CG58*CJ58*VLOOKUP('Données projet'!$B$12,Paramètres!$A$1:$I$89,3,0)*0.475*44/12</f>
        <v>2.4279214785421868E-3</v>
      </c>
      <c r="CN58" s="24">
        <f t="shared" si="12"/>
        <v>1.5147723705090037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7.4</v>
      </c>
      <c r="N59" s="14">
        <f>IF('Données projet'!$A$36&gt;35,N58+M59-V58,IF(A59&lt;'Données projet'!$A$36,$K$205^A59,IF(A59='Données projet'!$A$36,'Données projet'!$B$36,N58+M59-V58)))</f>
        <v>184.40000000000006</v>
      </c>
      <c r="O59" s="14">
        <f>N59*VLOOKUP('Données projet'!$B$9,Paramètres!$A$1:$I$89,3,0)*VLOOKUP('Données projet'!$B$9,Paramètres!$A$1:$I$89,5,0)</f>
        <v>166.84512000000004</v>
      </c>
      <c r="P59" s="14">
        <f t="shared" si="33"/>
        <v>42.382666918050084</v>
      </c>
      <c r="Q59" s="22">
        <f t="shared" si="53"/>
        <v>364.40506221560395</v>
      </c>
      <c r="R59" s="62">
        <f t="shared" si="0"/>
        <v>657.73839554893721</v>
      </c>
      <c r="S59" s="62">
        <f ca="1">AVERAGE(OFFSET($R$3,0,0,'Données projet'!$E$9+1,1))-AVERAGE(OFFSET($H$3,0,0,'Données projet'!$E$9+1,1))</f>
        <v>371.75294069149942</v>
      </c>
      <c r="T59" s="62">
        <f t="shared" si="34"/>
        <v>233.32640143610547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1.3125750770981099</v>
      </c>
      <c r="AB59" s="23">
        <f>EXP(-LN(2)/2)*AB58+(1-EXP(-LN(2)/2))/(LN(2)/2)*V59*Y59*VLOOKUP('Données projet'!$B$9,Paramètres!$A$1:$I$89,3,0)*0.475*44/12</f>
        <v>1.5319136156401174E-3</v>
      </c>
      <c r="AC59" s="24">
        <f t="shared" si="3"/>
        <v>1.3141069907137501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7.4</v>
      </c>
      <c r="AI59" s="14">
        <f>IF('Données projet'!$A$62&gt;35,AI58+AH59-AQ58,IF(A59&lt;'Données projet'!$A$62,$AF$205^A59,IF(A59='Données projet'!$A$62,'Données projet'!$B$62,AI58+AH59-AQ58)))</f>
        <v>184.40000000000006</v>
      </c>
      <c r="AJ59" s="14">
        <f>AI59*VLOOKUP('Données projet'!$B$10,Paramètres!$A$1:$I$89,3,0)*VLOOKUP('Données projet'!$B$10,Paramètres!$A$1:$I$89,5,0)</f>
        <v>155.33856000000006</v>
      </c>
      <c r="AK59" s="14">
        <f t="shared" si="35"/>
        <v>39.789312217519864</v>
      </c>
      <c r="AL59" s="22">
        <f t="shared" si="4"/>
        <v>339.84771077884716</v>
      </c>
      <c r="AM59" s="62">
        <f t="shared" si="5"/>
        <v>633.18104411218042</v>
      </c>
      <c r="AN59" s="62">
        <f ca="1">AVERAGE(OFFSET($AM$3,0,0,'Données projet'!$E$10+1,1))-AVERAGE(OFFSET($H$3,0,0,'Données projet'!$E$10+1,1))</f>
        <v>348.84749506659495</v>
      </c>
      <c r="AO59" s="62">
        <f t="shared" si="36"/>
        <v>220.09202639602199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1.2220526579878952</v>
      </c>
      <c r="AW59" s="23">
        <f>EXP(-LN(2)/2)*AW58+(1-EXP(-LN(2)/2))/(LN(2)/2)*AQ59*AT59*VLOOKUP('Données projet'!$B$10,Paramètres!$A$1:$I$89,3,0)*0.475*44/12</f>
        <v>1.4262644007683857E-3</v>
      </c>
      <c r="AX59" s="23">
        <f t="shared" si="6"/>
        <v>1.2234789223886635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8</v>
      </c>
      <c r="BD59" s="13">
        <f>IF('Données projet'!$A$88&gt;35,BD58+BC59-BL58,IF(A59&lt;'Données projet'!$A$88,$BA$205^A59,IF(A59='Données projet'!$A$88,'Données projet'!$B$88,BD58+BC59-BL58)))</f>
        <v>305</v>
      </c>
      <c r="BE59" s="14">
        <f>BD59*VLOOKUP('Données projet'!$B$11,Paramètres!$A$1:$I$89,3,0)*VLOOKUP('Données projet'!$B$11,Paramètres!$A$1:$I$89,5,0)</f>
        <v>142.74</v>
      </c>
      <c r="BF59" s="14">
        <f t="shared" si="37"/>
        <v>36.923991191656064</v>
      </c>
      <c r="BG59" s="22">
        <f t="shared" si="7"/>
        <v>312.91478465880101</v>
      </c>
      <c r="BH59" s="62">
        <f t="shared" si="8"/>
        <v>606.24811799213433</v>
      </c>
      <c r="BI59" s="62">
        <f ca="1">AVERAGE(OFFSET($BH$3,0,0,'Données projet'!$E$11+1,1))-AVERAGE(OFFSET($H$3,0,0,'Données projet'!$E$11+1,1))</f>
        <v>259.74478933784656</v>
      </c>
      <c r="BJ59" s="62">
        <f t="shared" si="38"/>
        <v>223.74038909289646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7.4</v>
      </c>
      <c r="BY59" s="13">
        <f>IF('Données projet'!$A$114&gt;35,BY58+BX59-CG58,IF(A59&lt;'Données projet'!$A$114,$BV$205^A59,IF(A59='Données projet'!$A$114,'Données projet'!$B$114,BY58+BX59-CG58)))</f>
        <v>184.40000000000006</v>
      </c>
      <c r="BZ59" s="14">
        <f>BY59*VLOOKUP('Données projet'!$B$12,Paramètres!$A$1:$I$89,3,0)*VLOOKUP('Données projet'!$B$12,Paramètres!$A$1:$I$89,5,0)</f>
        <v>186.98160000000007</v>
      </c>
      <c r="CA59" s="14">
        <f t="shared" si="39"/>
        <v>46.872006790472248</v>
      </c>
      <c r="CB59" s="22">
        <f t="shared" si="10"/>
        <v>407.29503182673926</v>
      </c>
      <c r="CC59" s="62">
        <f t="shared" si="11"/>
        <v>700.62836516007258</v>
      </c>
      <c r="CD59" s="62">
        <f ca="1">AVERAGE(OFFSET($CC$3,0,0,'Données projet'!$E$12+1,1))-AVERAGE(OFFSET($H$3,0,0,'Données projet'!$E$12+1,1))</f>
        <v>411.75894069172358</v>
      </c>
      <c r="CE59" s="62">
        <f t="shared" si="40"/>
        <v>256.4377087753457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1.4709893105409855</v>
      </c>
      <c r="CM59" s="23">
        <f>EXP(-LN(2)/2)*CM58+(1-EXP(-LN(2)/2))/(LN(2)/2)*CG59*CJ59*VLOOKUP('Données projet'!$B$12,Paramètres!$A$1:$I$89,3,0)*0.475*44/12</f>
        <v>1.716799741665649E-3</v>
      </c>
      <c r="CN59" s="24">
        <f t="shared" si="12"/>
        <v>1.4727061102826511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7.4</v>
      </c>
      <c r="N60" s="14">
        <f>IF('Données projet'!$A$36&gt;35,N59+M60-V59,IF(A60&lt;'Données projet'!$A$36,$K$205^A60,IF(A60='Données projet'!$A$36,'Données projet'!$B$36,N59+M60-V59)))</f>
        <v>191.80000000000007</v>
      </c>
      <c r="O60" s="14">
        <f>N60*VLOOKUP('Données projet'!$B$9,Paramètres!$A$1:$I$89,3,0)*VLOOKUP('Données projet'!$B$9,Paramètres!$A$1:$I$89,5,0)</f>
        <v>173.54064000000005</v>
      </c>
      <c r="P60" s="14">
        <f t="shared" si="33"/>
        <v>43.882055316228445</v>
      </c>
      <c r="Q60" s="22">
        <f t="shared" si="53"/>
        <v>378.67786100909797</v>
      </c>
      <c r="R60" s="62">
        <f t="shared" si="0"/>
        <v>672.01119434243128</v>
      </c>
      <c r="S60" s="62">
        <f ca="1">AVERAGE(OFFSET($R$3,0,0,'Données projet'!$E$9+1,1))-AVERAGE(OFFSET($H$3,0,0,'Données projet'!$E$9+1,1))</f>
        <v>371.75294069149942</v>
      </c>
      <c r="T60" s="62">
        <f t="shared" si="34"/>
        <v>233.32640143610547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1.2766826425895388</v>
      </c>
      <c r="AB60" s="23">
        <f>EXP(-LN(2)/2)*AB59+(1-EXP(-LN(2)/2))/(LN(2)/2)*V60*Y60*VLOOKUP('Données projet'!$B$9,Paramètres!$A$1:$I$89,3,0)*0.475*44/12</f>
        <v>1.0832265058111294E-3</v>
      </c>
      <c r="AC60" s="24">
        <f t="shared" si="3"/>
        <v>1.2777658690953499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7.4</v>
      </c>
      <c r="AI60" s="14">
        <f>IF('Données projet'!$A$62&gt;35,AI59+AH60-AQ59,IF(A60&lt;'Données projet'!$A$62,$AF$205^A60,IF(A60='Données projet'!$A$62,'Données projet'!$B$62,AI59+AH60-AQ59)))</f>
        <v>191.80000000000007</v>
      </c>
      <c r="AJ60" s="14">
        <f>AI60*VLOOKUP('Données projet'!$B$10,Paramètres!$A$1:$I$89,3,0)*VLOOKUP('Données projet'!$B$10,Paramètres!$A$1:$I$89,5,0)</f>
        <v>161.57232000000008</v>
      </c>
      <c r="AK60" s="14">
        <f t="shared" si="35"/>
        <v>41.196954479055741</v>
      </c>
      <c r="AL60" s="22">
        <f t="shared" si="4"/>
        <v>353.1564863843555</v>
      </c>
      <c r="AM60" s="62">
        <f t="shared" si="5"/>
        <v>646.48981971768876</v>
      </c>
      <c r="AN60" s="62">
        <f ca="1">AVERAGE(OFFSET($AM$3,0,0,'Données projet'!$E$10+1,1))-AVERAGE(OFFSET($H$3,0,0,'Données projet'!$E$10+1,1))</f>
        <v>348.84749506659495</v>
      </c>
      <c r="AO60" s="62">
        <f t="shared" si="36"/>
        <v>220.09202639602199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1.1886355637902599</v>
      </c>
      <c r="AW60" s="23">
        <f>EXP(-LN(2)/2)*AW59+(1-EXP(-LN(2)/2))/(LN(2)/2)*AQ60*AT60*VLOOKUP('Données projet'!$B$10,Paramètres!$A$1:$I$89,3,0)*0.475*44/12</f>
        <v>1.0085212295482932E-3</v>
      </c>
      <c r="AX60" s="23">
        <f t="shared" si="6"/>
        <v>1.1896440850198082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8</v>
      </c>
      <c r="BD60" s="13">
        <f>IF('Données projet'!$A$88&gt;35,BD59+BC60-BL59,IF(A60&lt;'Données projet'!$A$88,$BA$205^A60,IF(A60='Données projet'!$A$88,'Données projet'!$B$88,BD59+BC60-BL59)))</f>
        <v>313</v>
      </c>
      <c r="BE60" s="14">
        <f>BD60*VLOOKUP('Données projet'!$B$11,Paramètres!$A$1:$I$89,3,0)*VLOOKUP('Données projet'!$B$11,Paramètres!$A$1:$I$89,5,0)</f>
        <v>146.48400000000001</v>
      </c>
      <c r="BF60" s="14">
        <f t="shared" si="37"/>
        <v>37.778462341926023</v>
      </c>
      <c r="BG60" s="22">
        <f t="shared" si="7"/>
        <v>320.9237885788545</v>
      </c>
      <c r="BH60" s="62">
        <f t="shared" si="8"/>
        <v>614.25712191218781</v>
      </c>
      <c r="BI60" s="62">
        <f ca="1">AVERAGE(OFFSET($BH$3,0,0,'Données projet'!$E$11+1,1))-AVERAGE(OFFSET($H$3,0,0,'Données projet'!$E$11+1,1))</f>
        <v>259.74478933784656</v>
      </c>
      <c r="BJ60" s="62">
        <f t="shared" si="38"/>
        <v>223.74038909289646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7.4</v>
      </c>
      <c r="BY60" s="13">
        <f>IF('Données projet'!$A$114&gt;35,BY59+BX60-CG59,IF(A60&lt;'Données projet'!$A$114,$BV$205^A60,IF(A60='Données projet'!$A$114,'Données projet'!$B$114,BY59+BX60-CG59)))</f>
        <v>191.80000000000007</v>
      </c>
      <c r="BZ60" s="14">
        <f>BY60*VLOOKUP('Données projet'!$B$12,Paramètres!$A$1:$I$89,3,0)*VLOOKUP('Données projet'!$B$12,Paramètres!$A$1:$I$89,5,0)</f>
        <v>194.48520000000008</v>
      </c>
      <c r="CA60" s="14">
        <f t="shared" si="39"/>
        <v>48.530216343846071</v>
      </c>
      <c r="CB60" s="22">
        <f t="shared" si="10"/>
        <v>423.25185013219863</v>
      </c>
      <c r="CC60" s="62">
        <f t="shared" si="11"/>
        <v>716.58518346553194</v>
      </c>
      <c r="CD60" s="62">
        <f ca="1">AVERAGE(OFFSET($CC$3,0,0,'Données projet'!$E$12+1,1))-AVERAGE(OFFSET($H$3,0,0,'Données projet'!$E$12+1,1))</f>
        <v>411.75894069172358</v>
      </c>
      <c r="CE60" s="62">
        <f t="shared" si="40"/>
        <v>256.4377087753457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1.4307650304882764</v>
      </c>
      <c r="CM60" s="23">
        <f>EXP(-LN(2)/2)*CM59+(1-EXP(-LN(2)/2))/(LN(2)/2)*CG60*CJ60*VLOOKUP('Données projet'!$B$12,Paramètres!$A$1:$I$89,3,0)*0.475*44/12</f>
        <v>1.2139607392710934E-3</v>
      </c>
      <c r="CN60" s="24">
        <f t="shared" si="12"/>
        <v>1.4319789912275476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7.4</v>
      </c>
      <c r="N61" s="14">
        <f>IF('Données projet'!$A$36&gt;35,N60+M61-V60,IF(A61&lt;'Données projet'!$A$36,$K$205^A61,IF(A61='Données projet'!$A$36,'Données projet'!$B$36,N60+M61-V60)))</f>
        <v>199.20000000000007</v>
      </c>
      <c r="O61" s="14">
        <f>N61*VLOOKUP('Données projet'!$B$9,Paramètres!$A$1:$I$89,3,0)*VLOOKUP('Données projet'!$B$9,Paramètres!$A$1:$I$89,5,0)</f>
        <v>180.23616000000004</v>
      </c>
      <c r="P61" s="14">
        <f t="shared" si="33"/>
        <v>45.374723405565959</v>
      </c>
      <c r="Q61" s="22">
        <f t="shared" si="53"/>
        <v>392.93895526469413</v>
      </c>
      <c r="R61" s="62">
        <f t="shared" si="0"/>
        <v>686.27228859802744</v>
      </c>
      <c r="S61" s="62">
        <f ca="1">AVERAGE(OFFSET($R$3,0,0,'Données projet'!$E$9+1,1))-AVERAGE(OFFSET($H$3,0,0,'Données projet'!$E$9+1,1))</f>
        <v>371.75294069149942</v>
      </c>
      <c r="T61" s="62">
        <f t="shared" si="34"/>
        <v>233.32640143610547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1.2417716885901056</v>
      </c>
      <c r="AB61" s="23">
        <f>EXP(-LN(2)/2)*AB60+(1-EXP(-LN(2)/2))/(LN(2)/2)*V61*Y61*VLOOKUP('Données projet'!$B$9,Paramètres!$A$1:$I$89,3,0)*0.475*44/12</f>
        <v>7.6595680782005871E-4</v>
      </c>
      <c r="AC61" s="24">
        <f t="shared" si="3"/>
        <v>1.2425376453979255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7.4</v>
      </c>
      <c r="AI61" s="14">
        <f>IF('Données projet'!$A$62&gt;35,AI60+AH61-AQ60,IF(A61&lt;'Données projet'!$A$62,$AF$205^A61,IF(A61='Données projet'!$A$62,'Données projet'!$B$62,AI60+AH61-AQ60)))</f>
        <v>199.20000000000007</v>
      </c>
      <c r="AJ61" s="14">
        <f>AI61*VLOOKUP('Données projet'!$B$10,Paramètres!$A$1:$I$89,3,0)*VLOOKUP('Données projet'!$B$10,Paramètres!$A$1:$I$89,5,0)</f>
        <v>167.80608000000007</v>
      </c>
      <c r="AK61" s="14">
        <f t="shared" si="35"/>
        <v>42.598287640997071</v>
      </c>
      <c r="AL61" s="22">
        <f t="shared" si="4"/>
        <v>366.45427364140329</v>
      </c>
      <c r="AM61" s="62">
        <f t="shared" si="5"/>
        <v>659.7876069747366</v>
      </c>
      <c r="AN61" s="62">
        <f ca="1">AVERAGE(OFFSET($AM$3,0,0,'Données projet'!$E$10+1,1))-AVERAGE(OFFSET($H$3,0,0,'Données projet'!$E$10+1,1))</f>
        <v>348.84749506659495</v>
      </c>
      <c r="AO61" s="62">
        <f t="shared" si="36"/>
        <v>220.09202639602199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1.1561322617907877</v>
      </c>
      <c r="AW61" s="23">
        <f>EXP(-LN(2)/2)*AW60+(1-EXP(-LN(2)/2))/(LN(2)/2)*AQ61*AT61*VLOOKUP('Données projet'!$B$10,Paramètres!$A$1:$I$89,3,0)*0.475*44/12</f>
        <v>7.1313220038419286E-4</v>
      </c>
      <c r="AX61" s="23">
        <f t="shared" si="6"/>
        <v>1.1568453939911718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8</v>
      </c>
      <c r="BD61" s="13">
        <f>IF('Données projet'!$A$88&gt;35,BD60+BC61-BL60,IF(A61&lt;'Données projet'!$A$88,$BA$205^A61,IF(A61='Données projet'!$A$88,'Données projet'!$B$88,BD60+BC61-BL60)))</f>
        <v>321</v>
      </c>
      <c r="BE61" s="14">
        <f>BD61*VLOOKUP('Données projet'!$B$11,Paramètres!$A$1:$I$89,3,0)*VLOOKUP('Données projet'!$B$11,Paramètres!$A$1:$I$89,5,0)</f>
        <v>150.22800000000001</v>
      </c>
      <c r="BF61" s="14">
        <f t="shared" si="37"/>
        <v>38.630394857933659</v>
      </c>
      <c r="BG61" s="22">
        <f t="shared" si="7"/>
        <v>328.92837104423444</v>
      </c>
      <c r="BH61" s="62">
        <f t="shared" si="8"/>
        <v>622.26170437756775</v>
      </c>
      <c r="BI61" s="62">
        <f ca="1">AVERAGE(OFFSET($BH$3,0,0,'Données projet'!$E$11+1,1))-AVERAGE(OFFSET($H$3,0,0,'Données projet'!$E$11+1,1))</f>
        <v>259.74478933784656</v>
      </c>
      <c r="BJ61" s="62">
        <f t="shared" si="38"/>
        <v>223.74038909289646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7.4</v>
      </c>
      <c r="BY61" s="13">
        <f>IF('Données projet'!$A$114&gt;35,BY60+BX61-CG60,IF(A61&lt;'Données projet'!$A$114,$BV$205^A61,IF(A61='Données projet'!$A$114,'Données projet'!$B$114,BY60+BX61-CG60)))</f>
        <v>199.20000000000007</v>
      </c>
      <c r="BZ61" s="14">
        <f>BY61*VLOOKUP('Données projet'!$B$12,Paramètres!$A$1:$I$89,3,0)*VLOOKUP('Données projet'!$B$12,Paramètres!$A$1:$I$89,5,0)</f>
        <v>201.98880000000008</v>
      </c>
      <c r="CA61" s="14">
        <f t="shared" si="39"/>
        <v>50.18099374666096</v>
      </c>
      <c r="CB61" s="22">
        <f t="shared" si="10"/>
        <v>439.19572410876793</v>
      </c>
      <c r="CC61" s="62">
        <f t="shared" si="11"/>
        <v>732.52905744210125</v>
      </c>
      <c r="CD61" s="62">
        <f ca="1">AVERAGE(OFFSET($CC$3,0,0,'Données projet'!$E$12+1,1))-AVERAGE(OFFSET($H$3,0,0,'Données projet'!$E$12+1,1))</f>
        <v>411.75894069172358</v>
      </c>
      <c r="CE61" s="62">
        <f t="shared" si="40"/>
        <v>256.4377087753457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1.3916406854889116</v>
      </c>
      <c r="CM61" s="23">
        <f>EXP(-LN(2)/2)*CM60+(1-EXP(-LN(2)/2))/(LN(2)/2)*CG61*CJ61*VLOOKUP('Données projet'!$B$12,Paramètres!$A$1:$I$89,3,0)*0.475*44/12</f>
        <v>8.583998708328245E-4</v>
      </c>
      <c r="CN61" s="24">
        <f t="shared" si="12"/>
        <v>1.3924990853597445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7.4</v>
      </c>
      <c r="N62" s="14">
        <f>IF('Données projet'!$A$36&gt;35,N61+M62-V61,IF(A62&lt;'Données projet'!$A$36,$K$205^A62,IF(A62='Données projet'!$A$36,'Données projet'!$B$36,N61+M62-V61)))</f>
        <v>206.60000000000008</v>
      </c>
      <c r="O62" s="14">
        <f>N62*VLOOKUP('Données projet'!$B$9,Paramètres!$A$1:$I$89,3,0)*VLOOKUP('Données projet'!$B$9,Paramètres!$A$1:$I$89,5,0)</f>
        <v>186.93168000000006</v>
      </c>
      <c r="P62" s="14">
        <f t="shared" si="33"/>
        <v>46.860949423866458</v>
      </c>
      <c r="Q62" s="22">
        <f t="shared" si="53"/>
        <v>407.18882957990081</v>
      </c>
      <c r="R62" s="62">
        <f t="shared" si="0"/>
        <v>700.52216291323407</v>
      </c>
      <c r="S62" s="62">
        <f ca="1">AVERAGE(OFFSET($R$3,0,0,'Données projet'!$E$9+1,1))-AVERAGE(OFFSET($H$3,0,0,'Données projet'!$E$9+1,1))</f>
        <v>371.75294069149942</v>
      </c>
      <c r="T62" s="62">
        <f t="shared" si="34"/>
        <v>233.32640143610547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1.2078153764636741</v>
      </c>
      <c r="AB62" s="23">
        <f>EXP(-LN(2)/2)*AB61+(1-EXP(-LN(2)/2))/(LN(2)/2)*V62*Y62*VLOOKUP('Données projet'!$B$9,Paramètres!$A$1:$I$89,3,0)*0.475*44/12</f>
        <v>5.4161325290556469E-4</v>
      </c>
      <c r="AC62" s="24">
        <f t="shared" si="3"/>
        <v>1.2083569897165796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7.4</v>
      </c>
      <c r="AI62" s="14">
        <f>IF('Données projet'!$A$62&gt;35,AI61+AH62-AQ61,IF(A62&lt;'Données projet'!$A$62,$AF$205^A62,IF(A62='Données projet'!$A$62,'Données projet'!$B$62,AI61+AH62-AQ61)))</f>
        <v>206.60000000000008</v>
      </c>
      <c r="AJ62" s="14">
        <f>AI62*VLOOKUP('Données projet'!$B$10,Paramètres!$A$1:$I$89,3,0)*VLOOKUP('Données projet'!$B$10,Paramètres!$A$1:$I$89,5,0)</f>
        <v>174.03984000000008</v>
      </c>
      <c r="AK62" s="14">
        <f t="shared" si="35"/>
        <v>43.993572916043675</v>
      </c>
      <c r="AL62" s="22">
        <f t="shared" si="4"/>
        <v>379.74152749544282</v>
      </c>
      <c r="AM62" s="62">
        <f t="shared" si="5"/>
        <v>673.07486082877608</v>
      </c>
      <c r="AN62" s="62">
        <f ca="1">AVERAGE(OFFSET($AM$3,0,0,'Données projet'!$E$10+1,1))-AVERAGE(OFFSET($H$3,0,0,'Données projet'!$E$10+1,1))</f>
        <v>348.84749506659495</v>
      </c>
      <c r="AO62" s="62">
        <f t="shared" si="36"/>
        <v>220.09202639602199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1.1245177642937654</v>
      </c>
      <c r="AW62" s="23">
        <f>EXP(-LN(2)/2)*AW61+(1-EXP(-LN(2)/2))/(LN(2)/2)*AQ62*AT62*VLOOKUP('Données projet'!$B$10,Paramètres!$A$1:$I$89,3,0)*0.475*44/12</f>
        <v>5.042606147741466E-4</v>
      </c>
      <c r="AX62" s="23">
        <f t="shared" si="6"/>
        <v>1.1250220249085394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8</v>
      </c>
      <c r="BD62" s="13">
        <f>IF('Données projet'!$A$88&gt;35,BD61+BC62-BL61,IF(A62&lt;'Données projet'!$A$88,$BA$205^A62,IF(A62='Données projet'!$A$88,'Données projet'!$B$88,BD61+BC62-BL61)))</f>
        <v>329</v>
      </c>
      <c r="BE62" s="14">
        <f>BD62*VLOOKUP('Données projet'!$B$11,Paramètres!$A$1:$I$89,3,0)*VLOOKUP('Données projet'!$B$11,Paramètres!$A$1:$I$89,5,0)</f>
        <v>153.97200000000001</v>
      </c>
      <c r="BF62" s="14">
        <f t="shared" si="37"/>
        <v>39.479859284656378</v>
      </c>
      <c r="BG62" s="22">
        <f t="shared" si="7"/>
        <v>336.92865492077652</v>
      </c>
      <c r="BH62" s="62">
        <f t="shared" si="8"/>
        <v>630.26198825410984</v>
      </c>
      <c r="BI62" s="62">
        <f ca="1">AVERAGE(OFFSET($BH$3,0,0,'Données projet'!$E$11+1,1))-AVERAGE(OFFSET($H$3,0,0,'Données projet'!$E$11+1,1))</f>
        <v>259.74478933784656</v>
      </c>
      <c r="BJ62" s="62">
        <f t="shared" si="38"/>
        <v>223.74038909289646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7.4</v>
      </c>
      <c r="BY62" s="13">
        <f>IF('Données projet'!$A$114&gt;35,BY61+BX62-CG61,IF(A62&lt;'Données projet'!$A$114,$BV$205^A62,IF(A62='Données projet'!$A$114,'Données projet'!$B$114,BY61+BX62-CG61)))</f>
        <v>206.60000000000008</v>
      </c>
      <c r="BZ62" s="14">
        <f>BY62*VLOOKUP('Données projet'!$B$12,Paramètres!$A$1:$I$89,3,0)*VLOOKUP('Données projet'!$B$12,Paramètres!$A$1:$I$89,5,0)</f>
        <v>209.49240000000009</v>
      </c>
      <c r="CA62" s="14">
        <f t="shared" si="39"/>
        <v>51.824646708770558</v>
      </c>
      <c r="CB62" s="22">
        <f t="shared" si="10"/>
        <v>455.12718968444216</v>
      </c>
      <c r="CC62" s="62">
        <f t="shared" si="11"/>
        <v>748.46052301777547</v>
      </c>
      <c r="CD62" s="62">
        <f ca="1">AVERAGE(OFFSET($CC$3,0,0,'Données projet'!$E$12+1,1))-AVERAGE(OFFSET($H$3,0,0,'Données projet'!$E$12+1,1))</f>
        <v>411.75894069172358</v>
      </c>
      <c r="CE62" s="62">
        <f t="shared" si="40"/>
        <v>256.4377087753457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1.3535861977610144</v>
      </c>
      <c r="CM62" s="23">
        <f>EXP(-LN(2)/2)*CM61+(1-EXP(-LN(2)/2))/(LN(2)/2)*CG62*CJ62*VLOOKUP('Données projet'!$B$12,Paramètres!$A$1:$I$89,3,0)*0.475*44/12</f>
        <v>6.0698036963554669E-4</v>
      </c>
      <c r="CN62" s="24">
        <f t="shared" si="12"/>
        <v>1.35419317813065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7.4</v>
      </c>
      <c r="M63" s="13">
        <f t="array" ref="M63">INDEX(L:L,MIN(IF(ISNUMBER(L63:L259),ROW(L63:L259),"")))</f>
        <v>7.4</v>
      </c>
      <c r="N63" s="14">
        <f>IF('Données projet'!$A$36&gt;35,N62+M63-V62,IF(A63&lt;'Données projet'!$A$36,$K$205^A63,IF(A63='Données projet'!$A$36,'Données projet'!$B$36,N62+M63-V62)))</f>
        <v>214.00000000000009</v>
      </c>
      <c r="O63" s="14">
        <f>N63*VLOOKUP('Données projet'!$B$9,Paramètres!$A$1:$I$89,3,0)*VLOOKUP('Données projet'!$B$9,Paramètres!$A$1:$I$89,5,0)</f>
        <v>193.62720000000007</v>
      </c>
      <c r="P63" s="14">
        <f t="shared" si="33"/>
        <v>48.340990547231236</v>
      </c>
      <c r="Q63" s="22">
        <f t="shared" si="53"/>
        <v>421.42793186976115</v>
      </c>
      <c r="R63" s="62">
        <f t="shared" si="0"/>
        <v>714.76126520309447</v>
      </c>
      <c r="S63" s="62">
        <f ca="1">AVERAGE(OFFSET($R$3,0,0,'Données projet'!$E$9+1,1))-AVERAGE(OFFSET($H$3,0,0,'Données projet'!$E$9+1,1))</f>
        <v>371.75294069149942</v>
      </c>
      <c r="T63" s="62">
        <f t="shared" si="34"/>
        <v>233.32640143610547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1.1747876014780247</v>
      </c>
      <c r="AB63" s="23">
        <f>EXP(-LN(2)/2)*AB62+(1-EXP(-LN(2)/2))/(LN(2)/2)*V63*Y63*VLOOKUP('Données projet'!$B$9,Paramètres!$A$1:$I$89,3,0)*0.475*44/12</f>
        <v>3.8297840391002936E-4</v>
      </c>
      <c r="AC63" s="24">
        <f t="shared" si="3"/>
        <v>1.1751705798819347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7.4</v>
      </c>
      <c r="AH63" s="13">
        <f t="array" ref="AH63">INDEX(AG:AG,MIN(IF(ISNUMBER(AG63:AG259),ROW(AG63:AG259),"")))</f>
        <v>7.4</v>
      </c>
      <c r="AI63" s="14">
        <f>IF('Données projet'!$A$62&gt;35,AI62+AH63-AQ62,IF(A63&lt;'Données projet'!$A$62,$AF$205^A63,IF(A63='Données projet'!$A$62,'Données projet'!$B$62,AI62+AH63-AQ62)))</f>
        <v>214.00000000000009</v>
      </c>
      <c r="AJ63" s="14">
        <f>AI63*VLOOKUP('Données projet'!$B$10,Paramètres!$A$1:$I$89,3,0)*VLOOKUP('Données projet'!$B$10,Paramètres!$A$1:$I$89,5,0)</f>
        <v>180.2736000000001</v>
      </c>
      <c r="AK63" s="14">
        <f t="shared" si="35"/>
        <v>45.38305174393809</v>
      </c>
      <c r="AL63" s="22">
        <f t="shared" si="4"/>
        <v>393.01866845402566</v>
      </c>
      <c r="AM63" s="62">
        <f t="shared" si="5"/>
        <v>686.35200178735897</v>
      </c>
      <c r="AN63" s="62">
        <f ca="1">AVERAGE(OFFSET($AM$3,0,0,'Données projet'!$E$10+1,1))-AVERAGE(OFFSET($H$3,0,0,'Données projet'!$E$10+1,1))</f>
        <v>348.84749506659495</v>
      </c>
      <c r="AO63" s="62">
        <f t="shared" si="36"/>
        <v>220.09202639602199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1.0937677668933332</v>
      </c>
      <c r="AW63" s="23">
        <f>EXP(-LN(2)/2)*AW62+(1-EXP(-LN(2)/2))/(LN(2)/2)*AQ63*AT63*VLOOKUP('Données projet'!$B$10,Paramètres!$A$1:$I$89,3,0)*0.475*44/12</f>
        <v>3.5656610019209643E-4</v>
      </c>
      <c r="AX63" s="23">
        <f t="shared" si="6"/>
        <v>1.0941243329935253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337</v>
      </c>
      <c r="BB63" s="13">
        <f>VLOOKUP(A63,'Données projet'!$A$87:$I$107,9,0)</f>
        <v>8</v>
      </c>
      <c r="BC63" s="13">
        <f t="array" ref="BC63">INDEX(BB:BB,MIN(IF(ISNUMBER(BB63:BB259),ROW(BB63:BB259),"")))</f>
        <v>8</v>
      </c>
      <c r="BD63" s="13">
        <f>IF('Données projet'!$A$88&gt;35,BD62+BC63-BL62,IF(A63&lt;'Données projet'!$A$88,$BA$205^A63,IF(A63='Données projet'!$A$88,'Données projet'!$B$88,BD62+BC63-BL62)))</f>
        <v>337</v>
      </c>
      <c r="BE63" s="14">
        <f>BD63*VLOOKUP('Données projet'!$B$11,Paramètres!$A$1:$I$89,3,0)*VLOOKUP('Données projet'!$B$11,Paramètres!$A$1:$I$89,5,0)</f>
        <v>157.71600000000001</v>
      </c>
      <c r="BF63" s="14">
        <f t="shared" si="37"/>
        <v>40.326922540698838</v>
      </c>
      <c r="BG63" s="22">
        <f t="shared" si="7"/>
        <v>344.92475675838381</v>
      </c>
      <c r="BH63" s="62">
        <f t="shared" si="8"/>
        <v>638.25809009171712</v>
      </c>
      <c r="BI63" s="62">
        <f ca="1">AVERAGE(OFFSET($BH$3,0,0,'Données projet'!$E$11+1,1))-AVERAGE(OFFSET($H$3,0,0,'Données projet'!$E$11+1,1))</f>
        <v>259.74478933784656</v>
      </c>
      <c r="BJ63" s="62">
        <f t="shared" si="38"/>
        <v>223.74038909289646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67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214</v>
      </c>
      <c r="BW63" s="13">
        <f>VLOOKUP(A63,'Données projet'!$A$113:$I$133,9,0)</f>
        <v>7.4</v>
      </c>
      <c r="BX63" s="13">
        <f t="array" ref="BX63">INDEX(BW:BW,MIN(IF(ISNUMBER(BW63:BW259),ROW(BW63:BW259),"")))</f>
        <v>7.4</v>
      </c>
      <c r="BY63" s="13">
        <f>IF('Données projet'!$A$114&gt;35,BY62+BX63-CG62,IF(A63&lt;'Données projet'!$A$114,$BV$205^A63,IF(A63='Données projet'!$A$114,'Données projet'!$B$114,BY62+BX63-CG62)))</f>
        <v>214.00000000000009</v>
      </c>
      <c r="BZ63" s="14">
        <f>BY63*VLOOKUP('Données projet'!$B$12,Paramètres!$A$1:$I$89,3,0)*VLOOKUP('Données projet'!$B$12,Paramètres!$A$1:$I$89,5,0)</f>
        <v>216.99600000000009</v>
      </c>
      <c r="CA63" s="14">
        <f t="shared" si="39"/>
        <v>53.461459647386917</v>
      </c>
      <c r="CB63" s="22">
        <f t="shared" si="10"/>
        <v>471.04674221919907</v>
      </c>
      <c r="CC63" s="62">
        <f t="shared" si="11"/>
        <v>764.38007555253239</v>
      </c>
      <c r="CD63" s="62">
        <f ca="1">AVERAGE(OFFSET($CC$3,0,0,'Données projet'!$E$12+1,1))-AVERAGE(OFFSET($H$3,0,0,'Données projet'!$E$12+1,1))</f>
        <v>411.75894069172358</v>
      </c>
      <c r="CE63" s="62">
        <f t="shared" si="40"/>
        <v>256.4377087753457</v>
      </c>
      <c r="CF63" s="16">
        <f>IF(ISNA(VLOOKUP(A63,'Données projet'!$A$113:$I$133,3,0)),0,VLOOKUP(A63,'Données projet'!$A$113:$I$133,3,0))</f>
        <v>8</v>
      </c>
      <c r="CG63" s="16">
        <f>IF(ISNA(VLOOKUP(A63,'Données projet'!$A$113:$I$133,4,0)),0,VLOOKUP(A63,'Données projet'!$A$113:$I$133,4,0))</f>
        <v>21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1.3165723120012349</v>
      </c>
      <c r="CM63" s="23">
        <f>EXP(-LN(2)/2)*CM62+(1-EXP(-LN(2)/2))/(LN(2)/2)*CG63*CJ63*VLOOKUP('Données projet'!$B$12,Paramètres!$A$1:$I$89,3,0)*0.475*44/12</f>
        <v>4.2919993541641225E-4</v>
      </c>
      <c r="CN63" s="24">
        <f t="shared" si="12"/>
        <v>1.3170015119366514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200.20000000000007</v>
      </c>
      <c r="O64" s="14">
        <f>N64*VLOOKUP('Données projet'!$B$9,Paramètres!$A$1:$I$89,3,0)*VLOOKUP('Données projet'!$B$9,Paramètres!$A$1:$I$89,5,0)</f>
        <v>181.14096000000006</v>
      </c>
      <c r="P64" s="14">
        <f t="shared" si="33"/>
        <v>45.575935320610981</v>
      </c>
      <c r="Q64" s="22">
        <f t="shared" si="53"/>
        <v>394.86525935006421</v>
      </c>
      <c r="R64" s="62">
        <f t="shared" si="0"/>
        <v>688.19859268339746</v>
      </c>
      <c r="S64" s="62">
        <f ca="1">AVERAGE(OFFSET($R$3,0,0,'Données projet'!$E$9+1,1))-AVERAGE(OFFSET($H$3,0,0,'Données projet'!$E$9+1,1))</f>
        <v>371.75294069149942</v>
      </c>
      <c r="T64" s="62">
        <f t="shared" si="34"/>
        <v>233.32640143610547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1.1426629727362132</v>
      </c>
      <c r="AB64" s="23">
        <f>EXP(-LN(2)/2)*AB63+(1-EXP(-LN(2)/2))/(LN(2)/2)*V64*Y64*VLOOKUP('Données projet'!$B$9,Paramètres!$A$1:$I$89,3,0)*0.475*44/12</f>
        <v>2.7080662645278234E-4</v>
      </c>
      <c r="AC64" s="24">
        <f t="shared" si="3"/>
        <v>1.1429337793626659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200.20000000000007</v>
      </c>
      <c r="AJ64" s="14">
        <f>AI64*VLOOKUP('Données projet'!$B$10,Paramètres!$A$1:$I$89,3,0)*VLOOKUP('Données projet'!$B$10,Paramètres!$A$1:$I$89,5,0)</f>
        <v>168.64848000000009</v>
      </c>
      <c r="AK64" s="14">
        <f t="shared" si="35"/>
        <v>42.787187592127886</v>
      </c>
      <c r="AL64" s="22">
        <f t="shared" si="4"/>
        <v>368.2504543896228</v>
      </c>
      <c r="AM64" s="62">
        <f t="shared" si="5"/>
        <v>661.58378772295612</v>
      </c>
      <c r="AN64" s="62">
        <f ca="1">AVERAGE(OFFSET($AM$3,0,0,'Données projet'!$E$10+1,1))-AVERAGE(OFFSET($H$3,0,0,'Données projet'!$E$10+1,1))</f>
        <v>348.84749506659495</v>
      </c>
      <c r="AO64" s="62">
        <f t="shared" si="36"/>
        <v>220.09202639602199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1.0638586297888879</v>
      </c>
      <c r="AW64" s="23">
        <f>EXP(-LN(2)/2)*AW63+(1-EXP(-LN(2)/2))/(LN(2)/2)*AQ64*AT64*VLOOKUP('Données projet'!$B$10,Paramètres!$A$1:$I$89,3,0)*0.475*44/12</f>
        <v>2.521303073870733E-4</v>
      </c>
      <c r="AX64" s="23">
        <f t="shared" si="6"/>
        <v>1.0641107600962749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7.5</v>
      </c>
      <c r="BD64" s="13">
        <f>IF('Données projet'!$A$88&gt;35,BD63+BC64-BL63,IF(A64&lt;'Données projet'!$A$88,$BA$205^A64,IF(A64='Données projet'!$A$88,'Données projet'!$B$88,BD63+BC64-BL63)))</f>
        <v>277.5</v>
      </c>
      <c r="BE64" s="14">
        <f>BD64*VLOOKUP('Données projet'!$B$11,Paramètres!$A$1:$I$89,3,0)*VLOOKUP('Données projet'!$B$11,Paramètres!$A$1:$I$89,5,0)</f>
        <v>129.87</v>
      </c>
      <c r="BF64" s="14">
        <f t="shared" si="37"/>
        <v>33.966318400312318</v>
      </c>
      <c r="BG64" s="22">
        <f t="shared" si="7"/>
        <v>285.34825454721067</v>
      </c>
      <c r="BH64" s="62">
        <f t="shared" si="8"/>
        <v>578.68158788054393</v>
      </c>
      <c r="BI64" s="62">
        <f ca="1">AVERAGE(OFFSET($BH$3,0,0,'Données projet'!$E$11+1,1))-AVERAGE(OFFSET($H$3,0,0,'Données projet'!$E$11+1,1))</f>
        <v>259.74478933784656</v>
      </c>
      <c r="BJ64" s="62">
        <f t="shared" si="38"/>
        <v>223.74038909289646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200.20000000000007</v>
      </c>
      <c r="BZ64" s="14">
        <f>BY64*VLOOKUP('Données projet'!$B$12,Paramètres!$A$1:$I$89,3,0)*VLOOKUP('Données projet'!$B$12,Paramètres!$A$1:$I$89,5,0)</f>
        <v>203.00280000000009</v>
      </c>
      <c r="CA64" s="14">
        <f t="shared" si="39"/>
        <v>50.403518824343074</v>
      </c>
      <c r="CB64" s="22">
        <f t="shared" si="10"/>
        <v>441.34933861906433</v>
      </c>
      <c r="CC64" s="62">
        <f t="shared" si="11"/>
        <v>734.68267195239764</v>
      </c>
      <c r="CD64" s="62">
        <f ca="1">AVERAGE(OFFSET($CC$3,0,0,'Données projet'!$E$12+1,1))-AVERAGE(OFFSET($H$3,0,0,'Données projet'!$E$12+1,1))</f>
        <v>411.75894069172358</v>
      </c>
      <c r="CE64" s="62">
        <f t="shared" si="40"/>
        <v>256.4377087753457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1.2805705728940324</v>
      </c>
      <c r="CM64" s="23">
        <f>EXP(-LN(2)/2)*CM63+(1-EXP(-LN(2)/2))/(LN(2)/2)*CG64*CJ64*VLOOKUP('Données projet'!$B$12,Paramètres!$A$1:$I$89,3,0)*0.475*44/12</f>
        <v>3.0349018481777335E-4</v>
      </c>
      <c r="CN64" s="24">
        <f t="shared" si="12"/>
        <v>1.2808740630788502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207.40000000000006</v>
      </c>
      <c r="O65" s="14">
        <f>N65*VLOOKUP('Données projet'!$B$9,Paramètres!$A$1:$I$89,3,0)*VLOOKUP('Données projet'!$B$9,Paramètres!$A$1:$I$89,5,0)</f>
        <v>187.65552000000005</v>
      </c>
      <c r="P65" s="14">
        <f t="shared" si="33"/>
        <v>47.021247649900147</v>
      </c>
      <c r="Q65" s="22">
        <f t="shared" si="53"/>
        <v>408.72870365690954</v>
      </c>
      <c r="R65" s="62">
        <f t="shared" si="0"/>
        <v>702.06203699024286</v>
      </c>
      <c r="S65" s="62">
        <f ca="1">AVERAGE(OFFSET($R$3,0,0,'Données projet'!$E$9+1,1))-AVERAGE(OFFSET($H$3,0,0,'Données projet'!$E$9+1,1))</f>
        <v>371.75294069149942</v>
      </c>
      <c r="T65" s="62">
        <f t="shared" si="34"/>
        <v>233.32640143610547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1.1114167936567072</v>
      </c>
      <c r="AB65" s="23">
        <f>EXP(-LN(2)/2)*AB64+(1-EXP(-LN(2)/2))/(LN(2)/2)*V65*Y65*VLOOKUP('Données projet'!$B$9,Paramètres!$A$1:$I$89,3,0)*0.475*44/12</f>
        <v>1.9148920195501468E-4</v>
      </c>
      <c r="AC65" s="24">
        <f t="shared" si="3"/>
        <v>1.1116082828586622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207.40000000000006</v>
      </c>
      <c r="AJ65" s="14">
        <f>AI65*VLOOKUP('Données projet'!$B$10,Paramètres!$A$1:$I$89,3,0)*VLOOKUP('Données projet'!$B$10,Paramètres!$A$1:$I$89,5,0)</f>
        <v>174.71376000000006</v>
      </c>
      <c r="AK65" s="14">
        <f t="shared" si="35"/>
        <v>44.144062647515817</v>
      </c>
      <c r="AL65" s="22">
        <f t="shared" si="4"/>
        <v>381.17737444442355</v>
      </c>
      <c r="AM65" s="62">
        <f t="shared" si="5"/>
        <v>674.51070777775681</v>
      </c>
      <c r="AN65" s="62">
        <f ca="1">AVERAGE(OFFSET($AM$3,0,0,'Données projet'!$E$10+1,1))-AVERAGE(OFFSET($H$3,0,0,'Données projet'!$E$10+1,1))</f>
        <v>348.84749506659495</v>
      </c>
      <c r="AO65" s="62">
        <f t="shared" si="36"/>
        <v>220.09202639602199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1.0347673596114169</v>
      </c>
      <c r="AW65" s="23">
        <f>EXP(-LN(2)/2)*AW64+(1-EXP(-LN(2)/2))/(LN(2)/2)*AQ65*AT65*VLOOKUP('Données projet'!$B$10,Paramètres!$A$1:$I$89,3,0)*0.475*44/12</f>
        <v>1.7828305009604821E-4</v>
      </c>
      <c r="AX65" s="23">
        <f t="shared" si="6"/>
        <v>1.0349456426615129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7.5</v>
      </c>
      <c r="BD65" s="13">
        <f>IF('Données projet'!$A$88&gt;35,BD64+BC65-BL64,IF(A65&lt;'Données projet'!$A$88,$BA$205^A65,IF(A65='Données projet'!$A$88,'Données projet'!$B$88,BD64+BC65-BL64)))</f>
        <v>285</v>
      </c>
      <c r="BE65" s="14">
        <f>BD65*VLOOKUP('Données projet'!$B$11,Paramètres!$A$1:$I$89,3,0)*VLOOKUP('Données projet'!$B$11,Paramètres!$A$1:$I$89,5,0)</f>
        <v>133.38</v>
      </c>
      <c r="BF65" s="14">
        <f t="shared" si="37"/>
        <v>34.776207535548991</v>
      </c>
      <c r="BG65" s="22">
        <f t="shared" si="7"/>
        <v>292.8720614577478</v>
      </c>
      <c r="BH65" s="62">
        <f t="shared" si="8"/>
        <v>586.20539479108106</v>
      </c>
      <c r="BI65" s="62">
        <f ca="1">AVERAGE(OFFSET($BH$3,0,0,'Données projet'!$E$11+1,1))-AVERAGE(OFFSET($H$3,0,0,'Données projet'!$E$11+1,1))</f>
        <v>259.74478933784656</v>
      </c>
      <c r="BJ65" s="62">
        <f t="shared" si="38"/>
        <v>223.74038909289646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207.40000000000006</v>
      </c>
      <c r="BZ65" s="14">
        <f>BY65*VLOOKUP('Données projet'!$B$12,Paramètres!$A$1:$I$89,3,0)*VLOOKUP('Données projet'!$B$12,Paramètres!$A$1:$I$89,5,0)</f>
        <v>210.3036000000001</v>
      </c>
      <c r="CA65" s="14">
        <f t="shared" si="39"/>
        <v>52.001924357524501</v>
      </c>
      <c r="CB65" s="22">
        <f t="shared" si="10"/>
        <v>456.84878825602203</v>
      </c>
      <c r="CC65" s="62">
        <f t="shared" si="11"/>
        <v>750.18212158935535</v>
      </c>
      <c r="CD65" s="62">
        <f ca="1">AVERAGE(OFFSET($CC$3,0,0,'Données projet'!$E$12+1,1))-AVERAGE(OFFSET($H$3,0,0,'Données projet'!$E$12+1,1))</f>
        <v>411.75894069172358</v>
      </c>
      <c r="CE65" s="62">
        <f t="shared" si="40"/>
        <v>256.4377087753457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1.2455533032359654</v>
      </c>
      <c r="CM65" s="23">
        <f>EXP(-LN(2)/2)*CM64+(1-EXP(-LN(2)/2))/(LN(2)/2)*CG65*CJ65*VLOOKUP('Données projet'!$B$12,Paramètres!$A$1:$I$89,3,0)*0.475*44/12</f>
        <v>2.1459996770820613E-4</v>
      </c>
      <c r="CN65" s="24">
        <f t="shared" si="12"/>
        <v>1.2457679032036735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214.60000000000005</v>
      </c>
      <c r="O66" s="14">
        <f>N66*VLOOKUP('Données projet'!$B$9,Paramètres!$A$1:$I$89,3,0)*VLOOKUP('Données projet'!$B$9,Paramètres!$A$1:$I$89,5,0)</f>
        <v>194.17008000000004</v>
      </c>
      <c r="P66" s="14">
        <f t="shared" si="33"/>
        <v>48.460730182351078</v>
      </c>
      <c r="Q66" s="22">
        <f t="shared" si="53"/>
        <v>422.58199440092818</v>
      </c>
      <c r="R66" s="62">
        <f t="shared" si="0"/>
        <v>715.9153277342615</v>
      </c>
      <c r="S66" s="62">
        <f ca="1">AVERAGE(OFFSET($R$3,0,0,'Données projet'!$E$9+1,1))-AVERAGE(OFFSET($H$3,0,0,'Données projet'!$E$9+1,1))</f>
        <v>371.75294069149942</v>
      </c>
      <c r="T66" s="62">
        <f t="shared" si="34"/>
        <v>233.32640143610547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1.0810250429872956</v>
      </c>
      <c r="AB66" s="23">
        <f>EXP(-LN(2)/2)*AB65+(1-EXP(-LN(2)/2))/(LN(2)/2)*V66*Y66*VLOOKUP('Données projet'!$B$9,Paramètres!$A$1:$I$89,3,0)*0.475*44/12</f>
        <v>1.3540331322639117E-4</v>
      </c>
      <c r="AC66" s="24">
        <f t="shared" si="3"/>
        <v>1.081160446300522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214.60000000000005</v>
      </c>
      <c r="AJ66" s="14">
        <f>AI66*VLOOKUP('Données projet'!$B$10,Paramètres!$A$1:$I$89,3,0)*VLOOKUP('Données projet'!$B$10,Paramètres!$A$1:$I$89,5,0)</f>
        <v>180.77904000000004</v>
      </c>
      <c r="AK66" s="14">
        <f t="shared" si="35"/>
        <v>45.495464625737284</v>
      </c>
      <c r="AL66" s="22">
        <f t="shared" si="4"/>
        <v>394.09476222315919</v>
      </c>
      <c r="AM66" s="62">
        <f t="shared" si="5"/>
        <v>687.42809555649251</v>
      </c>
      <c r="AN66" s="62">
        <f ca="1">AVERAGE(OFFSET($AM$3,0,0,'Données projet'!$E$10+1,1))-AVERAGE(OFFSET($H$3,0,0,'Données projet'!$E$10+1,1))</f>
        <v>348.84749506659495</v>
      </c>
      <c r="AO66" s="62">
        <f t="shared" si="36"/>
        <v>220.09202639602199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1.0064715917467921</v>
      </c>
      <c r="AW66" s="23">
        <f>EXP(-LN(2)/2)*AW65+(1-EXP(-LN(2)/2))/(LN(2)/2)*AQ66*AT66*VLOOKUP('Données projet'!$B$10,Paramètres!$A$1:$I$89,3,0)*0.475*44/12</f>
        <v>1.2606515369353665E-4</v>
      </c>
      <c r="AX66" s="23">
        <f t="shared" si="6"/>
        <v>1.0065976569004857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7.5</v>
      </c>
      <c r="BD66" s="13">
        <f>IF('Données projet'!$A$88&gt;35,BD65+BC66-BL65,IF(A66&lt;'Données projet'!$A$88,$BA$205^A66,IF(A66='Données projet'!$A$88,'Données projet'!$B$88,BD65+BC66-BL65)))</f>
        <v>292.5</v>
      </c>
      <c r="BE66" s="14">
        <f>BD66*VLOOKUP('Données projet'!$B$11,Paramètres!$A$1:$I$89,3,0)*VLOOKUP('Données projet'!$B$11,Paramètres!$A$1:$I$89,5,0)</f>
        <v>136.89000000000001</v>
      </c>
      <c r="BF66" s="14">
        <f t="shared" si="37"/>
        <v>35.583619346017713</v>
      </c>
      <c r="BG66" s="22">
        <f t="shared" si="7"/>
        <v>300.39155369431421</v>
      </c>
      <c r="BH66" s="62">
        <f t="shared" si="8"/>
        <v>593.72488702764758</v>
      </c>
      <c r="BI66" s="62">
        <f ca="1">AVERAGE(OFFSET($BH$3,0,0,'Données projet'!$E$11+1,1))-AVERAGE(OFFSET($H$3,0,0,'Données projet'!$E$11+1,1))</f>
        <v>259.74478933784656</v>
      </c>
      <c r="BJ66" s="62">
        <f t="shared" si="38"/>
        <v>223.74038909289646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214.60000000000005</v>
      </c>
      <c r="BZ66" s="14">
        <f>BY66*VLOOKUP('Données projet'!$B$12,Paramètres!$A$1:$I$89,3,0)*VLOOKUP('Données projet'!$B$12,Paramètres!$A$1:$I$89,5,0)</f>
        <v>217.60440000000006</v>
      </c>
      <c r="CA66" s="14">
        <f t="shared" si="39"/>
        <v>53.593882578706406</v>
      </c>
      <c r="CB66" s="22">
        <f t="shared" si="10"/>
        <v>472.33700882458038</v>
      </c>
      <c r="CC66" s="62">
        <f t="shared" si="11"/>
        <v>765.67034215791364</v>
      </c>
      <c r="CD66" s="62">
        <f ca="1">AVERAGE(OFFSET($CC$3,0,0,'Données projet'!$E$12+1,1))-AVERAGE(OFFSET($H$3,0,0,'Données projet'!$E$12+1,1))</f>
        <v>411.75894069172358</v>
      </c>
      <c r="CE66" s="62">
        <f t="shared" si="40"/>
        <v>256.4377087753457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1.2114935826581765</v>
      </c>
      <c r="CM66" s="23">
        <f>EXP(-LN(2)/2)*CM65+(1-EXP(-LN(2)/2))/(LN(2)/2)*CG66*CJ66*VLOOKUP('Données projet'!$B$12,Paramètres!$A$1:$I$89,3,0)*0.475*44/12</f>
        <v>1.5174509240888667E-4</v>
      </c>
      <c r="CN66" s="24">
        <f t="shared" si="12"/>
        <v>1.2116453277505854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221.80000000000004</v>
      </c>
      <c r="O67" s="14">
        <f>N67*VLOOKUP('Données projet'!$B$9,Paramètres!$A$1:$I$89,3,0)*VLOOKUP('Données projet'!$B$9,Paramètres!$A$1:$I$89,5,0)</f>
        <v>200.68464</v>
      </c>
      <c r="P67" s="14">
        <f t="shared" si="33"/>
        <v>49.894600936700193</v>
      </c>
      <c r="Q67" s="22">
        <f t="shared" ref="Q67:Q98" si="54">(O67+P67)*0.475*44/12</f>
        <v>436.42551129808612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371.75294069149942</v>
      </c>
      <c r="T67" s="62">
        <f t="shared" si="34"/>
        <v>233.32640143610547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1.0514643563381718</v>
      </c>
      <c r="AB67" s="23">
        <f>EXP(-LN(2)/2)*AB66+(1-EXP(-LN(2)/2))/(LN(2)/2)*V67*Y67*VLOOKUP('Données projet'!$B$9,Paramètres!$A$1:$I$89,3,0)*0.475*44/12</f>
        <v>9.5744600977507339E-5</v>
      </c>
      <c r="AC67" s="24">
        <f t="shared" si="3"/>
        <v>1.0515601009391493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221.80000000000004</v>
      </c>
      <c r="AJ67" s="14">
        <f>AI67*VLOOKUP('Données projet'!$B$10,Paramètres!$A$1:$I$89,3,0)*VLOOKUP('Données projet'!$B$10,Paramètres!$A$1:$I$89,5,0)</f>
        <v>186.84432000000007</v>
      </c>
      <c r="AK67" s="14">
        <f t="shared" si="35"/>
        <v>46.841598205171657</v>
      </c>
      <c r="AL67" s="22">
        <f t="shared" si="4"/>
        <v>407.00297420734074</v>
      </c>
      <c r="AM67" s="62">
        <f t="shared" si="5"/>
        <v>700.33630754067406</v>
      </c>
      <c r="AN67" s="62">
        <f ca="1">AVERAGE(OFFSET($AM$3,0,0,'Données projet'!$E$10+1,1))-AVERAGE(OFFSET($H$3,0,0,'Données projet'!$E$10+1,1))</f>
        <v>348.84749506659495</v>
      </c>
      <c r="AO67" s="62">
        <f t="shared" si="36"/>
        <v>220.09202639602199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0.97894957314243536</v>
      </c>
      <c r="AW67" s="23">
        <f>EXP(-LN(2)/2)*AW66+(1-EXP(-LN(2)/2))/(LN(2)/2)*AQ67*AT67*VLOOKUP('Données projet'!$B$10,Paramètres!$A$1:$I$89,3,0)*0.475*44/12</f>
        <v>8.9141525048024107E-5</v>
      </c>
      <c r="AX67" s="23">
        <f t="shared" si="6"/>
        <v>0.97903871466748338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7.5</v>
      </c>
      <c r="BD67" s="13">
        <f>IF('Données projet'!$A$88&gt;35,BD66+BC67-BL66,IF(A67&lt;'Données projet'!$A$88,$BA$205^A67,IF(A67='Données projet'!$A$88,'Données projet'!$B$88,BD66+BC67-BL66)))</f>
        <v>300</v>
      </c>
      <c r="BE67" s="14">
        <f>BD67*VLOOKUP('Données projet'!$B$11,Paramètres!$A$1:$I$89,3,0)*VLOOKUP('Données projet'!$B$11,Paramètres!$A$1:$I$89,5,0)</f>
        <v>140.4</v>
      </c>
      <c r="BF67" s="14">
        <f t="shared" si="37"/>
        <v>36.388624656711201</v>
      </c>
      <c r="BG67" s="22">
        <f t="shared" si="7"/>
        <v>307.90685461043864</v>
      </c>
      <c r="BH67" s="62">
        <f t="shared" si="8"/>
        <v>601.24018794377196</v>
      </c>
      <c r="BI67" s="62">
        <f ca="1">AVERAGE(OFFSET($BH$3,0,0,'Données projet'!$E$11+1,1))-AVERAGE(OFFSET($H$3,0,0,'Données projet'!$E$11+1,1))</f>
        <v>259.74478933784656</v>
      </c>
      <c r="BJ67" s="62">
        <f t="shared" si="38"/>
        <v>223.74038909289646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221.80000000000004</v>
      </c>
      <c r="BZ67" s="14">
        <f>BY67*VLOOKUP('Données projet'!$B$12,Paramètres!$A$1:$I$89,3,0)*VLOOKUP('Données projet'!$B$12,Paramètres!$A$1:$I$89,5,0)</f>
        <v>224.90520000000006</v>
      </c>
      <c r="CA67" s="14">
        <f t="shared" si="39"/>
        <v>55.17963460003309</v>
      </c>
      <c r="CB67" s="22">
        <f t="shared" si="10"/>
        <v>487.81442026172436</v>
      </c>
      <c r="CC67" s="62">
        <f t="shared" si="11"/>
        <v>781.14775359505768</v>
      </c>
      <c r="CD67" s="62">
        <f ca="1">AVERAGE(OFFSET($CC$3,0,0,'Données projet'!$E$12+1,1))-AVERAGE(OFFSET($H$3,0,0,'Données projet'!$E$12+1,1))</f>
        <v>411.75894069172358</v>
      </c>
      <c r="CE67" s="62">
        <f t="shared" si="40"/>
        <v>256.4377087753457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1.1783652269307101</v>
      </c>
      <c r="CM67" s="23">
        <f>EXP(-LN(2)/2)*CM66+(1-EXP(-LN(2)/2))/(LN(2)/2)*CG67*CJ67*VLOOKUP('Données projet'!$B$12,Paramètres!$A$1:$I$89,3,0)*0.475*44/12</f>
        <v>1.0729998385410306E-4</v>
      </c>
      <c r="CN67" s="24">
        <f t="shared" si="12"/>
        <v>1.1784725269145642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229.00000000000003</v>
      </c>
      <c r="O68" s="14">
        <f>N68*VLOOKUP('Données projet'!$B$9,Paramètres!$A$1:$I$89,3,0)*VLOOKUP('Données projet'!$B$9,Paramètres!$A$1:$I$89,5,0)</f>
        <v>207.19919999999999</v>
      </c>
      <c r="P68" s="14">
        <f t="shared" si="33"/>
        <v>51.32306297366555</v>
      </c>
      <c r="Q68" s="22">
        <f t="shared" si="54"/>
        <v>450.25960801246742</v>
      </c>
      <c r="R68" s="62">
        <f t="shared" si="55"/>
        <v>743.59294134580068</v>
      </c>
      <c r="S68" s="62">
        <f ca="1">AVERAGE(OFFSET($R$3,0,0,'Données projet'!$E$9+1,1))-AVERAGE(OFFSET($H$3,0,0,'Données projet'!$E$9+1,1))</f>
        <v>371.75294069149942</v>
      </c>
      <c r="T68" s="62">
        <f t="shared" si="34"/>
        <v>233.32640143610547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1.0227120082199972</v>
      </c>
      <c r="AB68" s="23">
        <f>EXP(-LN(2)/2)*AB67+(1-EXP(-LN(2)/2))/(LN(2)/2)*V68*Y68*VLOOKUP('Données projet'!$B$9,Paramètres!$A$1:$I$89,3,0)*0.475*44/12</f>
        <v>6.7701656613195586E-5</v>
      </c>
      <c r="AC68" s="24">
        <f t="shared" ref="AC68:AC131" si="57">SUM(Z68:AB68)</f>
        <v>1.0227797098766105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192.90960000000004</v>
      </c>
      <c r="AK68" s="14">
        <f t="shared" si="35"/>
        <v>48.182654021446467</v>
      </c>
      <c r="AL68" s="22">
        <f t="shared" ref="AL68:AL131" si="58">(AJ68+AK68)*0.475*44/12</f>
        <v>419.90234242068601</v>
      </c>
      <c r="AM68" s="62">
        <f t="shared" ref="AM68:AM131" si="59">AL68+(AD68+AE68)*44/12</f>
        <v>713.23567575401933</v>
      </c>
      <c r="AN68" s="62">
        <f ca="1">AVERAGE(OFFSET($AM$3,0,0,'Données projet'!$E$10+1,1))-AVERAGE(OFFSET($H$3,0,0,'Données projet'!$E$10+1,1))</f>
        <v>348.84749506659495</v>
      </c>
      <c r="AO68" s="62">
        <f t="shared" si="36"/>
        <v>220.09202639602199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0.95218014558413488</v>
      </c>
      <c r="AW68" s="23">
        <f>EXP(-LN(2)/2)*AW67+(1-EXP(-LN(2)/2))/(LN(2)/2)*AQ68*AT68*VLOOKUP('Données projet'!$B$10,Paramètres!$A$1:$I$89,3,0)*0.475*44/12</f>
        <v>6.3032576846768325E-5</v>
      </c>
      <c r="AX68" s="23">
        <f t="shared" ref="AX68:AX131" si="60">SUM(AU68:AW68)</f>
        <v>0.9522431781609817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7.5</v>
      </c>
      <c r="BD68" s="13">
        <f>IF('Données projet'!$A$88&gt;35,BD67+BC68-BL67,IF(A68&lt;'Données projet'!$A$88,$BA$205^A68,IF(A68='Données projet'!$A$88,'Données projet'!$B$88,BD67+BC68-BL67)))</f>
        <v>307.5</v>
      </c>
      <c r="BE68" s="14">
        <f>BD68*VLOOKUP('Données projet'!$B$11,Paramètres!$A$1:$I$89,3,0)*VLOOKUP('Données projet'!$B$11,Paramètres!$A$1:$I$89,5,0)</f>
        <v>143.91</v>
      </c>
      <c r="BF68" s="14">
        <f t="shared" si="37"/>
        <v>37.191290549543432</v>
      </c>
      <c r="BG68" s="22">
        <f t="shared" ref="BG68:BG131" si="61">(BE68+BF68)*0.475*44/12</f>
        <v>315.41808104045475</v>
      </c>
      <c r="BH68" s="62">
        <f t="shared" ref="BH68:BH131" si="62">BG68+(AY68+AZ68)*44/12</f>
        <v>608.75141437378807</v>
      </c>
      <c r="BI68" s="62">
        <f ca="1">AVERAGE(OFFSET($BH$3,0,0,'Données projet'!$E$11+1,1))-AVERAGE(OFFSET($H$3,0,0,'Données projet'!$E$11+1,1))</f>
        <v>259.74478933784656</v>
      </c>
      <c r="BJ68" s="62">
        <f t="shared" si="38"/>
        <v>223.74038909289646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229.00000000000003</v>
      </c>
      <c r="BZ68" s="14">
        <f>BY68*VLOOKUP('Données projet'!$B$12,Paramètres!$A$1:$I$89,3,0)*VLOOKUP('Données projet'!$B$12,Paramètres!$A$1:$I$89,5,0)</f>
        <v>232.20600000000005</v>
      </c>
      <c r="CA68" s="14">
        <f t="shared" si="39"/>
        <v>56.759404991217572</v>
      </c>
      <c r="CB68" s="22">
        <f t="shared" ref="CB68:CB131" si="64">(BZ68+CA68)*0.475*44/12</f>
        <v>503.28141369303734</v>
      </c>
      <c r="CC68" s="62">
        <f t="shared" ref="CC68:CC131" si="65">CB68+(BT68+BU68)*44/12</f>
        <v>796.61474702637065</v>
      </c>
      <c r="CD68" s="62">
        <f ca="1">AVERAGE(OFFSET($CC$3,0,0,'Données projet'!$E$12+1,1))-AVERAGE(OFFSET($H$3,0,0,'Données projet'!$E$12+1,1))</f>
        <v>411.75894069172358</v>
      </c>
      <c r="CE68" s="62">
        <f t="shared" si="40"/>
        <v>256.4377087753457</v>
      </c>
      <c r="CF68" s="16">
        <f>IF(ISNA(VLOOKUP(A68,'Données projet'!$A$113:$I$133,3,0)),0,VLOOKUP(A68,'Données projet'!$A$113:$I$133,3,0))</f>
        <v>9</v>
      </c>
      <c r="CG68" s="16">
        <f>IF(ISNA(VLOOKUP(A68,'Données projet'!$A$113:$I$133,4,0)),0,VLOOKUP(A68,'Données projet'!$A$113:$I$133,4,0))</f>
        <v>21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1.1461427678327558</v>
      </c>
      <c r="CM68" s="23">
        <f>EXP(-LN(2)/2)*CM67+(1-EXP(-LN(2)/2))/(LN(2)/2)*CG68*CJ68*VLOOKUP('Données projet'!$B$12,Paramètres!$A$1:$I$89,3,0)*0.475*44/12</f>
        <v>7.5872546204443336E-5</v>
      </c>
      <c r="CN68" s="24">
        <f t="shared" ref="CN68:CN131" si="66">SUM(CK68:CM68)</f>
        <v>1.1462186403789603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214.80000000000004</v>
      </c>
      <c r="O69" s="14">
        <f>N69*VLOOKUP('Données projet'!$B$9,Paramètres!$A$1:$I$89,3,0)*VLOOKUP('Données projet'!$B$9,Paramètres!$A$1:$I$89,5,0)</f>
        <v>194.35104000000004</v>
      </c>
      <c r="P69" s="14">
        <f t="shared" ref="P69:P132" si="87">EXP(-1.0587+0.8836*LN(O69)+0.284)</f>
        <v>48.500634729810159</v>
      </c>
      <c r="Q69" s="22">
        <f t="shared" si="54"/>
        <v>422.96666682108616</v>
      </c>
      <c r="R69" s="62">
        <f t="shared" si="55"/>
        <v>716.30000015441942</v>
      </c>
      <c r="S69" s="62">
        <f ca="1">AVERAGE(OFFSET($R$3,0,0,'Données projet'!$E$9+1,1))-AVERAGE(OFFSET($H$3,0,0,'Données projet'!$E$9+1,1))</f>
        <v>371.75294069149942</v>
      </c>
      <c r="T69" s="62">
        <f t="shared" ref="T69:T132" si="88">$T$3</f>
        <v>233.32640143610547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0.99474589457313434</v>
      </c>
      <c r="AB69" s="23">
        <f>EXP(-LN(2)/2)*AB68+(1-EXP(-LN(2)/2))/(LN(2)/2)*V69*Y69*VLOOKUP('Données projet'!$B$9,Paramètres!$A$1:$I$89,3,0)*0.475*44/12</f>
        <v>4.787230048875367E-5</v>
      </c>
      <c r="AC69" s="24">
        <f t="shared" si="57"/>
        <v>0.99479376687362309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180.94752000000005</v>
      </c>
      <c r="AK69" s="14">
        <f t="shared" ref="AK69:AK132" si="89">EXP(-1.0587+0.8836*LN(AJ69)+0.284)</f>
        <v>45.532927452246533</v>
      </c>
      <c r="AL69" s="22">
        <f t="shared" si="58"/>
        <v>394.45344597932944</v>
      </c>
      <c r="AM69" s="62">
        <f t="shared" si="59"/>
        <v>687.7867793126627</v>
      </c>
      <c r="AN69" s="62">
        <f ca="1">AVERAGE(OFFSET($AM$3,0,0,'Données projet'!$E$10+1,1))-AVERAGE(OFFSET($H$3,0,0,'Données projet'!$E$10+1,1))</f>
        <v>348.84749506659495</v>
      </c>
      <c r="AO69" s="62">
        <f t="shared" ref="AO69:AO132" si="90">$AO$3</f>
        <v>220.09202639602199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0.92614272943015907</v>
      </c>
      <c r="AW69" s="23">
        <f>EXP(-LN(2)/2)*AW68+(1-EXP(-LN(2)/2))/(LN(2)/2)*AQ69*AT69*VLOOKUP('Données projet'!$B$10,Paramètres!$A$1:$I$89,3,0)*0.475*44/12</f>
        <v>4.4570762524012054E-5</v>
      </c>
      <c r="AX69" s="23">
        <f t="shared" si="60"/>
        <v>0.92618730019268314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7.5</v>
      </c>
      <c r="BD69" s="13">
        <f>IF('Données projet'!$A$88&gt;35,BD68+BC69-BL68,IF(A69&lt;'Données projet'!$A$88,$BA$205^A69,IF(A69='Données projet'!$A$88,'Données projet'!$B$88,BD68+BC69-BL68)))</f>
        <v>315</v>
      </c>
      <c r="BE69" s="14">
        <f>BD69*VLOOKUP('Données projet'!$B$11,Paramètres!$A$1:$I$89,3,0)*VLOOKUP('Données projet'!$B$11,Paramètres!$A$1:$I$89,5,0)</f>
        <v>147.41999999999999</v>
      </c>
      <c r="BF69" s="14">
        <f t="shared" ref="BF69:BF132" si="91">EXP(-1.0587+0.8836*LN(BE69)+0.284)</f>
        <v>37.991680647570291</v>
      </c>
      <c r="BG69" s="22">
        <f t="shared" si="61"/>
        <v>322.92534379451826</v>
      </c>
      <c r="BH69" s="62">
        <f t="shared" si="62"/>
        <v>616.25867712785157</v>
      </c>
      <c r="BI69" s="62">
        <f ca="1">AVERAGE(OFFSET($BH$3,0,0,'Données projet'!$E$11+1,1))-AVERAGE(OFFSET($H$3,0,0,'Données projet'!$E$11+1,1))</f>
        <v>259.74478933784656</v>
      </c>
      <c r="BJ69" s="62">
        <f t="shared" ref="BJ69:BJ132" si="92">$BJ$3</f>
        <v>223.74038909289646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214.80000000000004</v>
      </c>
      <c r="BZ69" s="14">
        <f>BY69*VLOOKUP('Données projet'!$B$12,Paramètres!$A$1:$I$89,3,0)*VLOOKUP('Données projet'!$B$12,Paramètres!$A$1:$I$89,5,0)</f>
        <v>217.80720000000005</v>
      </c>
      <c r="CA69" s="14">
        <f t="shared" ref="CA69:CA132" si="93">EXP(-1.0587+0.8836*LN(BZ69)+0.284)</f>
        <v>53.638013973813976</v>
      </c>
      <c r="CB69" s="22">
        <f t="shared" si="64"/>
        <v>472.76708100439265</v>
      </c>
      <c r="CC69" s="62">
        <f t="shared" si="65"/>
        <v>766.10041433772597</v>
      </c>
      <c r="CD69" s="62">
        <f ca="1">AVERAGE(OFFSET($CC$3,0,0,'Données projet'!$E$12+1,1))-AVERAGE(OFFSET($H$3,0,0,'Données projet'!$E$12+1,1))</f>
        <v>411.75894069172358</v>
      </c>
      <c r="CE69" s="62">
        <f t="shared" ref="CE69:CE132" si="94">$CE$3</f>
        <v>256.4377087753457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1.1148014335733405</v>
      </c>
      <c r="CM69" s="23">
        <f>EXP(-LN(2)/2)*CM68+(1-EXP(-LN(2)/2))/(LN(2)/2)*CG69*CJ69*VLOOKUP('Données projet'!$B$12,Paramètres!$A$1:$I$89,3,0)*0.475*44/12</f>
        <v>5.3649991927051531E-5</v>
      </c>
      <c r="CN69" s="24">
        <f t="shared" si="66"/>
        <v>1.1148550835652675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221.60000000000005</v>
      </c>
      <c r="O70" s="14">
        <f>N70*VLOOKUP('Données projet'!$B$9,Paramètres!$A$1:$I$89,3,0)*VLOOKUP('Données projet'!$B$9,Paramètres!$A$1:$I$89,5,0)</f>
        <v>200.50368000000003</v>
      </c>
      <c r="P70" s="14">
        <f t="shared" si="87"/>
        <v>49.854845135229887</v>
      </c>
      <c r="Q70" s="22">
        <f t="shared" si="54"/>
        <v>436.04109794385869</v>
      </c>
      <c r="R70" s="62">
        <f t="shared" si="55"/>
        <v>729.374431277192</v>
      </c>
      <c r="S70" s="62">
        <f ca="1">AVERAGE(OFFSET($R$3,0,0,'Données projet'!$E$9+1,1))-AVERAGE(OFFSET($H$3,0,0,'Données projet'!$E$9+1,1))</f>
        <v>371.75294069149942</v>
      </c>
      <c r="T70" s="62">
        <f t="shared" si="88"/>
        <v>233.32640143610547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0.96754451577461886</v>
      </c>
      <c r="AB70" s="23">
        <f>EXP(-LN(2)/2)*AB69+(1-EXP(-LN(2)/2))/(LN(2)/2)*V70*Y70*VLOOKUP('Données projet'!$B$9,Paramètres!$A$1:$I$89,3,0)*0.475*44/12</f>
        <v>3.3850828306597793E-5</v>
      </c>
      <c r="AC70" s="24">
        <f t="shared" si="57"/>
        <v>0.96757836660292551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186.67584000000005</v>
      </c>
      <c r="AK70" s="14">
        <f t="shared" si="89"/>
        <v>46.804275023026975</v>
      </c>
      <c r="AL70" s="22">
        <f t="shared" si="58"/>
        <v>406.64453366510543</v>
      </c>
      <c r="AM70" s="62">
        <f t="shared" si="59"/>
        <v>699.97786699843869</v>
      </c>
      <c r="AN70" s="62">
        <f ca="1">AVERAGE(OFFSET($AM$3,0,0,'Données projet'!$E$10+1,1))-AVERAGE(OFFSET($H$3,0,0,'Données projet'!$E$10+1,1))</f>
        <v>348.84749506659495</v>
      </c>
      <c r="AO70" s="62">
        <f t="shared" si="90"/>
        <v>220.09202639602199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0.900817307790162</v>
      </c>
      <c r="AW70" s="23">
        <f>EXP(-LN(2)/2)*AW69+(1-EXP(-LN(2)/2))/(LN(2)/2)*AQ70*AT70*VLOOKUP('Données projet'!$B$10,Paramètres!$A$1:$I$89,3,0)*0.475*44/12</f>
        <v>3.1516288423384163E-5</v>
      </c>
      <c r="AX70" s="23">
        <f t="shared" si="60"/>
        <v>0.90084882407858535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7.5</v>
      </c>
      <c r="BD70" s="13">
        <f>IF('Données projet'!$A$88&gt;35,BD69+BC70-BL69,IF(A70&lt;'Données projet'!$A$88,$BA$205^A70,IF(A70='Données projet'!$A$88,'Données projet'!$B$88,BD69+BC70-BL69)))</f>
        <v>322.5</v>
      </c>
      <c r="BE70" s="14">
        <f>BD70*VLOOKUP('Données projet'!$B$11,Paramètres!$A$1:$I$89,3,0)*VLOOKUP('Données projet'!$B$11,Paramètres!$A$1:$I$89,5,0)</f>
        <v>150.93</v>
      </c>
      <c r="BF70" s="14">
        <f t="shared" si="91"/>
        <v>38.789855371379076</v>
      </c>
      <c r="BG70" s="22">
        <f t="shared" si="61"/>
        <v>330.4287481051519</v>
      </c>
      <c r="BH70" s="62">
        <f t="shared" si="62"/>
        <v>623.76208143848521</v>
      </c>
      <c r="BI70" s="62">
        <f ca="1">AVERAGE(OFFSET($BH$3,0,0,'Données projet'!$E$11+1,1))-AVERAGE(OFFSET($H$3,0,0,'Données projet'!$E$11+1,1))</f>
        <v>259.74478933784656</v>
      </c>
      <c r="BJ70" s="62">
        <f t="shared" si="92"/>
        <v>223.74038909289646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221.60000000000005</v>
      </c>
      <c r="BZ70" s="14">
        <f>BY70*VLOOKUP('Données projet'!$B$12,Paramètres!$A$1:$I$89,3,0)*VLOOKUP('Données projet'!$B$12,Paramètres!$A$1:$I$89,5,0)</f>
        <v>224.7024000000001</v>
      </c>
      <c r="CA70" s="14">
        <f t="shared" si="93"/>
        <v>55.135667706678312</v>
      </c>
      <c r="CB70" s="22">
        <f t="shared" si="64"/>
        <v>487.38463458913157</v>
      </c>
      <c r="CC70" s="62">
        <f t="shared" si="65"/>
        <v>780.71796792246482</v>
      </c>
      <c r="CD70" s="62">
        <f ca="1">AVERAGE(OFFSET($CC$3,0,0,'Données projet'!$E$12+1,1))-AVERAGE(OFFSET($H$3,0,0,'Données projet'!$E$12+1,1))</f>
        <v>411.75894069172358</v>
      </c>
      <c r="CE70" s="62">
        <f t="shared" si="94"/>
        <v>256.4377087753457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1.0843171297474181</v>
      </c>
      <c r="CM70" s="23">
        <f>EXP(-LN(2)/2)*CM69+(1-EXP(-LN(2)/2))/(LN(2)/2)*CG70*CJ70*VLOOKUP('Données projet'!$B$12,Paramètres!$A$1:$I$89,3,0)*0.475*44/12</f>
        <v>3.7936273102221668E-5</v>
      </c>
      <c r="CN70" s="24">
        <f t="shared" si="66"/>
        <v>1.0843550660205203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228.40000000000006</v>
      </c>
      <c r="O71" s="14">
        <f>N71*VLOOKUP('Données projet'!$B$9,Paramètres!$A$1:$I$89,3,0)*VLOOKUP('Données projet'!$B$9,Paramètres!$A$1:$I$89,5,0)</f>
        <v>206.65632000000005</v>
      </c>
      <c r="P71" s="14">
        <f t="shared" si="87"/>
        <v>51.20422634371338</v>
      </c>
      <c r="Q71" s="22">
        <f t="shared" si="54"/>
        <v>449.10711821530089</v>
      </c>
      <c r="R71" s="62">
        <f t="shared" si="55"/>
        <v>742.4404515486342</v>
      </c>
      <c r="S71" s="62">
        <f ca="1">AVERAGE(OFFSET($R$3,0,0,'Données projet'!$E$9+1,1))-AVERAGE(OFFSET($H$3,0,0,'Données projet'!$E$9+1,1))</f>
        <v>371.75294069149942</v>
      </c>
      <c r="T71" s="62">
        <f t="shared" si="88"/>
        <v>233.32640143610547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0.94108696010980719</v>
      </c>
      <c r="AB71" s="23">
        <f>EXP(-LN(2)/2)*AB70+(1-EXP(-LN(2)/2))/(LN(2)/2)*V71*Y71*VLOOKUP('Données projet'!$B$9,Paramètres!$A$1:$I$89,3,0)*0.475*44/12</f>
        <v>2.3936150244376835E-5</v>
      </c>
      <c r="AC71" s="24">
        <f t="shared" si="57"/>
        <v>0.94111089626005162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192.40416000000008</v>
      </c>
      <c r="AK71" s="14">
        <f t="shared" si="89"/>
        <v>48.071088890795593</v>
      </c>
      <c r="AL71" s="22">
        <f t="shared" si="58"/>
        <v>418.82772515146917</v>
      </c>
      <c r="AM71" s="62">
        <f t="shared" si="59"/>
        <v>712.16105848480242</v>
      </c>
      <c r="AN71" s="62">
        <f ca="1">AVERAGE(OFFSET($AM$3,0,0,'Données projet'!$E$10+1,1))-AVERAGE(OFFSET($H$3,0,0,'Données projet'!$E$10+1,1))</f>
        <v>348.84749506659495</v>
      </c>
      <c r="AO71" s="62">
        <f t="shared" si="90"/>
        <v>220.09202639602199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0.87618441113671663</v>
      </c>
      <c r="AW71" s="23">
        <f>EXP(-LN(2)/2)*AW70+(1-EXP(-LN(2)/2))/(LN(2)/2)*AQ71*AT71*VLOOKUP('Données projet'!$B$10,Paramètres!$A$1:$I$89,3,0)*0.475*44/12</f>
        <v>2.2285381262006027E-5</v>
      </c>
      <c r="AX71" s="23">
        <f t="shared" si="60"/>
        <v>0.87620669651797867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7.5</v>
      </c>
      <c r="BD71" s="13">
        <f>IF('Données projet'!$A$88&gt;35,BD70+BC71-BL70,IF(A71&lt;'Données projet'!$A$88,$BA$205^A71,IF(A71='Données projet'!$A$88,'Données projet'!$B$88,BD70+BC71-BL70)))</f>
        <v>330</v>
      </c>
      <c r="BE71" s="14">
        <f>BD71*VLOOKUP('Données projet'!$B$11,Paramètres!$A$1:$I$89,3,0)*VLOOKUP('Données projet'!$B$11,Paramètres!$A$1:$I$89,5,0)</f>
        <v>154.44</v>
      </c>
      <c r="BF71" s="14">
        <f t="shared" si="91"/>
        <v>39.58587217095549</v>
      </c>
      <c r="BG71" s="22">
        <f t="shared" si="61"/>
        <v>337.92839403108081</v>
      </c>
      <c r="BH71" s="62">
        <f t="shared" si="62"/>
        <v>631.26172736441413</v>
      </c>
      <c r="BI71" s="62">
        <f ca="1">AVERAGE(OFFSET($BH$3,0,0,'Données projet'!$E$11+1,1))-AVERAGE(OFFSET($H$3,0,0,'Données projet'!$E$11+1,1))</f>
        <v>259.74478933784656</v>
      </c>
      <c r="BJ71" s="62">
        <f t="shared" si="92"/>
        <v>223.74038909289646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228.40000000000006</v>
      </c>
      <c r="BZ71" s="14">
        <f>BY71*VLOOKUP('Données projet'!$B$12,Paramètres!$A$1:$I$89,3,0)*VLOOKUP('Données projet'!$B$12,Paramètres!$A$1:$I$89,5,0)</f>
        <v>231.59760000000006</v>
      </c>
      <c r="CA71" s="14">
        <f t="shared" si="93"/>
        <v>56.627980714948151</v>
      </c>
      <c r="CB71" s="22">
        <f t="shared" si="64"/>
        <v>501.99288641186803</v>
      </c>
      <c r="CC71" s="62">
        <f t="shared" si="65"/>
        <v>795.32621974520134</v>
      </c>
      <c r="CD71" s="62">
        <f ca="1">AVERAGE(OFFSET($CC$3,0,0,'Données projet'!$E$12+1,1))-AVERAGE(OFFSET($H$3,0,0,'Données projet'!$E$12+1,1))</f>
        <v>411.75894069172358</v>
      </c>
      <c r="CE71" s="62">
        <f t="shared" si="94"/>
        <v>256.4377087753457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1.0546664208127154</v>
      </c>
      <c r="CM71" s="23">
        <f>EXP(-LN(2)/2)*CM70+(1-EXP(-LN(2)/2))/(LN(2)/2)*CG71*CJ71*VLOOKUP('Données projet'!$B$12,Paramètres!$A$1:$I$89,3,0)*0.475*44/12</f>
        <v>2.6824995963525766E-5</v>
      </c>
      <c r="CN71" s="24">
        <f t="shared" si="66"/>
        <v>1.0546932458086791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235.20000000000007</v>
      </c>
      <c r="O72" s="14">
        <f>N72*VLOOKUP('Données projet'!$B$9,Paramètres!$A$1:$I$89,3,0)*VLOOKUP('Données projet'!$B$9,Paramètres!$A$1:$I$89,5,0)</f>
        <v>212.80896000000004</v>
      </c>
      <c r="P72" s="14">
        <f t="shared" si="87"/>
        <v>52.54893863748589</v>
      </c>
      <c r="Q72" s="22">
        <f t="shared" si="54"/>
        <v>462.16500679362139</v>
      </c>
      <c r="R72" s="62">
        <f t="shared" si="55"/>
        <v>755.49834012695464</v>
      </c>
      <c r="S72" s="62">
        <f ca="1">AVERAGE(OFFSET($R$3,0,0,'Données projet'!$E$9+1,1))-AVERAGE(OFFSET($H$3,0,0,'Données projet'!$E$9+1,1))</f>
        <v>371.75294069149942</v>
      </c>
      <c r="T72" s="62">
        <f t="shared" si="88"/>
        <v>233.32640143610547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0.91535288769599221</v>
      </c>
      <c r="AB72" s="23">
        <f>EXP(-LN(2)/2)*AB71+(1-EXP(-LN(2)/2))/(LN(2)/2)*V72*Y72*VLOOKUP('Données projet'!$B$9,Paramètres!$A$1:$I$89,3,0)*0.475*44/12</f>
        <v>1.6925414153298897E-5</v>
      </c>
      <c r="AC72" s="24">
        <f t="shared" si="57"/>
        <v>0.91536981311014554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198.1324800000001</v>
      </c>
      <c r="AK72" s="14">
        <f t="shared" si="89"/>
        <v>49.333519530262137</v>
      </c>
      <c r="AL72" s="22">
        <f t="shared" si="58"/>
        <v>431.00328251520676</v>
      </c>
      <c r="AM72" s="62">
        <f t="shared" si="59"/>
        <v>724.33661584854008</v>
      </c>
      <c r="AN72" s="62">
        <f ca="1">AVERAGE(OFFSET($AM$3,0,0,'Données projet'!$E$10+1,1))-AVERAGE(OFFSET($H$3,0,0,'Données projet'!$E$10+1,1))</f>
        <v>348.84749506659495</v>
      </c>
      <c r="AO72" s="62">
        <f t="shared" si="90"/>
        <v>220.09202639602199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0.85222510233764748</v>
      </c>
      <c r="AW72" s="23">
        <f>EXP(-LN(2)/2)*AW71+(1-EXP(-LN(2)/2))/(LN(2)/2)*AQ72*AT72*VLOOKUP('Données projet'!$B$10,Paramètres!$A$1:$I$89,3,0)*0.475*44/12</f>
        <v>1.5758144211692081E-5</v>
      </c>
      <c r="AX72" s="23">
        <f t="shared" si="60"/>
        <v>0.85224086048185921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7.5</v>
      </c>
      <c r="BD72" s="13">
        <f>IF('Données projet'!$A$88&gt;35,BD71+BC72-BL71,IF(A72&lt;'Données projet'!$A$88,$BA$205^A72,IF(A72='Données projet'!$A$88,'Données projet'!$B$88,BD71+BC72-BL71)))</f>
        <v>337.5</v>
      </c>
      <c r="BE72" s="14">
        <f>BD72*VLOOKUP('Données projet'!$B$11,Paramètres!$A$1:$I$89,3,0)*VLOOKUP('Données projet'!$B$11,Paramètres!$A$1:$I$89,5,0)</f>
        <v>157.95000000000002</v>
      </c>
      <c r="BF72" s="14">
        <f t="shared" si="91"/>
        <v>40.379785735878301</v>
      </c>
      <c r="BG72" s="22">
        <f t="shared" si="61"/>
        <v>345.42437682332138</v>
      </c>
      <c r="BH72" s="62">
        <f t="shared" si="62"/>
        <v>638.75771015665464</v>
      </c>
      <c r="BI72" s="62">
        <f ca="1">AVERAGE(OFFSET($BH$3,0,0,'Données projet'!$E$11+1,1))-AVERAGE(OFFSET($H$3,0,0,'Données projet'!$E$11+1,1))</f>
        <v>259.74478933784656</v>
      </c>
      <c r="BJ72" s="62">
        <f t="shared" si="92"/>
        <v>223.74038909289646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235.20000000000007</v>
      </c>
      <c r="BZ72" s="14">
        <f>BY72*VLOOKUP('Données projet'!$B$12,Paramètres!$A$1:$I$89,3,0)*VLOOKUP('Données projet'!$B$12,Paramètres!$A$1:$I$89,5,0)</f>
        <v>238.4928000000001</v>
      </c>
      <c r="CA72" s="14">
        <f t="shared" si="93"/>
        <v>58.115130258576592</v>
      </c>
      <c r="CB72" s="22">
        <f t="shared" si="64"/>
        <v>516.59214520035437</v>
      </c>
      <c r="CC72" s="62">
        <f t="shared" si="65"/>
        <v>809.92547853368774</v>
      </c>
      <c r="CD72" s="62">
        <f ca="1">AVERAGE(OFFSET($CC$3,0,0,'Données projet'!$E$12+1,1))-AVERAGE(OFFSET($H$3,0,0,'Données projet'!$E$12+1,1))</f>
        <v>411.75894069172358</v>
      </c>
      <c r="CE72" s="62">
        <f t="shared" si="94"/>
        <v>256.4377087753457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1.0258265120730952</v>
      </c>
      <c r="CM72" s="23">
        <f>EXP(-LN(2)/2)*CM71+(1-EXP(-LN(2)/2))/(LN(2)/2)*CG72*CJ72*VLOOKUP('Données projet'!$B$12,Paramètres!$A$1:$I$89,3,0)*0.475*44/12</f>
        <v>1.8968136551110834E-5</v>
      </c>
      <c r="CN72" s="24">
        <f t="shared" si="66"/>
        <v>1.0258454802096462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242.00000000000009</v>
      </c>
      <c r="O73" s="14">
        <f>N73*VLOOKUP('Données projet'!$B$9,Paramètres!$A$1:$I$89,3,0)*VLOOKUP('Données projet'!$B$9,Paramètres!$A$1:$I$89,5,0)</f>
        <v>218.96160000000006</v>
      </c>
      <c r="P73" s="14">
        <f t="shared" si="87"/>
        <v>53.88913250370743</v>
      </c>
      <c r="Q73" s="22">
        <f t="shared" si="54"/>
        <v>475.21502577729046</v>
      </c>
      <c r="R73" s="62">
        <f t="shared" si="55"/>
        <v>768.54835911062378</v>
      </c>
      <c r="S73" s="62">
        <f ca="1">AVERAGE(OFFSET($R$3,0,0,'Données projet'!$E$9+1,1))-AVERAGE(OFFSET($H$3,0,0,'Données projet'!$E$9+1,1))</f>
        <v>371.75294069149942</v>
      </c>
      <c r="T73" s="62">
        <f t="shared" si="88"/>
        <v>233.32640143610547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0.89032251484562897</v>
      </c>
      <c r="AB73" s="23">
        <f>EXP(-LN(2)/2)*AB72+(1-EXP(-LN(2)/2))/(LN(2)/2)*V73*Y73*VLOOKUP('Données projet'!$B$9,Paramètres!$A$1:$I$89,3,0)*0.475*44/12</f>
        <v>1.1968075122188417E-5</v>
      </c>
      <c r="AC73" s="24">
        <f t="shared" si="57"/>
        <v>0.89033448292075112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203.8608000000001</v>
      </c>
      <c r="AK73" s="14">
        <f t="shared" si="89"/>
        <v>50.591708220421786</v>
      </c>
      <c r="AL73" s="22">
        <f t="shared" si="58"/>
        <v>443.17145181723475</v>
      </c>
      <c r="AM73" s="62">
        <f t="shared" si="59"/>
        <v>736.50478515056807</v>
      </c>
      <c r="AN73" s="62">
        <f ca="1">AVERAGE(OFFSET($AM$3,0,0,'Données projet'!$E$10+1,1))-AVERAGE(OFFSET($H$3,0,0,'Données projet'!$E$10+1,1))</f>
        <v>348.84749506659495</v>
      </c>
      <c r="AO73" s="62">
        <f t="shared" si="90"/>
        <v>220.09202639602199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0.8289209620976542</v>
      </c>
      <c r="AW73" s="23">
        <f>EXP(-LN(2)/2)*AW72+(1-EXP(-LN(2)/2))/(LN(2)/2)*AQ73*AT73*VLOOKUP('Données projet'!$B$10,Paramètres!$A$1:$I$89,3,0)*0.475*44/12</f>
        <v>1.1142690631003013E-5</v>
      </c>
      <c r="AX73" s="23">
        <f t="shared" si="60"/>
        <v>0.82893210478828516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345</v>
      </c>
      <c r="BB73" s="13">
        <f>VLOOKUP(A73,'Données projet'!$A$87:$I$107,9,0)</f>
        <v>7.5</v>
      </c>
      <c r="BC73" s="13">
        <f t="array" ref="BC73">INDEX(BB:BB,MIN(IF(ISNUMBER(BB73:BB269),ROW(BB73:BB269),"")))</f>
        <v>7.5</v>
      </c>
      <c r="BD73" s="13">
        <f>IF('Données projet'!$A$88&gt;35,BD72+BC73-BL72,IF(A73&lt;'Données projet'!$A$88,$BA$205^A73,IF(A73='Données projet'!$A$88,'Données projet'!$B$88,BD72+BC73-BL72)))</f>
        <v>345</v>
      </c>
      <c r="BE73" s="14">
        <f>BD73*VLOOKUP('Données projet'!$B$11,Paramètres!$A$1:$I$89,3,0)*VLOOKUP('Données projet'!$B$11,Paramètres!$A$1:$I$89,5,0)</f>
        <v>161.45999999999998</v>
      </c>
      <c r="BF73" s="14">
        <f t="shared" si="91"/>
        <v>41.171648186302534</v>
      </c>
      <c r="BG73" s="22">
        <f t="shared" si="61"/>
        <v>352.9167872578102</v>
      </c>
      <c r="BH73" s="62">
        <f t="shared" si="62"/>
        <v>646.25012059114351</v>
      </c>
      <c r="BI73" s="62">
        <f ca="1">AVERAGE(OFFSET($BH$3,0,0,'Données projet'!$E$11+1,1))-AVERAGE(OFFSET($H$3,0,0,'Données projet'!$E$11+1,1))</f>
        <v>259.74478933784656</v>
      </c>
      <c r="BJ73" s="62">
        <f t="shared" si="92"/>
        <v>223.74038909289646</v>
      </c>
      <c r="BK73" s="16">
        <f>IF(ISNA(VLOOKUP(A73,'Données projet'!$A$87:$I$107,3,0)),0,VLOOKUP(A73,'Données projet'!$A$87:$I$107,3,0))</f>
        <v>6</v>
      </c>
      <c r="BL73" s="16">
        <f>IF(ISNA(VLOOKUP(A73,'Données projet'!$A$87:$I$107,4,0)),0,VLOOKUP(A73,'Données projet'!$A$87:$I$107,4,0))</f>
        <v>69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242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242.00000000000009</v>
      </c>
      <c r="BZ73" s="14">
        <f>BY73*VLOOKUP('Données projet'!$B$12,Paramètres!$A$1:$I$89,3,0)*VLOOKUP('Données projet'!$B$12,Paramètres!$A$1:$I$89,5,0)</f>
        <v>245.38800000000012</v>
      </c>
      <c r="CA73" s="14">
        <f t="shared" si="93"/>
        <v>59.597282764919569</v>
      </c>
      <c r="CB73" s="22">
        <f t="shared" si="64"/>
        <v>531.18270081556841</v>
      </c>
      <c r="CC73" s="62">
        <f t="shared" si="65"/>
        <v>824.51603414890178</v>
      </c>
      <c r="CD73" s="62">
        <f ca="1">AVERAGE(OFFSET($CC$3,0,0,'Données projet'!$E$12+1,1))-AVERAGE(OFFSET($H$3,0,0,'Données projet'!$E$12+1,1))</f>
        <v>411.75894069172358</v>
      </c>
      <c r="CE73" s="62">
        <f t="shared" si="94"/>
        <v>256.4377087753457</v>
      </c>
      <c r="CF73" s="16">
        <f>IF(ISNA(VLOOKUP(A73,'Données projet'!$A$113:$I$133,3,0)),0,VLOOKUP(A73,'Données projet'!$A$113:$I$133,3,0))</f>
        <v>10</v>
      </c>
      <c r="CG73" s="16">
        <f>IF(ISNA(VLOOKUP(A73,'Données projet'!$A$113:$I$133,4,0)),0,VLOOKUP(A73,'Données projet'!$A$113:$I$133,4,0))</f>
        <v>21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0.99777523215458463</v>
      </c>
      <c r="CM73" s="23">
        <f>EXP(-LN(2)/2)*CM72+(1-EXP(-LN(2)/2))/(LN(2)/2)*CG73*CJ73*VLOOKUP('Données projet'!$B$12,Paramètres!$A$1:$I$89,3,0)*0.475*44/12</f>
        <v>1.3412497981762883E-5</v>
      </c>
      <c r="CN73" s="24">
        <f t="shared" si="66"/>
        <v>0.99778864465256645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6.4</v>
      </c>
      <c r="N74" s="14">
        <f>IF('Données projet'!$A$36&gt;35,N73+M74-V73,IF(A74&lt;'Données projet'!$A$36,$K$205^A74,IF(A74='Données projet'!$A$36,'Données projet'!$B$36,N73+M74-V73)))</f>
        <v>227.40000000000009</v>
      </c>
      <c r="O74" s="14">
        <f>N74*VLOOKUP('Données projet'!$B$9,Paramètres!$A$1:$I$89,3,0)*VLOOKUP('Données projet'!$B$9,Paramètres!$A$1:$I$89,5,0)</f>
        <v>205.75152000000008</v>
      </c>
      <c r="P74" s="14">
        <f t="shared" si="87"/>
        <v>51.006084477955554</v>
      </c>
      <c r="Q74" s="22">
        <f t="shared" si="54"/>
        <v>447.18616113243934</v>
      </c>
      <c r="R74" s="62">
        <f t="shared" si="55"/>
        <v>740.5194944657726</v>
      </c>
      <c r="S74" s="62">
        <f ca="1">AVERAGE(OFFSET($R$3,0,0,'Données projet'!$E$9+1,1))-AVERAGE(OFFSET($H$3,0,0,'Données projet'!$E$9+1,1))</f>
        <v>371.75294069149942</v>
      </c>
      <c r="T74" s="62">
        <f t="shared" si="88"/>
        <v>233.32640143610547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0.86597659885714906</v>
      </c>
      <c r="AB74" s="23">
        <f>EXP(-LN(2)/2)*AB73+(1-EXP(-LN(2)/2))/(LN(2)/2)*V74*Y74*VLOOKUP('Données projet'!$B$9,Paramètres!$A$1:$I$89,3,0)*0.475*44/12</f>
        <v>8.4627070766494483E-6</v>
      </c>
      <c r="AC74" s="24">
        <f t="shared" si="57"/>
        <v>0.86598506156422572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191.56176000000011</v>
      </c>
      <c r="AK74" s="14">
        <f t="shared" si="89"/>
        <v>47.885071135583438</v>
      </c>
      <c r="AL74" s="22">
        <f t="shared" si="58"/>
        <v>417.03656422780801</v>
      </c>
      <c r="AM74" s="62">
        <f t="shared" si="59"/>
        <v>710.36989756114133</v>
      </c>
      <c r="AN74" s="62">
        <f ca="1">AVERAGE(OFFSET($AM$3,0,0,'Données projet'!$E$10+1,1))-AVERAGE(OFFSET($H$3,0,0,'Données projet'!$E$10+1,1))</f>
        <v>348.84749506659495</v>
      </c>
      <c r="AO74" s="62">
        <f t="shared" si="90"/>
        <v>220.09202639602199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0.80625407479803501</v>
      </c>
      <c r="AW74" s="23">
        <f>EXP(-LN(2)/2)*AW73+(1-EXP(-LN(2)/2))/(LN(2)/2)*AQ74*AT74*VLOOKUP('Données projet'!$B$10,Paramètres!$A$1:$I$89,3,0)*0.475*44/12</f>
        <v>7.8790721058460407E-6</v>
      </c>
      <c r="AX74" s="23">
        <f t="shared" si="60"/>
        <v>0.80626195387014088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7.7</v>
      </c>
      <c r="BD74" s="13">
        <f>IF('Données projet'!$A$88&gt;35,BD73+BC74-BL73,IF(A74&lt;'Données projet'!$A$88,$BA$205^A74,IF(A74='Données projet'!$A$88,'Données projet'!$B$88,BD73+BC74-BL73)))</f>
        <v>283.7</v>
      </c>
      <c r="BE74" s="14">
        <f>BD74*VLOOKUP('Données projet'!$B$11,Paramètres!$A$1:$I$89,3,0)*VLOOKUP('Données projet'!$B$11,Paramètres!$A$1:$I$89,5,0)</f>
        <v>132.77160000000001</v>
      </c>
      <c r="BF74" s="14">
        <f t="shared" si="91"/>
        <v>34.63600628318656</v>
      </c>
      <c r="BG74" s="22">
        <f t="shared" si="61"/>
        <v>291.56824760988326</v>
      </c>
      <c r="BH74" s="62">
        <f t="shared" si="62"/>
        <v>584.90158094321657</v>
      </c>
      <c r="BI74" s="62">
        <f ca="1">AVERAGE(OFFSET($BH$3,0,0,'Données projet'!$E$11+1,1))-AVERAGE(OFFSET($H$3,0,0,'Données projet'!$E$11+1,1))</f>
        <v>259.74478933784656</v>
      </c>
      <c r="BJ74" s="62">
        <f t="shared" si="92"/>
        <v>223.74038909289646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6.4</v>
      </c>
      <c r="BY74" s="13">
        <f>IF('Données projet'!$A$114&gt;35,BY73+BX74-CG73,IF(A74&lt;'Données projet'!$A$114,$BV$205^A74,IF(A74='Données projet'!$A$114,'Données projet'!$B$114,BY73+BX74-CG73)))</f>
        <v>227.40000000000009</v>
      </c>
      <c r="BZ74" s="14">
        <f>BY74*VLOOKUP('Données projet'!$B$12,Paramètres!$A$1:$I$89,3,0)*VLOOKUP('Données projet'!$B$12,Paramètres!$A$1:$I$89,5,0)</f>
        <v>230.5836000000001</v>
      </c>
      <c r="CA74" s="14">
        <f t="shared" si="93"/>
        <v>56.408850878328018</v>
      </c>
      <c r="CB74" s="22">
        <f t="shared" si="64"/>
        <v>499.84518527975473</v>
      </c>
      <c r="CC74" s="62">
        <f t="shared" si="65"/>
        <v>793.17851861308804</v>
      </c>
      <c r="CD74" s="62">
        <f ca="1">AVERAGE(OFFSET($CC$3,0,0,'Données projet'!$E$12+1,1))-AVERAGE(OFFSET($H$3,0,0,'Données projet'!$E$12+1,1))</f>
        <v>411.75894069172358</v>
      </c>
      <c r="CE74" s="62">
        <f t="shared" si="94"/>
        <v>256.4377087753457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0.9704910159605985</v>
      </c>
      <c r="CM74" s="23">
        <f>EXP(-LN(2)/2)*CM73+(1-EXP(-LN(2)/2))/(LN(2)/2)*CG74*CJ74*VLOOKUP('Données projet'!$B$12,Paramètres!$A$1:$I$89,3,0)*0.475*44/12</f>
        <v>9.4840682755554171E-6</v>
      </c>
      <c r="CN74" s="24">
        <f t="shared" si="66"/>
        <v>0.970500500028874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6.4</v>
      </c>
      <c r="N75" s="14">
        <f>IF('Données projet'!$A$36&gt;35,N74+M75-V74,IF(A75&lt;'Données projet'!$A$36,$K$205^A75,IF(A75='Données projet'!$A$36,'Données projet'!$B$36,N74+M75-V74)))</f>
        <v>233.8000000000001</v>
      </c>
      <c r="O75" s="14">
        <f>N75*VLOOKUP('Données projet'!$B$9,Paramètres!$A$1:$I$89,3,0)*VLOOKUP('Données projet'!$B$9,Paramètres!$A$1:$I$89,5,0)</f>
        <v>211.54224000000008</v>
      </c>
      <c r="P75" s="14">
        <f t="shared" si="87"/>
        <v>52.272460284041784</v>
      </c>
      <c r="Q75" s="22">
        <f t="shared" si="54"/>
        <v>459.47726966137287</v>
      </c>
      <c r="R75" s="62">
        <f t="shared" si="55"/>
        <v>752.81060299470619</v>
      </c>
      <c r="S75" s="62">
        <f ca="1">AVERAGE(OFFSET($R$3,0,0,'Données projet'!$E$9+1,1))-AVERAGE(OFFSET($H$3,0,0,'Données projet'!$E$9+1,1))</f>
        <v>371.75294069149942</v>
      </c>
      <c r="T75" s="62">
        <f t="shared" si="88"/>
        <v>233.32640143610547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0.8422964232216702</v>
      </c>
      <c r="AB75" s="23">
        <f>EXP(-LN(2)/2)*AB74+(1-EXP(-LN(2)/2))/(LN(2)/2)*V75*Y75*VLOOKUP('Données projet'!$B$9,Paramètres!$A$1:$I$89,3,0)*0.475*44/12</f>
        <v>5.9840375610942087E-6</v>
      </c>
      <c r="AC75" s="24">
        <f t="shared" si="57"/>
        <v>0.84230240725923133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196.9531200000001</v>
      </c>
      <c r="AK75" s="14">
        <f t="shared" si="89"/>
        <v>49.073958621840674</v>
      </c>
      <c r="AL75" s="22">
        <f t="shared" si="58"/>
        <v>428.49716193303931</v>
      </c>
      <c r="AM75" s="62">
        <f t="shared" si="59"/>
        <v>721.83049526637262</v>
      </c>
      <c r="AN75" s="62">
        <f ca="1">AVERAGE(OFFSET($AM$3,0,0,'Données projet'!$E$10+1,1))-AVERAGE(OFFSET($H$3,0,0,'Données projet'!$E$10+1,1))</f>
        <v>348.84749506659495</v>
      </c>
      <c r="AO75" s="62">
        <f t="shared" si="90"/>
        <v>220.09202639602199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0.78420701472362364</v>
      </c>
      <c r="AW75" s="23">
        <f>EXP(-LN(2)/2)*AW74+(1-EXP(-LN(2)/2))/(LN(2)/2)*AQ75*AT75*VLOOKUP('Données projet'!$B$10,Paramètres!$A$1:$I$89,3,0)*0.475*44/12</f>
        <v>5.5713453155015067E-6</v>
      </c>
      <c r="AX75" s="23">
        <f t="shared" si="60"/>
        <v>0.78421258606893918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7.7</v>
      </c>
      <c r="BD75" s="13">
        <f>IF('Données projet'!$A$88&gt;35,BD74+BC75-BL74,IF(A75&lt;'Données projet'!$A$88,$BA$205^A75,IF(A75='Données projet'!$A$88,'Données projet'!$B$88,BD74+BC75-BL74)))</f>
        <v>291.39999999999998</v>
      </c>
      <c r="BE75" s="14">
        <f>BD75*VLOOKUP('Données projet'!$B$11,Paramètres!$A$1:$I$89,3,0)*VLOOKUP('Données projet'!$B$11,Paramètres!$A$1:$I$89,5,0)</f>
        <v>136.37519999999998</v>
      </c>
      <c r="BF75" s="14">
        <f t="shared" si="91"/>
        <v>35.465351191683979</v>
      </c>
      <c r="BG75" s="22">
        <f t="shared" si="61"/>
        <v>299.28895999218292</v>
      </c>
      <c r="BH75" s="62">
        <f t="shared" si="62"/>
        <v>592.62229332551624</v>
      </c>
      <c r="BI75" s="62">
        <f ca="1">AVERAGE(OFFSET($BH$3,0,0,'Données projet'!$E$11+1,1))-AVERAGE(OFFSET($H$3,0,0,'Données projet'!$E$11+1,1))</f>
        <v>259.74478933784656</v>
      </c>
      <c r="BJ75" s="62">
        <f t="shared" si="92"/>
        <v>223.74038909289646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6.4</v>
      </c>
      <c r="BY75" s="13">
        <f>IF('Données projet'!$A$114&gt;35,BY74+BX75-CG74,IF(A75&lt;'Données projet'!$A$114,$BV$205^A75,IF(A75='Données projet'!$A$114,'Données projet'!$B$114,BY74+BX75-CG74)))</f>
        <v>233.8000000000001</v>
      </c>
      <c r="BZ75" s="14">
        <f>BY75*VLOOKUP('Données projet'!$B$12,Paramètres!$A$1:$I$89,3,0)*VLOOKUP('Données projet'!$B$12,Paramètres!$A$1:$I$89,5,0)</f>
        <v>237.0732000000001</v>
      </c>
      <c r="CA75" s="14">
        <f t="shared" si="93"/>
        <v>57.809366223361302</v>
      </c>
      <c r="CB75" s="22">
        <f t="shared" si="64"/>
        <v>513.58713617235435</v>
      </c>
      <c r="CC75" s="62">
        <f t="shared" si="65"/>
        <v>806.92046950568761</v>
      </c>
      <c r="CD75" s="62">
        <f ca="1">AVERAGE(OFFSET($CC$3,0,0,'Données projet'!$E$12+1,1))-AVERAGE(OFFSET($H$3,0,0,'Données projet'!$E$12+1,1))</f>
        <v>411.75894069172358</v>
      </c>
      <c r="CE75" s="62">
        <f t="shared" si="94"/>
        <v>256.4377087753457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0.94395288809325151</v>
      </c>
      <c r="CM75" s="23">
        <f>EXP(-LN(2)/2)*CM74+(1-EXP(-LN(2)/2))/(LN(2)/2)*CG75*CJ75*VLOOKUP('Données projet'!$B$12,Paramètres!$A$1:$I$89,3,0)*0.475*44/12</f>
        <v>6.7062489908814414E-6</v>
      </c>
      <c r="CN75" s="24">
        <f t="shared" si="66"/>
        <v>0.94395959434224241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6.4</v>
      </c>
      <c r="N76" s="14">
        <f>IF('Données projet'!$A$36&gt;35,N75+M76-V75,IF(A76&lt;'Données projet'!$A$36,$K$205^A76,IF(A76='Données projet'!$A$36,'Données projet'!$B$36,N75+M76-V75)))</f>
        <v>240.2000000000001</v>
      </c>
      <c r="O76" s="14">
        <f>N76*VLOOKUP('Données projet'!$B$9,Paramètres!$A$1:$I$89,3,0)*VLOOKUP('Données projet'!$B$9,Paramètres!$A$1:$I$89,5,0)</f>
        <v>217.3329600000001</v>
      </c>
      <c r="P76" s="14">
        <f t="shared" si="87"/>
        <v>53.53480691026855</v>
      </c>
      <c r="Q76" s="22">
        <f t="shared" si="54"/>
        <v>471.76136070205121</v>
      </c>
      <c r="R76" s="62">
        <f t="shared" si="55"/>
        <v>765.09469403538446</v>
      </c>
      <c r="S76" s="62">
        <f ca="1">AVERAGE(OFFSET($R$3,0,0,'Données projet'!$E$9+1,1))-AVERAGE(OFFSET($H$3,0,0,'Données projet'!$E$9+1,1))</f>
        <v>371.75294069149942</v>
      </c>
      <c r="T76" s="62">
        <f t="shared" si="88"/>
        <v>233.32640143610547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0.81926378323422977</v>
      </c>
      <c r="AB76" s="23">
        <f>EXP(-LN(2)/2)*AB75+(1-EXP(-LN(2)/2))/(LN(2)/2)*V76*Y76*VLOOKUP('Données projet'!$B$9,Paramètres!$A$1:$I$89,3,0)*0.475*44/12</f>
        <v>4.2313535383247241E-6</v>
      </c>
      <c r="AC76" s="24">
        <f t="shared" si="57"/>
        <v>0.8192680145877681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202.34448000000009</v>
      </c>
      <c r="AK76" s="14">
        <f t="shared" si="89"/>
        <v>50.259063469885916</v>
      </c>
      <c r="AL76" s="22">
        <f t="shared" si="58"/>
        <v>439.95117154338482</v>
      </c>
      <c r="AM76" s="62">
        <f t="shared" si="59"/>
        <v>733.28450487671807</v>
      </c>
      <c r="AN76" s="62">
        <f ca="1">AVERAGE(OFFSET($AM$3,0,0,'Données projet'!$E$10+1,1))-AVERAGE(OFFSET($H$3,0,0,'Données projet'!$E$10+1,1))</f>
        <v>348.84749506659495</v>
      </c>
      <c r="AO76" s="62">
        <f t="shared" si="90"/>
        <v>220.09202639602199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0.76276283266635159</v>
      </c>
      <c r="AW76" s="23">
        <f>EXP(-LN(2)/2)*AW75+(1-EXP(-LN(2)/2))/(LN(2)/2)*AQ76*AT76*VLOOKUP('Données projet'!$B$10,Paramètres!$A$1:$I$89,3,0)*0.475*44/12</f>
        <v>3.9395360529230203E-6</v>
      </c>
      <c r="AX76" s="23">
        <f t="shared" si="60"/>
        <v>0.76276677220240452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7.7</v>
      </c>
      <c r="BD76" s="13">
        <f>IF('Données projet'!$A$88&gt;35,BD75+BC76-BL75,IF(A76&lt;'Données projet'!$A$88,$BA$205^A76,IF(A76='Données projet'!$A$88,'Données projet'!$B$88,BD75+BC76-BL75)))</f>
        <v>299.09999999999997</v>
      </c>
      <c r="BE76" s="14">
        <f>BD76*VLOOKUP('Données projet'!$B$11,Paramètres!$A$1:$I$89,3,0)*VLOOKUP('Données projet'!$B$11,Paramètres!$A$1:$I$89,5,0)</f>
        <v>139.97879999999998</v>
      </c>
      <c r="BF76" s="14">
        <f t="shared" si="91"/>
        <v>36.292148829903653</v>
      </c>
      <c r="BG76" s="22">
        <f t="shared" si="61"/>
        <v>307.00523587874881</v>
      </c>
      <c r="BH76" s="62">
        <f t="shared" si="62"/>
        <v>600.33856921208212</v>
      </c>
      <c r="BI76" s="62">
        <f ca="1">AVERAGE(OFFSET($BH$3,0,0,'Données projet'!$E$11+1,1))-AVERAGE(OFFSET($H$3,0,0,'Données projet'!$E$11+1,1))</f>
        <v>259.74478933784656</v>
      </c>
      <c r="BJ76" s="62">
        <f t="shared" si="92"/>
        <v>223.74038909289646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6.4</v>
      </c>
      <c r="BY76" s="13">
        <f>IF('Données projet'!$A$114&gt;35,BY75+BX76-CG75,IF(A76&lt;'Données projet'!$A$114,$BV$205^A76,IF(A76='Données projet'!$A$114,'Données projet'!$B$114,BY75+BX76-CG75)))</f>
        <v>240.2000000000001</v>
      </c>
      <c r="BZ76" s="14">
        <f>BY76*VLOOKUP('Données projet'!$B$12,Paramètres!$A$1:$I$89,3,0)*VLOOKUP('Données projet'!$B$12,Paramètres!$A$1:$I$89,5,0)</f>
        <v>243.56280000000012</v>
      </c>
      <c r="CA76" s="14">
        <f t="shared" si="93"/>
        <v>59.205425601852873</v>
      </c>
      <c r="CB76" s="22">
        <f t="shared" si="64"/>
        <v>527.32132625656061</v>
      </c>
      <c r="CC76" s="62">
        <f t="shared" si="65"/>
        <v>820.65465958989398</v>
      </c>
      <c r="CD76" s="62">
        <f ca="1">AVERAGE(OFFSET($CC$3,0,0,'Données projet'!$E$12+1,1))-AVERAGE(OFFSET($H$3,0,0,'Données projet'!$E$12+1,1))</f>
        <v>411.75894069172358</v>
      </c>
      <c r="CE76" s="62">
        <f t="shared" si="94"/>
        <v>256.4377087753457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0.91814044672801665</v>
      </c>
      <c r="CM76" s="23">
        <f>EXP(-LN(2)/2)*CM75+(1-EXP(-LN(2)/2))/(LN(2)/2)*CG76*CJ76*VLOOKUP('Données projet'!$B$12,Paramètres!$A$1:$I$89,3,0)*0.475*44/12</f>
        <v>4.7420341377777085E-6</v>
      </c>
      <c r="CN76" s="24">
        <f t="shared" si="66"/>
        <v>0.91814518876215445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6.4</v>
      </c>
      <c r="N77" s="14">
        <f>IF('Données projet'!$A$36&gt;35,N76+M77-V76,IF(A77&lt;'Données projet'!$A$36,$K$205^A77,IF(A77='Données projet'!$A$36,'Données projet'!$B$36,N76+M77-V76)))</f>
        <v>246.60000000000011</v>
      </c>
      <c r="O77" s="14">
        <f>N77*VLOOKUP('Données projet'!$B$9,Paramètres!$A$1:$I$89,3,0)*VLOOKUP('Données projet'!$B$9,Paramètres!$A$1:$I$89,5,0)</f>
        <v>223.12368000000009</v>
      </c>
      <c r="P77" s="14">
        <f t="shared" si="87"/>
        <v>54.793244051140647</v>
      </c>
      <c r="Q77" s="22">
        <f t="shared" si="54"/>
        <v>484.03864272240349</v>
      </c>
      <c r="R77" s="62">
        <f t="shared" si="55"/>
        <v>777.37197605573681</v>
      </c>
      <c r="S77" s="62">
        <f ca="1">AVERAGE(OFFSET($R$3,0,0,'Données projet'!$E$9+1,1))-AVERAGE(OFFSET($H$3,0,0,'Données projet'!$E$9+1,1))</f>
        <v>371.75294069149942</v>
      </c>
      <c r="T77" s="62">
        <f t="shared" si="88"/>
        <v>233.32640143610547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0.79686097199847983</v>
      </c>
      <c r="AB77" s="23">
        <f>EXP(-LN(2)/2)*AB76+(1-EXP(-LN(2)/2))/(LN(2)/2)*V77*Y77*VLOOKUP('Données projet'!$B$9,Paramètres!$A$1:$I$89,3,0)*0.475*44/12</f>
        <v>2.9920187805471043E-6</v>
      </c>
      <c r="AC77" s="24">
        <f t="shared" si="57"/>
        <v>0.79686396401726034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207.73584000000011</v>
      </c>
      <c r="AK77" s="14">
        <f t="shared" si="89"/>
        <v>51.440498050232243</v>
      </c>
      <c r="AL77" s="22">
        <f t="shared" si="58"/>
        <v>451.39878877082128</v>
      </c>
      <c r="AM77" s="62">
        <f t="shared" si="59"/>
        <v>744.73212210415454</v>
      </c>
      <c r="AN77" s="62">
        <f ca="1">AVERAGE(OFFSET($AM$3,0,0,'Données projet'!$E$10+1,1))-AVERAGE(OFFSET($H$3,0,0,'Données projet'!$E$10+1,1))</f>
        <v>348.84749506659495</v>
      </c>
      <c r="AO77" s="62">
        <f t="shared" si="90"/>
        <v>220.09202639602199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0.74190504289513615</v>
      </c>
      <c r="AW77" s="23">
        <f>EXP(-LN(2)/2)*AW76+(1-EXP(-LN(2)/2))/(LN(2)/2)*AQ77*AT77*VLOOKUP('Données projet'!$B$10,Paramètres!$A$1:$I$89,3,0)*0.475*44/12</f>
        <v>2.7856726577507533E-6</v>
      </c>
      <c r="AX77" s="23">
        <f t="shared" si="60"/>
        <v>0.74190782856779391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7.7</v>
      </c>
      <c r="BD77" s="13">
        <f>IF('Données projet'!$A$88&gt;35,BD76+BC77-BL76,IF(A77&lt;'Données projet'!$A$88,$BA$205^A77,IF(A77='Données projet'!$A$88,'Données projet'!$B$88,BD76+BC77-BL76)))</f>
        <v>306.79999999999995</v>
      </c>
      <c r="BE77" s="14">
        <f>BD77*VLOOKUP('Données projet'!$B$11,Paramètres!$A$1:$I$89,3,0)*VLOOKUP('Données projet'!$B$11,Paramètres!$A$1:$I$89,5,0)</f>
        <v>143.58239999999998</v>
      </c>
      <c r="BF77" s="14">
        <f t="shared" si="91"/>
        <v>37.116472314400653</v>
      </c>
      <c r="BG77" s="22">
        <f t="shared" si="61"/>
        <v>314.71720261424775</v>
      </c>
      <c r="BH77" s="62">
        <f t="shared" si="62"/>
        <v>608.05053594758101</v>
      </c>
      <c r="BI77" s="62">
        <f ca="1">AVERAGE(OFFSET($BH$3,0,0,'Données projet'!$E$11+1,1))-AVERAGE(OFFSET($H$3,0,0,'Données projet'!$E$11+1,1))</f>
        <v>259.74478933784656</v>
      </c>
      <c r="BJ77" s="62">
        <f t="shared" si="92"/>
        <v>223.74038909289646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6.4</v>
      </c>
      <c r="BY77" s="13">
        <f>IF('Données projet'!$A$114&gt;35,BY76+BX77-CG76,IF(A77&lt;'Données projet'!$A$114,$BV$205^A77,IF(A77='Données projet'!$A$114,'Données projet'!$B$114,BY76+BX77-CG76)))</f>
        <v>246.60000000000011</v>
      </c>
      <c r="BZ77" s="14">
        <f>BY77*VLOOKUP('Données projet'!$B$12,Paramètres!$A$1:$I$89,3,0)*VLOOKUP('Données projet'!$B$12,Paramètres!$A$1:$I$89,5,0)</f>
        <v>250.05240000000012</v>
      </c>
      <c r="CA77" s="14">
        <f t="shared" si="93"/>
        <v>60.597161386823522</v>
      </c>
      <c r="CB77" s="22">
        <f t="shared" si="64"/>
        <v>541.04798608205112</v>
      </c>
      <c r="CC77" s="62">
        <f t="shared" si="65"/>
        <v>834.3813194153845</v>
      </c>
      <c r="CD77" s="62">
        <f ca="1">AVERAGE(OFFSET($CC$3,0,0,'Données projet'!$E$12+1,1))-AVERAGE(OFFSET($H$3,0,0,'Données projet'!$E$12+1,1))</f>
        <v>411.75894069172358</v>
      </c>
      <c r="CE77" s="62">
        <f t="shared" si="94"/>
        <v>256.4377087753457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0.89303384792933138</v>
      </c>
      <c r="CM77" s="23">
        <f>EXP(-LN(2)/2)*CM76+(1-EXP(-LN(2)/2))/(LN(2)/2)*CG77*CJ77*VLOOKUP('Données projet'!$B$12,Paramètres!$A$1:$I$89,3,0)*0.475*44/12</f>
        <v>3.3531244954407207E-6</v>
      </c>
      <c r="CN77" s="24">
        <f t="shared" si="66"/>
        <v>0.89303720105382678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253</v>
      </c>
      <c r="L78" s="13">
        <f>VLOOKUP(A78,'Données projet'!$A$35:$I$55,9,0)</f>
        <v>6.4</v>
      </c>
      <c r="M78" s="13">
        <f t="array" ref="M78">INDEX(L:L,MIN(IF(ISNUMBER(L78:L274),ROW(L78:L274),"")))</f>
        <v>6.4</v>
      </c>
      <c r="N78" s="14">
        <f>IF('Données projet'!$A$36&gt;35,N77+M78-V77,IF(A78&lt;'Données projet'!$A$36,$K$205^A78,IF(A78='Données projet'!$A$36,'Données projet'!$B$36,N77+M78-V77)))</f>
        <v>253.00000000000011</v>
      </c>
      <c r="O78" s="14">
        <f>N78*VLOOKUP('Données projet'!$B$9,Paramètres!$A$1:$I$89,3,0)*VLOOKUP('Données projet'!$B$9,Paramètres!$A$1:$I$89,5,0)</f>
        <v>228.91440000000011</v>
      </c>
      <c r="P78" s="14">
        <f t="shared" si="87"/>
        <v>56.047884834417474</v>
      </c>
      <c r="Q78" s="22">
        <f t="shared" si="54"/>
        <v>496.30931275327725</v>
      </c>
      <c r="R78" s="62">
        <f t="shared" si="55"/>
        <v>789.64264608661051</v>
      </c>
      <c r="S78" s="62">
        <f ca="1">AVERAGE(OFFSET($R$3,0,0,'Données projet'!$E$9+1,1))-AVERAGE(OFFSET($H$3,0,0,'Données projet'!$E$9+1,1))</f>
        <v>371.75294069149942</v>
      </c>
      <c r="T78" s="62">
        <f t="shared" si="88"/>
        <v>233.32640143610547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0.77507076681408416</v>
      </c>
      <c r="AB78" s="23">
        <f>EXP(-LN(2)/2)*AB77+(1-EXP(-LN(2)/2))/(LN(2)/2)*V78*Y78*VLOOKUP('Données projet'!$B$9,Paramètres!$A$1:$I$89,3,0)*0.475*44/12</f>
        <v>2.1156767691623621E-6</v>
      </c>
      <c r="AC78" s="24">
        <f t="shared" si="57"/>
        <v>0.77507288249085327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213.1272000000001</v>
      </c>
      <c r="AK78" s="14">
        <f t="shared" si="89"/>
        <v>52.618368568459893</v>
      </c>
      <c r="AL78" s="22">
        <f t="shared" si="58"/>
        <v>462.84019859006776</v>
      </c>
      <c r="AM78" s="62">
        <f t="shared" si="59"/>
        <v>756.17353192340101</v>
      </c>
      <c r="AN78" s="62">
        <f ca="1">AVERAGE(OFFSET($AM$3,0,0,'Données projet'!$E$10+1,1))-AVERAGE(OFFSET($H$3,0,0,'Données projet'!$E$10+1,1))</f>
        <v>348.84749506659495</v>
      </c>
      <c r="AO78" s="62">
        <f t="shared" si="90"/>
        <v>220.09202639602199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0.72161761048207806</v>
      </c>
      <c r="AW78" s="23">
        <f>EXP(-LN(2)/2)*AW77+(1-EXP(-LN(2)/2))/(LN(2)/2)*AQ78*AT78*VLOOKUP('Données projet'!$B$10,Paramètres!$A$1:$I$89,3,0)*0.475*44/12</f>
        <v>1.9697680264615102E-6</v>
      </c>
      <c r="AX78" s="23">
        <f t="shared" si="60"/>
        <v>0.72161958025010453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7.7</v>
      </c>
      <c r="BD78" s="13">
        <f>IF('Données projet'!$A$88&gt;35,BD77+BC78-BL77,IF(A78&lt;'Données projet'!$A$88,$BA$205^A78,IF(A78='Données projet'!$A$88,'Données projet'!$B$88,BD77+BC78-BL77)))</f>
        <v>314.49999999999994</v>
      </c>
      <c r="BE78" s="14">
        <f>BD78*VLOOKUP('Données projet'!$B$11,Paramètres!$A$1:$I$89,3,0)*VLOOKUP('Données projet'!$B$11,Paramètres!$A$1:$I$89,5,0)</f>
        <v>147.18599999999998</v>
      </c>
      <c r="BF78" s="14">
        <f t="shared" si="91"/>
        <v>37.938390882441361</v>
      </c>
      <c r="BG78" s="22">
        <f t="shared" si="61"/>
        <v>322.42498078691864</v>
      </c>
      <c r="BH78" s="62">
        <f t="shared" si="62"/>
        <v>615.75831412025195</v>
      </c>
      <c r="BI78" s="62">
        <f ca="1">AVERAGE(OFFSET($BH$3,0,0,'Données projet'!$E$11+1,1))-AVERAGE(OFFSET($H$3,0,0,'Données projet'!$E$11+1,1))</f>
        <v>259.74478933784656</v>
      </c>
      <c r="BJ78" s="62">
        <f t="shared" si="92"/>
        <v>223.74038909289646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253</v>
      </c>
      <c r="BW78" s="13">
        <f>VLOOKUP(A78,'Données projet'!$A$113:$I$133,9,0)</f>
        <v>6.4</v>
      </c>
      <c r="BX78" s="13">
        <f t="array" ref="BX78">INDEX(BW:BW,MIN(IF(ISNUMBER(BW78:BW274),ROW(BW78:BW274),"")))</f>
        <v>6.4</v>
      </c>
      <c r="BY78" s="13">
        <f>IF('Données projet'!$A$114&gt;35,BY77+BX78-CG77,IF(A78&lt;'Données projet'!$A$114,$BV$205^A78,IF(A78='Données projet'!$A$114,'Données projet'!$B$114,BY77+BX78-CG77)))</f>
        <v>253.00000000000011</v>
      </c>
      <c r="BZ78" s="14">
        <f>BY78*VLOOKUP('Données projet'!$B$12,Paramètres!$A$1:$I$89,3,0)*VLOOKUP('Données projet'!$B$12,Paramètres!$A$1:$I$89,5,0)</f>
        <v>256.54200000000014</v>
      </c>
      <c r="CA78" s="14">
        <f t="shared" si="93"/>
        <v>61.984698688972557</v>
      </c>
      <c r="CB78" s="22">
        <f t="shared" si="64"/>
        <v>554.76733354996077</v>
      </c>
      <c r="CC78" s="62">
        <f t="shared" si="65"/>
        <v>848.10066688329402</v>
      </c>
      <c r="CD78" s="62">
        <f ca="1">AVERAGE(OFFSET($CC$3,0,0,'Données projet'!$E$12+1,1))-AVERAGE(OFFSET($H$3,0,0,'Données projet'!$E$12+1,1))</f>
        <v>411.75894069172358</v>
      </c>
      <c r="CE78" s="62">
        <f t="shared" si="94"/>
        <v>256.4377087753457</v>
      </c>
      <c r="CF78" s="16">
        <f>IF(ISNA(VLOOKUP(A78,'Données projet'!$A$113:$I$133,3,0)),0,VLOOKUP(A78,'Données projet'!$A$113:$I$133,3,0))</f>
        <v>11</v>
      </c>
      <c r="CG78" s="16">
        <f>IF(ISNA(VLOOKUP(A78,'Données projet'!$A$113:$I$133,4,0)),0,VLOOKUP(A78,'Données projet'!$A$113:$I$133,4,0))</f>
        <v>21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0.86861379039509479</v>
      </c>
      <c r="CM78" s="23">
        <f>EXP(-LN(2)/2)*CM77+(1-EXP(-LN(2)/2))/(LN(2)/2)*CG78*CJ78*VLOOKUP('Données projet'!$B$12,Paramètres!$A$1:$I$89,3,0)*0.475*44/12</f>
        <v>2.3710170688888543E-6</v>
      </c>
      <c r="CN78" s="24">
        <f t="shared" si="66"/>
        <v>0.86861616141216369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238.00000000000011</v>
      </c>
      <c r="O79" s="14">
        <f>N79*VLOOKUP('Données projet'!$B$9,Paramètres!$A$1:$I$89,3,0)*VLOOKUP('Données projet'!$B$9,Paramètres!$A$1:$I$89,5,0)</f>
        <v>215.34240000000008</v>
      </c>
      <c r="P79" s="14">
        <f t="shared" si="87"/>
        <v>53.101322124397257</v>
      </c>
      <c r="Q79" s="22">
        <f t="shared" si="54"/>
        <v>467.53948269999205</v>
      </c>
      <c r="R79" s="62">
        <f t="shared" si="55"/>
        <v>760.87281603332531</v>
      </c>
      <c r="S79" s="62">
        <f ca="1">AVERAGE(OFFSET($R$3,0,0,'Données projet'!$E$9+1,1))-AVERAGE(OFFSET($H$3,0,0,'Données projet'!$E$9+1,1))</f>
        <v>371.75294069149942</v>
      </c>
      <c r="T79" s="62">
        <f t="shared" si="88"/>
        <v>233.32640143610547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0.7538764159363528</v>
      </c>
      <c r="AB79" s="23">
        <f>EXP(-LN(2)/2)*AB78+(1-EXP(-LN(2)/2))/(LN(2)/2)*V79*Y79*VLOOKUP('Données projet'!$B$9,Paramètres!$A$1:$I$89,3,0)*0.475*44/12</f>
        <v>1.4960093902735522E-6</v>
      </c>
      <c r="AC79" s="24">
        <f t="shared" si="57"/>
        <v>0.75387791194574305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238.00000000000011</v>
      </c>
      <c r="AJ79" s="14">
        <f>AI79*VLOOKUP('Données projet'!$B$10,Paramètres!$A$1:$I$89,3,0)*VLOOKUP('Données projet'!$B$10,Paramètres!$A$1:$I$89,5,0)</f>
        <v>200.49120000000011</v>
      </c>
      <c r="AK79" s="14">
        <f t="shared" si="89"/>
        <v>49.852103201908299</v>
      </c>
      <c r="AL79" s="22">
        <f t="shared" si="58"/>
        <v>436.01458640999044</v>
      </c>
      <c r="AM79" s="62">
        <f t="shared" si="59"/>
        <v>729.3479197433237</v>
      </c>
      <c r="AN79" s="62">
        <f ca="1">AVERAGE(OFFSET($AM$3,0,0,'Données projet'!$E$10+1,1))-AVERAGE(OFFSET($H$3,0,0,'Données projet'!$E$10+1,1))</f>
        <v>348.84749506659495</v>
      </c>
      <c r="AO79" s="62">
        <f t="shared" si="90"/>
        <v>220.09202639602199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0.70188493897522475</v>
      </c>
      <c r="AW79" s="23">
        <f>EXP(-LN(2)/2)*AW78+(1-EXP(-LN(2)/2))/(LN(2)/2)*AQ79*AT79*VLOOKUP('Données projet'!$B$10,Paramètres!$A$1:$I$89,3,0)*0.475*44/12</f>
        <v>1.3928363288753767E-6</v>
      </c>
      <c r="AX79" s="23">
        <f t="shared" si="60"/>
        <v>0.70188633181155358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7.7</v>
      </c>
      <c r="BD79" s="13">
        <f>IF('Données projet'!$A$88&gt;35,BD78+BC79-BL78,IF(A79&lt;'Données projet'!$A$88,$BA$205^A79,IF(A79='Données projet'!$A$88,'Données projet'!$B$88,BD78+BC79-BL78)))</f>
        <v>322.19999999999993</v>
      </c>
      <c r="BE79" s="14">
        <f>BD79*VLOOKUP('Données projet'!$B$11,Paramètres!$A$1:$I$89,3,0)*VLOOKUP('Données projet'!$B$11,Paramètres!$A$1:$I$89,5,0)</f>
        <v>150.78959999999998</v>
      </c>
      <c r="BF79" s="14">
        <f t="shared" si="91"/>
        <v>38.757970187689722</v>
      </c>
      <c r="BG79" s="22">
        <f t="shared" si="61"/>
        <v>330.12868474355952</v>
      </c>
      <c r="BH79" s="62">
        <f t="shared" si="62"/>
        <v>623.46201807689283</v>
      </c>
      <c r="BI79" s="62">
        <f ca="1">AVERAGE(OFFSET($BH$3,0,0,'Données projet'!$E$11+1,1))-AVERAGE(OFFSET($H$3,0,0,'Données projet'!$E$11+1,1))</f>
        <v>259.74478933784656</v>
      </c>
      <c r="BJ79" s="62">
        <f t="shared" si="92"/>
        <v>223.74038909289646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238.00000000000011</v>
      </c>
      <c r="BZ79" s="14">
        <f>BY79*VLOOKUP('Données projet'!$B$12,Paramètres!$A$1:$I$89,3,0)*VLOOKUP('Données projet'!$B$12,Paramètres!$A$1:$I$89,5,0)</f>
        <v>241.33200000000014</v>
      </c>
      <c r="CA79" s="14">
        <f t="shared" si="93"/>
        <v>58.726024391301159</v>
      </c>
      <c r="CB79" s="22">
        <f t="shared" si="64"/>
        <v>522.60105914818303</v>
      </c>
      <c r="CC79" s="62">
        <f t="shared" si="65"/>
        <v>815.9343924815164</v>
      </c>
      <c r="CD79" s="62">
        <f ca="1">AVERAGE(OFFSET($CC$3,0,0,'Données projet'!$E$12+1,1))-AVERAGE(OFFSET($H$3,0,0,'Données projet'!$E$12+1,1))</f>
        <v>411.75894069172358</v>
      </c>
      <c r="CE79" s="62">
        <f t="shared" si="94"/>
        <v>256.4377087753457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0.84486150061832688</v>
      </c>
      <c r="CM79" s="23">
        <f>EXP(-LN(2)/2)*CM78+(1-EXP(-LN(2)/2))/(LN(2)/2)*CG79*CJ79*VLOOKUP('Données projet'!$B$12,Paramètres!$A$1:$I$89,3,0)*0.475*44/12</f>
        <v>1.6765622477203604E-6</v>
      </c>
      <c r="CN79" s="24">
        <f t="shared" si="66"/>
        <v>0.84486317718057458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244.00000000000011</v>
      </c>
      <c r="O80" s="14">
        <f>N80*VLOOKUP('Données projet'!$B$9,Paramètres!$A$1:$I$89,3,0)*VLOOKUP('Données projet'!$B$9,Paramètres!$A$1:$I$89,5,0)</f>
        <v>220.77120000000011</v>
      </c>
      <c r="P80" s="14">
        <f t="shared" si="87"/>
        <v>54.28246807807983</v>
      </c>
      <c r="Q80" s="22">
        <f t="shared" si="54"/>
        <v>479.05180523598909</v>
      </c>
      <c r="R80" s="62">
        <f t="shared" si="55"/>
        <v>772.38513856932241</v>
      </c>
      <c r="S80" s="62">
        <f ca="1">AVERAGE(OFFSET($R$3,0,0,'Données projet'!$E$9+1,1))-AVERAGE(OFFSET($H$3,0,0,'Données projet'!$E$9+1,1))</f>
        <v>371.75294069149942</v>
      </c>
      <c r="T80" s="62">
        <f t="shared" si="88"/>
        <v>233.32640143610547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0.73326162569793552</v>
      </c>
      <c r="AB80" s="23">
        <f>EXP(-LN(2)/2)*AB79+(1-EXP(-LN(2)/2))/(LN(2)/2)*V80*Y80*VLOOKUP('Données projet'!$B$9,Paramètres!$A$1:$I$89,3,0)*0.475*44/12</f>
        <v>1.057838384581181E-6</v>
      </c>
      <c r="AC80" s="24">
        <f t="shared" si="57"/>
        <v>0.73326268353632007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244.00000000000011</v>
      </c>
      <c r="AJ80" s="14">
        <f>AI80*VLOOKUP('Données projet'!$B$10,Paramètres!$A$1:$I$89,3,0)*VLOOKUP('Données projet'!$B$10,Paramètres!$A$1:$I$89,5,0)</f>
        <v>205.54560000000012</v>
      </c>
      <c r="AK80" s="14">
        <f t="shared" si="89"/>
        <v>50.960975968608146</v>
      </c>
      <c r="AL80" s="22">
        <f t="shared" si="58"/>
        <v>446.74895314532608</v>
      </c>
      <c r="AM80" s="62">
        <f t="shared" si="59"/>
        <v>740.0822864786594</v>
      </c>
      <c r="AN80" s="62">
        <f ca="1">AVERAGE(OFFSET($AM$3,0,0,'Données projet'!$E$10+1,1))-AVERAGE(OFFSET($H$3,0,0,'Données projet'!$E$10+1,1))</f>
        <v>348.84749506659495</v>
      </c>
      <c r="AO80" s="62">
        <f t="shared" si="90"/>
        <v>220.09202639602199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0.6826918584084225</v>
      </c>
      <c r="AW80" s="23">
        <f>EXP(-LN(2)/2)*AW79+(1-EXP(-LN(2)/2))/(LN(2)/2)*AQ80*AT80*VLOOKUP('Données projet'!$B$10,Paramètres!$A$1:$I$89,3,0)*0.475*44/12</f>
        <v>9.8488401323075508E-7</v>
      </c>
      <c r="AX80" s="23">
        <f t="shared" si="60"/>
        <v>0.68269284329243574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7.7</v>
      </c>
      <c r="BD80" s="13">
        <f>IF('Données projet'!$A$88&gt;35,BD79+BC80-BL79,IF(A80&lt;'Données projet'!$A$88,$BA$205^A80,IF(A80='Données projet'!$A$88,'Données projet'!$B$88,BD79+BC80-BL79)))</f>
        <v>329.89999999999992</v>
      </c>
      <c r="BE80" s="14">
        <f>BD80*VLOOKUP('Données projet'!$B$11,Paramètres!$A$1:$I$89,3,0)*VLOOKUP('Données projet'!$B$11,Paramètres!$A$1:$I$89,5,0)</f>
        <v>154.39319999999995</v>
      </c>
      <c r="BF80" s="14">
        <f t="shared" si="91"/>
        <v>39.575272566832489</v>
      </c>
      <c r="BG80" s="22">
        <f t="shared" si="61"/>
        <v>337.82842305389983</v>
      </c>
      <c r="BH80" s="62">
        <f t="shared" si="62"/>
        <v>631.16175638723314</v>
      </c>
      <c r="BI80" s="62">
        <f ca="1">AVERAGE(OFFSET($BH$3,0,0,'Données projet'!$E$11+1,1))-AVERAGE(OFFSET($H$3,0,0,'Données projet'!$E$11+1,1))</f>
        <v>259.74478933784656</v>
      </c>
      <c r="BJ80" s="62">
        <f t="shared" si="92"/>
        <v>223.74038909289646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244.00000000000011</v>
      </c>
      <c r="BZ80" s="14">
        <f>BY80*VLOOKUP('Données projet'!$B$12,Paramètres!$A$1:$I$89,3,0)*VLOOKUP('Données projet'!$B$12,Paramètres!$A$1:$I$89,5,0)</f>
        <v>247.41600000000014</v>
      </c>
      <c r="CA80" s="14">
        <f t="shared" si="93"/>
        <v>60.032282000540242</v>
      </c>
      <c r="CB80" s="22">
        <f t="shared" si="64"/>
        <v>535.47242448427448</v>
      </c>
      <c r="CC80" s="62">
        <f t="shared" si="65"/>
        <v>828.80575781760786</v>
      </c>
      <c r="CD80" s="62">
        <f ca="1">AVERAGE(OFFSET($CC$3,0,0,'Données projet'!$E$12+1,1))-AVERAGE(OFFSET($H$3,0,0,'Données projet'!$E$12+1,1))</f>
        <v>411.75894069172358</v>
      </c>
      <c r="CE80" s="62">
        <f t="shared" si="94"/>
        <v>256.4377087753457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0.82175871845458337</v>
      </c>
      <c r="CM80" s="23">
        <f>EXP(-LN(2)/2)*CM79+(1-EXP(-LN(2)/2))/(LN(2)/2)*CG80*CJ80*VLOOKUP('Données projet'!$B$12,Paramètres!$A$1:$I$89,3,0)*0.475*44/12</f>
        <v>1.1855085344444271E-6</v>
      </c>
      <c r="CN80" s="24">
        <f t="shared" si="66"/>
        <v>0.82175990396311782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250.00000000000011</v>
      </c>
      <c r="O81" s="14">
        <f>N81*VLOOKUP('Données projet'!$B$9,Paramètres!$A$1:$I$89,3,0)*VLOOKUP('Données projet'!$B$9,Paramètres!$A$1:$I$89,5,0)</f>
        <v>226.2000000000001</v>
      </c>
      <c r="P81" s="14">
        <f t="shared" si="87"/>
        <v>55.460237717698156</v>
      </c>
      <c r="Q81" s="22">
        <f t="shared" si="54"/>
        <v>490.55824735832448</v>
      </c>
      <c r="R81" s="62">
        <f t="shared" si="55"/>
        <v>783.89158069165774</v>
      </c>
      <c r="S81" s="62">
        <f ca="1">AVERAGE(OFFSET($R$3,0,0,'Données projet'!$E$9+1,1))-AVERAGE(OFFSET($H$3,0,0,'Données projet'!$E$9+1,1))</f>
        <v>371.75294069149942</v>
      </c>
      <c r="T81" s="62">
        <f t="shared" si="88"/>
        <v>233.32640143610547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0.71321054798267247</v>
      </c>
      <c r="AB81" s="23">
        <f>EXP(-LN(2)/2)*AB80+(1-EXP(-LN(2)/2))/(LN(2)/2)*V81*Y81*VLOOKUP('Données projet'!$B$9,Paramètres!$A$1:$I$89,3,0)*0.475*44/12</f>
        <v>7.4800469513677609E-7</v>
      </c>
      <c r="AC81" s="24">
        <f t="shared" si="57"/>
        <v>0.71321129598736765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250.00000000000011</v>
      </c>
      <c r="AJ81" s="14">
        <f>AI81*VLOOKUP('Données projet'!$B$10,Paramètres!$A$1:$I$89,3,0)*VLOOKUP('Données projet'!$B$10,Paramètres!$A$1:$I$89,5,0)</f>
        <v>210.60000000000011</v>
      </c>
      <c r="AK81" s="14">
        <f t="shared" si="89"/>
        <v>52.066679014660011</v>
      </c>
      <c r="AL81" s="22">
        <f t="shared" si="58"/>
        <v>457.47779928386632</v>
      </c>
      <c r="AM81" s="62">
        <f t="shared" si="59"/>
        <v>750.81113261719963</v>
      </c>
      <c r="AN81" s="62">
        <f ca="1">AVERAGE(OFFSET($AM$3,0,0,'Données projet'!$E$10+1,1))-AVERAGE(OFFSET($H$3,0,0,'Données projet'!$E$10+1,1))</f>
        <v>348.84749506659495</v>
      </c>
      <c r="AO81" s="62">
        <f t="shared" si="90"/>
        <v>220.09202639602199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0.66402361363903972</v>
      </c>
      <c r="AW81" s="23">
        <f>EXP(-LN(2)/2)*AW80+(1-EXP(-LN(2)/2))/(LN(2)/2)*AQ81*AT81*VLOOKUP('Données projet'!$B$10,Paramètres!$A$1:$I$89,3,0)*0.475*44/12</f>
        <v>6.9641816443768834E-7</v>
      </c>
      <c r="AX81" s="23">
        <f t="shared" si="60"/>
        <v>0.66402431005720419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7.7</v>
      </c>
      <c r="BD81" s="13">
        <f>IF('Données projet'!$A$88&gt;35,BD80+BC81-BL80,IF(A81&lt;'Données projet'!$A$88,$BA$205^A81,IF(A81='Données projet'!$A$88,'Données projet'!$B$88,BD80+BC81-BL80)))</f>
        <v>337.59999999999991</v>
      </c>
      <c r="BE81" s="14">
        <f>BD81*VLOOKUP('Données projet'!$B$11,Paramètres!$A$1:$I$89,3,0)*VLOOKUP('Données projet'!$B$11,Paramètres!$A$1:$I$89,5,0)</f>
        <v>157.99679999999995</v>
      </c>
      <c r="BF81" s="14">
        <f t="shared" si="91"/>
        <v>40.390357280610026</v>
      </c>
      <c r="BG81" s="22">
        <f t="shared" si="61"/>
        <v>345.52429893039567</v>
      </c>
      <c r="BH81" s="62">
        <f t="shared" si="62"/>
        <v>638.85763226372899</v>
      </c>
      <c r="BI81" s="62">
        <f ca="1">AVERAGE(OFFSET($BH$3,0,0,'Données projet'!$E$11+1,1))-AVERAGE(OFFSET($H$3,0,0,'Données projet'!$E$11+1,1))</f>
        <v>259.74478933784656</v>
      </c>
      <c r="BJ81" s="62">
        <f t="shared" si="92"/>
        <v>223.74038909289646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250.00000000000011</v>
      </c>
      <c r="BZ81" s="14">
        <f>BY81*VLOOKUP('Données projet'!$B$12,Paramètres!$A$1:$I$89,3,0)*VLOOKUP('Données projet'!$B$12,Paramètres!$A$1:$I$89,5,0)</f>
        <v>253.50000000000014</v>
      </c>
      <c r="CA81" s="14">
        <f t="shared" si="93"/>
        <v>61.334805663162555</v>
      </c>
      <c r="CB81" s="22">
        <f t="shared" si="64"/>
        <v>548.33728653000833</v>
      </c>
      <c r="CC81" s="62">
        <f t="shared" si="65"/>
        <v>841.6706198633417</v>
      </c>
      <c r="CD81" s="62">
        <f ca="1">AVERAGE(OFFSET($CC$3,0,0,'Données projet'!$E$12+1,1))-AVERAGE(OFFSET($H$3,0,0,'Données projet'!$E$12+1,1))</f>
        <v>411.75894069172358</v>
      </c>
      <c r="CE81" s="62">
        <f t="shared" si="94"/>
        <v>256.4377087753457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0.79928768308402998</v>
      </c>
      <c r="CM81" s="23">
        <f>EXP(-LN(2)/2)*CM80+(1-EXP(-LN(2)/2))/(LN(2)/2)*CG81*CJ81*VLOOKUP('Données projet'!$B$12,Paramètres!$A$1:$I$89,3,0)*0.475*44/12</f>
        <v>8.3828112386018018E-7</v>
      </c>
      <c r="CN81" s="24">
        <f t="shared" si="66"/>
        <v>0.79928852136515383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256.00000000000011</v>
      </c>
      <c r="O82" s="14">
        <f>N82*VLOOKUP('Données projet'!$B$9,Paramètres!$A$1:$I$89,3,0)*VLOOKUP('Données projet'!$B$9,Paramètres!$A$1:$I$89,5,0)</f>
        <v>231.62880000000007</v>
      </c>
      <c r="P82" s="14">
        <f t="shared" si="87"/>
        <v>56.63472139815827</v>
      </c>
      <c r="Q82" s="22">
        <f t="shared" si="54"/>
        <v>502.05896643512574</v>
      </c>
      <c r="R82" s="62">
        <f t="shared" si="55"/>
        <v>795.392299768459</v>
      </c>
      <c r="S82" s="62">
        <f ca="1">AVERAGE(OFFSET($R$3,0,0,'Données projet'!$E$9+1,1))-AVERAGE(OFFSET($H$3,0,0,'Données projet'!$E$9+1,1))</f>
        <v>371.75294069149942</v>
      </c>
      <c r="T82" s="62">
        <f t="shared" si="88"/>
        <v>233.32640143610547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0.69370776804197365</v>
      </c>
      <c r="AB82" s="23">
        <f>EXP(-LN(2)/2)*AB81+(1-EXP(-LN(2)/2))/(LN(2)/2)*V82*Y82*VLOOKUP('Données projet'!$B$9,Paramètres!$A$1:$I$89,3,0)*0.475*44/12</f>
        <v>5.2891919229059052E-7</v>
      </c>
      <c r="AC82" s="24">
        <f t="shared" si="57"/>
        <v>0.69370829696116598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256.00000000000011</v>
      </c>
      <c r="AJ82" s="14">
        <f>AI82*VLOOKUP('Données projet'!$B$10,Paramètres!$A$1:$I$89,3,0)*VLOOKUP('Données projet'!$B$10,Paramètres!$A$1:$I$89,5,0)</f>
        <v>215.65440000000012</v>
      </c>
      <c r="AK82" s="14">
        <f t="shared" si="89"/>
        <v>53.169297166239964</v>
      </c>
      <c r="AL82" s="22">
        <f t="shared" si="58"/>
        <v>468.2012725645348</v>
      </c>
      <c r="AM82" s="62">
        <f t="shared" si="59"/>
        <v>761.53460589786812</v>
      </c>
      <c r="AN82" s="62">
        <f ca="1">AVERAGE(OFFSET($AM$3,0,0,'Données projet'!$E$10+1,1))-AVERAGE(OFFSET($H$3,0,0,'Données projet'!$E$10+1,1))</f>
        <v>348.84749506659495</v>
      </c>
      <c r="AO82" s="62">
        <f t="shared" si="90"/>
        <v>220.09202639602199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0.64586585300459598</v>
      </c>
      <c r="AW82" s="23">
        <f>EXP(-LN(2)/2)*AW81+(1-EXP(-LN(2)/2))/(LN(2)/2)*AQ82*AT82*VLOOKUP('Données projet'!$B$10,Paramètres!$A$1:$I$89,3,0)*0.475*44/12</f>
        <v>4.9244200661537754E-7</v>
      </c>
      <c r="AX82" s="23">
        <f t="shared" si="60"/>
        <v>0.6458663454466026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7.7</v>
      </c>
      <c r="BD82" s="13">
        <f>IF('Données projet'!$A$88&gt;35,BD81+BC82-BL81,IF(A82&lt;'Données projet'!$A$88,$BA$205^A82,IF(A82='Données projet'!$A$88,'Données projet'!$B$88,BD81+BC82-BL81)))</f>
        <v>345.2999999999999</v>
      </c>
      <c r="BE82" s="14">
        <f>BD82*VLOOKUP('Données projet'!$B$11,Paramètres!$A$1:$I$89,3,0)*VLOOKUP('Données projet'!$B$11,Paramètres!$A$1:$I$89,5,0)</f>
        <v>161.60039999999995</v>
      </c>
      <c r="BF82" s="14">
        <f t="shared" si="91"/>
        <v>41.203280732237822</v>
      </c>
      <c r="BG82" s="22">
        <f t="shared" si="61"/>
        <v>353.21641060864749</v>
      </c>
      <c r="BH82" s="62">
        <f t="shared" si="62"/>
        <v>646.54974394198075</v>
      </c>
      <c r="BI82" s="62">
        <f ca="1">AVERAGE(OFFSET($BH$3,0,0,'Données projet'!$E$11+1,1))-AVERAGE(OFFSET($H$3,0,0,'Données projet'!$E$11+1,1))</f>
        <v>259.74478933784656</v>
      </c>
      <c r="BJ82" s="62">
        <f t="shared" si="92"/>
        <v>223.74038909289646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256.00000000000011</v>
      </c>
      <c r="BZ82" s="14">
        <f>BY82*VLOOKUP('Données projet'!$B$12,Paramètres!$A$1:$I$89,3,0)*VLOOKUP('Données projet'!$B$12,Paramètres!$A$1:$I$89,5,0)</f>
        <v>259.58400000000017</v>
      </c>
      <c r="CA82" s="14">
        <f t="shared" si="93"/>
        <v>62.63369530482359</v>
      </c>
      <c r="CB82" s="22">
        <f t="shared" si="64"/>
        <v>561.19581932256801</v>
      </c>
      <c r="CC82" s="62">
        <f t="shared" si="65"/>
        <v>854.52915265590127</v>
      </c>
      <c r="CD82" s="62">
        <f ca="1">AVERAGE(OFFSET($CC$3,0,0,'Données projet'!$E$12+1,1))-AVERAGE(OFFSET($H$3,0,0,'Données projet'!$E$12+1,1))</f>
        <v>411.75894069172358</v>
      </c>
      <c r="CE82" s="62">
        <f t="shared" si="94"/>
        <v>256.4377087753457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0.77743111935738474</v>
      </c>
      <c r="CM82" s="23">
        <f>EXP(-LN(2)/2)*CM81+(1-EXP(-LN(2)/2))/(LN(2)/2)*CG82*CJ82*VLOOKUP('Données projet'!$B$12,Paramètres!$A$1:$I$89,3,0)*0.475*44/12</f>
        <v>5.9275426722221357E-7</v>
      </c>
      <c r="CN82" s="24">
        <f t="shared" si="66"/>
        <v>0.77743171211165196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262.00000000000011</v>
      </c>
      <c r="O83" s="14">
        <f>N83*VLOOKUP('Données projet'!$B$9,Paramètres!$A$1:$I$89,3,0)*VLOOKUP('Données projet'!$B$9,Paramètres!$A$1:$I$89,5,0)</f>
        <v>237.05760000000012</v>
      </c>
      <c r="P83" s="14">
        <f t="shared" si="87"/>
        <v>57.806004997354698</v>
      </c>
      <c r="Q83" s="22">
        <f t="shared" si="54"/>
        <v>513.55411203705955</v>
      </c>
      <c r="R83" s="62">
        <f t="shared" si="55"/>
        <v>806.88744537039292</v>
      </c>
      <c r="S83" s="62">
        <f ca="1">AVERAGE(OFFSET($R$3,0,0,'Données projet'!$E$9+1,1))-AVERAGE(OFFSET($H$3,0,0,'Données projet'!$E$9+1,1))</f>
        <v>371.75294069149942</v>
      </c>
      <c r="T83" s="62">
        <f t="shared" si="88"/>
        <v>233.32640143610547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0.67473829264435981</v>
      </c>
      <c r="AB83" s="23">
        <f>EXP(-LN(2)/2)*AB82+(1-EXP(-LN(2)/2))/(LN(2)/2)*V83*Y83*VLOOKUP('Données projet'!$B$9,Paramètres!$A$1:$I$89,3,0)*0.475*44/12</f>
        <v>3.7400234756838804E-7</v>
      </c>
      <c r="AC83" s="24">
        <f t="shared" si="57"/>
        <v>0.67473866664670734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262.00000000000011</v>
      </c>
      <c r="AJ83" s="14">
        <f>AI83*VLOOKUP('Données projet'!$B$10,Paramètres!$A$1:$I$89,3,0)*VLOOKUP('Données projet'!$B$10,Paramètres!$A$1:$I$89,5,0)</f>
        <v>220.70880000000014</v>
      </c>
      <c r="AK83" s="14">
        <f t="shared" si="89"/>
        <v>54.268911046456608</v>
      </c>
      <c r="AL83" s="22">
        <f t="shared" si="58"/>
        <v>478.91951340591214</v>
      </c>
      <c r="AM83" s="62">
        <f t="shared" si="59"/>
        <v>772.25284673924546</v>
      </c>
      <c r="AN83" s="62">
        <f ca="1">AVERAGE(OFFSET($AM$3,0,0,'Données projet'!$E$10+1,1))-AVERAGE(OFFSET($H$3,0,0,'Données projet'!$E$10+1,1))</f>
        <v>348.84749506659495</v>
      </c>
      <c r="AO83" s="62">
        <f t="shared" si="90"/>
        <v>220.09202639602199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0.62820461728957622</v>
      </c>
      <c r="AW83" s="23">
        <f>EXP(-LN(2)/2)*AW82+(1-EXP(-LN(2)/2))/(LN(2)/2)*AQ83*AT83*VLOOKUP('Données projet'!$B$10,Paramètres!$A$1:$I$89,3,0)*0.475*44/12</f>
        <v>3.4820908221884417E-7</v>
      </c>
      <c r="AX83" s="23">
        <f t="shared" si="60"/>
        <v>0.62820496549865845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353</v>
      </c>
      <c r="BB83" s="13">
        <f>VLOOKUP(A83,'Données projet'!$A$87:$I$107,9,0)</f>
        <v>7.7</v>
      </c>
      <c r="BC83" s="13">
        <f t="array" ref="BC83">INDEX(BB:BB,MIN(IF(ISNUMBER(BB83:BB279),ROW(BB83:BB279),"")))</f>
        <v>7.7</v>
      </c>
      <c r="BD83" s="13">
        <f>IF('Données projet'!$A$88&gt;35,BD82+BC83-BL82,IF(A83&lt;'Données projet'!$A$88,$BA$205^A83,IF(A83='Données projet'!$A$88,'Données projet'!$B$88,BD82+BC83-BL82)))</f>
        <v>352.99999999999989</v>
      </c>
      <c r="BE83" s="14">
        <f>BD83*VLOOKUP('Données projet'!$B$11,Paramètres!$A$1:$I$89,3,0)*VLOOKUP('Données projet'!$B$11,Paramètres!$A$1:$I$89,5,0)</f>
        <v>165.20399999999995</v>
      </c>
      <c r="BF83" s="14">
        <f t="shared" si="91"/>
        <v>42.014096665795854</v>
      </c>
      <c r="BG83" s="22">
        <f t="shared" si="61"/>
        <v>360.90485169292765</v>
      </c>
      <c r="BH83" s="62">
        <f t="shared" si="62"/>
        <v>654.23818502626091</v>
      </c>
      <c r="BI83" s="62">
        <f ca="1">AVERAGE(OFFSET($BH$3,0,0,'Données projet'!$E$11+1,1))-AVERAGE(OFFSET($H$3,0,0,'Données projet'!$E$11+1,1))</f>
        <v>259.74478933784656</v>
      </c>
      <c r="BJ83" s="62">
        <f t="shared" si="92"/>
        <v>223.74038909289646</v>
      </c>
      <c r="BK83" s="16">
        <f>IF(ISNA(VLOOKUP(A83,'Données projet'!$A$87:$I$107,3,0)),0,VLOOKUP(A83,'Données projet'!$A$87:$I$107,3,0))</f>
        <v>7</v>
      </c>
      <c r="BL83" s="23">
        <f>IF(ISNA(VLOOKUP(A83,'Données projet'!$A$87:$I$107,4,0)),0,VLOOKUP(A83,'Données projet'!$A$87:$I$107,4,0))</f>
        <v>71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262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262.00000000000011</v>
      </c>
      <c r="BZ83" s="14">
        <f>BY83*VLOOKUP('Données projet'!$B$12,Paramètres!$A$1:$I$89,3,0)*VLOOKUP('Données projet'!$B$12,Paramètres!$A$1:$I$89,5,0)</f>
        <v>265.66800000000012</v>
      </c>
      <c r="CA83" s="14">
        <f t="shared" si="93"/>
        <v>63.929045899944406</v>
      </c>
      <c r="CB83" s="22">
        <f t="shared" si="64"/>
        <v>574.04818827573672</v>
      </c>
      <c r="CC83" s="62">
        <f t="shared" si="65"/>
        <v>867.38152160906998</v>
      </c>
      <c r="CD83" s="62">
        <f ca="1">AVERAGE(OFFSET($CC$3,0,0,'Données projet'!$E$12+1,1))-AVERAGE(OFFSET($H$3,0,0,'Données projet'!$E$12+1,1))</f>
        <v>411.75894069172358</v>
      </c>
      <c r="CE83" s="62">
        <f t="shared" si="94"/>
        <v>256.4377087753457</v>
      </c>
      <c r="CF83" s="16">
        <f>IF(ISNA(VLOOKUP(A83,'Données projet'!$A$113:$I$133,3,0)),0,VLOOKUP(A83,'Données projet'!$A$113:$I$133,3,0))</f>
        <v>12</v>
      </c>
      <c r="CG83" s="16">
        <f>IF(ISNA(VLOOKUP(A83,'Données projet'!$A$113:$I$133,4,0)),0,VLOOKUP(A83,'Données projet'!$A$113:$I$133,4,0))</f>
        <v>21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0.75617222451523136</v>
      </c>
      <c r="CM83" s="23">
        <f>EXP(-LN(2)/2)*CM82+(1-EXP(-LN(2)/2))/(LN(2)/2)*CG83*CJ83*VLOOKUP('Données projet'!$B$12,Paramètres!$A$1:$I$89,3,0)*0.475*44/12</f>
        <v>4.1914056193009009E-7</v>
      </c>
      <c r="CN83" s="24">
        <f t="shared" si="66"/>
        <v>0.75617264365579329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246.60000000000014</v>
      </c>
      <c r="O84" s="14">
        <f>N84*VLOOKUP('Données projet'!$B$9,Paramètres!$A$1:$I$89,3,0)*VLOOKUP('Données projet'!$B$9,Paramètres!$A$1:$I$89,5,0)</f>
        <v>223.12368000000012</v>
      </c>
      <c r="P84" s="14">
        <f t="shared" si="87"/>
        <v>54.793244051140647</v>
      </c>
      <c r="Q84" s="22">
        <f t="shared" si="54"/>
        <v>484.03864272240349</v>
      </c>
      <c r="R84" s="62">
        <f t="shared" si="55"/>
        <v>777.37197605573681</v>
      </c>
      <c r="S84" s="62">
        <f ca="1">AVERAGE(OFFSET($R$3,0,0,'Données projet'!$E$9+1,1))-AVERAGE(OFFSET($H$3,0,0,'Données projet'!$E$9+1,1))</f>
        <v>371.75294069149942</v>
      </c>
      <c r="T84" s="62">
        <f t="shared" si="88"/>
        <v>233.32640143610547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0.65628753854905508</v>
      </c>
      <c r="AB84" s="23">
        <f>EXP(-LN(2)/2)*AB83+(1-EXP(-LN(2)/2))/(LN(2)/2)*V84*Y84*VLOOKUP('Données projet'!$B$9,Paramètres!$A$1:$I$89,3,0)*0.475*44/12</f>
        <v>2.6445959614529526E-7</v>
      </c>
      <c r="AC84" s="24">
        <f t="shared" si="57"/>
        <v>0.65628780300865119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246.60000000000014</v>
      </c>
      <c r="AJ84" s="14">
        <f>AI84*VLOOKUP('Données projet'!$B$10,Paramètres!$A$1:$I$89,3,0)*VLOOKUP('Données projet'!$B$10,Paramètres!$A$1:$I$89,5,0)</f>
        <v>207.73584000000011</v>
      </c>
      <c r="AK84" s="14">
        <f t="shared" si="89"/>
        <v>51.440498050232243</v>
      </c>
      <c r="AL84" s="22">
        <f t="shared" si="58"/>
        <v>451.39878877082128</v>
      </c>
      <c r="AM84" s="62">
        <f t="shared" si="59"/>
        <v>744.73212210415454</v>
      </c>
      <c r="AN84" s="62">
        <f ca="1">AVERAGE(OFFSET($AM$3,0,0,'Données projet'!$E$10+1,1))-AVERAGE(OFFSET($H$3,0,0,'Données projet'!$E$10+1,1))</f>
        <v>348.84749506659495</v>
      </c>
      <c r="AO84" s="62">
        <f t="shared" si="90"/>
        <v>220.09202639602199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0.61102632899394771</v>
      </c>
      <c r="AW84" s="23">
        <f>EXP(-LN(2)/2)*AW83+(1-EXP(-LN(2)/2))/(LN(2)/2)*AQ84*AT84*VLOOKUP('Données projet'!$B$10,Paramètres!$A$1:$I$89,3,0)*0.475*44/12</f>
        <v>2.4622100330768877E-7</v>
      </c>
      <c r="AX84" s="23">
        <f t="shared" si="60"/>
        <v>0.61102657521495096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8.3000000000000007</v>
      </c>
      <c r="BD84" s="13">
        <f>IF('Données projet'!$A$88&gt;35,BD83+BC84-BL83,IF(A84&lt;'Données projet'!$A$88,$BA$205^A84,IF(A84='Données projet'!$A$88,'Données projet'!$B$88,BD83+BC84-BL83)))</f>
        <v>290.2999999999999</v>
      </c>
      <c r="BE84" s="14">
        <f>BD84*VLOOKUP('Données projet'!$B$11,Paramètres!$A$1:$I$89,3,0)*VLOOKUP('Données projet'!$B$11,Paramètres!$A$1:$I$89,5,0)</f>
        <v>135.86039999999994</v>
      </c>
      <c r="BF84" s="14">
        <f t="shared" si="91"/>
        <v>35.347031059244749</v>
      </c>
      <c r="BG84" s="22">
        <f t="shared" si="61"/>
        <v>298.18627576151783</v>
      </c>
      <c r="BH84" s="62">
        <f t="shared" si="62"/>
        <v>591.51960909485115</v>
      </c>
      <c r="BI84" s="62">
        <f ca="1">AVERAGE(OFFSET($BH$3,0,0,'Données projet'!$E$11+1,1))-AVERAGE(OFFSET($H$3,0,0,'Données projet'!$E$11+1,1))</f>
        <v>259.74478933784656</v>
      </c>
      <c r="BJ84" s="62">
        <f t="shared" si="92"/>
        <v>223.74038909289646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</v>
      </c>
      <c r="BY84" s="13">
        <f>IF('Données projet'!$A$114&gt;35,BY83+BX84-CG83,IF(A84&lt;'Données projet'!$A$114,$BV$205^A84,IF(A84='Données projet'!$A$114,'Données projet'!$B$114,BY83+BX84-CG83)))</f>
        <v>246.60000000000014</v>
      </c>
      <c r="BZ84" s="14">
        <f>BY84*VLOOKUP('Données projet'!$B$12,Paramètres!$A$1:$I$89,3,0)*VLOOKUP('Données projet'!$B$12,Paramètres!$A$1:$I$89,5,0)</f>
        <v>250.05240000000018</v>
      </c>
      <c r="CA84" s="14">
        <f t="shared" si="93"/>
        <v>60.597161386823522</v>
      </c>
      <c r="CB84" s="22">
        <f t="shared" si="64"/>
        <v>541.04798608205112</v>
      </c>
      <c r="CC84" s="62">
        <f t="shared" si="65"/>
        <v>834.3813194153845</v>
      </c>
      <c r="CD84" s="62">
        <f ca="1">AVERAGE(OFFSET($CC$3,0,0,'Données projet'!$E$12+1,1))-AVERAGE(OFFSET($H$3,0,0,'Données projet'!$E$12+1,1))</f>
        <v>411.75894069172358</v>
      </c>
      <c r="CE84" s="62">
        <f t="shared" si="94"/>
        <v>256.4377087753457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0.73549465527049329</v>
      </c>
      <c r="CM84" s="23">
        <f>EXP(-LN(2)/2)*CM83+(1-EXP(-LN(2)/2))/(LN(2)/2)*CG84*CJ84*VLOOKUP('Données projet'!$B$12,Paramètres!$A$1:$I$89,3,0)*0.475*44/12</f>
        <v>2.9637713361110678E-7</v>
      </c>
      <c r="CN84" s="24">
        <f t="shared" si="66"/>
        <v>0.7354949516476269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252.20000000000013</v>
      </c>
      <c r="O85" s="14">
        <f>N85*VLOOKUP('Données projet'!$B$9,Paramètres!$A$1:$I$89,3,0)*VLOOKUP('Données projet'!$B$9,Paramètres!$A$1:$I$89,5,0)</f>
        <v>228.19056000000012</v>
      </c>
      <c r="P85" s="14">
        <f t="shared" si="87"/>
        <v>55.891258634424609</v>
      </c>
      <c r="Q85" s="22">
        <f t="shared" si="54"/>
        <v>494.77583412162312</v>
      </c>
      <c r="R85" s="62">
        <f t="shared" si="55"/>
        <v>788.10916745495638</v>
      </c>
      <c r="S85" s="62">
        <f ca="1">AVERAGE(OFFSET($R$3,0,0,'Données projet'!$E$9+1,1))-AVERAGE(OFFSET($H$3,0,0,'Données projet'!$E$9+1,1))</f>
        <v>371.75294069149942</v>
      </c>
      <c r="T85" s="62">
        <f t="shared" si="88"/>
        <v>233.32640143610547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0.6383413212947695</v>
      </c>
      <c r="AB85" s="23">
        <f>EXP(-LN(2)/2)*AB84+(1-EXP(-LN(2)/2))/(LN(2)/2)*V85*Y85*VLOOKUP('Données projet'!$B$9,Paramètres!$A$1:$I$89,3,0)*0.475*44/12</f>
        <v>1.8700117378419402E-7</v>
      </c>
      <c r="AC85" s="24">
        <f t="shared" si="57"/>
        <v>0.63834150829594327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252.20000000000013</v>
      </c>
      <c r="AJ85" s="14">
        <f>AI85*VLOOKUP('Données projet'!$B$10,Paramètres!$A$1:$I$89,3,0)*VLOOKUP('Données projet'!$B$10,Paramètres!$A$1:$I$89,5,0)</f>
        <v>212.45328000000012</v>
      </c>
      <c r="AK85" s="14">
        <f t="shared" si="89"/>
        <v>52.471326175280439</v>
      </c>
      <c r="AL85" s="22">
        <f t="shared" si="58"/>
        <v>461.41035575528031</v>
      </c>
      <c r="AM85" s="62">
        <f t="shared" si="59"/>
        <v>754.74368908861356</v>
      </c>
      <c r="AN85" s="62">
        <f ca="1">AVERAGE(OFFSET($AM$3,0,0,'Données projet'!$E$10+1,1))-AVERAGE(OFFSET($H$3,0,0,'Données projet'!$E$10+1,1))</f>
        <v>348.84749506659495</v>
      </c>
      <c r="AO85" s="62">
        <f t="shared" si="90"/>
        <v>220.09202639602199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0.59431778189513007</v>
      </c>
      <c r="AW85" s="23">
        <f>EXP(-LN(2)/2)*AW84+(1-EXP(-LN(2)/2))/(LN(2)/2)*AQ85*AT85*VLOOKUP('Données projet'!$B$10,Paramètres!$A$1:$I$89,3,0)*0.475*44/12</f>
        <v>1.7410454110942208E-7</v>
      </c>
      <c r="AX85" s="23">
        <f t="shared" si="60"/>
        <v>0.59431795599967119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8.3000000000000007</v>
      </c>
      <c r="BD85" s="13">
        <f>IF('Données projet'!$A$88&gt;35,BD84+BC85-BL84,IF(A85&lt;'Données projet'!$A$88,$BA$205^A85,IF(A85='Données projet'!$A$88,'Données projet'!$B$88,BD84+BC85-BL84)))</f>
        <v>298.59999999999991</v>
      </c>
      <c r="BE85" s="14">
        <f>BD85*VLOOKUP('Données projet'!$B$11,Paramètres!$A$1:$I$89,3,0)*VLOOKUP('Données projet'!$B$11,Paramètres!$A$1:$I$89,5,0)</f>
        <v>139.74479999999997</v>
      </c>
      <c r="BF85" s="14">
        <f t="shared" si="91"/>
        <v>36.238536552104364</v>
      </c>
      <c r="BG85" s="22">
        <f t="shared" si="61"/>
        <v>306.50431116158171</v>
      </c>
      <c r="BH85" s="62">
        <f t="shared" si="62"/>
        <v>599.83764449491503</v>
      </c>
      <c r="BI85" s="62">
        <f ca="1">AVERAGE(OFFSET($BH$3,0,0,'Données projet'!$E$11+1,1))-AVERAGE(OFFSET($H$3,0,0,'Données projet'!$E$11+1,1))</f>
        <v>259.74478933784656</v>
      </c>
      <c r="BJ85" s="62">
        <f t="shared" si="92"/>
        <v>223.74038909289646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5.6</v>
      </c>
      <c r="BY85" s="13">
        <f>IF('Données projet'!$A$114&gt;35,BY84+BX85-CG84,IF(A85&lt;'Données projet'!$A$114,$BV$205^A85,IF(A85='Données projet'!$A$114,'Données projet'!$B$114,BY84+BX85-CG84)))</f>
        <v>252.20000000000013</v>
      </c>
      <c r="BZ85" s="14">
        <f>BY85*VLOOKUP('Données projet'!$B$12,Paramètres!$A$1:$I$89,3,0)*VLOOKUP('Données projet'!$B$12,Paramètres!$A$1:$I$89,5,0)</f>
        <v>255.73080000000016</v>
      </c>
      <c r="CA85" s="14">
        <f t="shared" si="93"/>
        <v>61.811482021795285</v>
      </c>
      <c r="CB85" s="22">
        <f t="shared" si="64"/>
        <v>553.05280785462708</v>
      </c>
      <c r="CC85" s="62">
        <f t="shared" si="65"/>
        <v>846.38614118796045</v>
      </c>
      <c r="CD85" s="62">
        <f ca="1">AVERAGE(OFFSET($CC$3,0,0,'Données projet'!$E$12+1,1))-AVERAGE(OFFSET($H$3,0,0,'Données projet'!$E$12+1,1))</f>
        <v>411.75894069172358</v>
      </c>
      <c r="CE85" s="62">
        <f t="shared" si="94"/>
        <v>256.4377087753457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0.71538251524413876</v>
      </c>
      <c r="CM85" s="23">
        <f>EXP(-LN(2)/2)*CM84+(1-EXP(-LN(2)/2))/(LN(2)/2)*CG85*CJ85*VLOOKUP('Données projet'!$B$12,Paramètres!$A$1:$I$89,3,0)*0.475*44/12</f>
        <v>2.0957028096504504E-7</v>
      </c>
      <c r="CN85" s="24">
        <f t="shared" si="66"/>
        <v>0.71538272481441978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257.80000000000013</v>
      </c>
      <c r="O86" s="14">
        <f>N86*VLOOKUP('Données projet'!$B$9,Paramètres!$A$1:$I$89,3,0)*VLOOKUP('Données projet'!$B$9,Paramètres!$A$1:$I$89,5,0)</f>
        <v>233.25744000000009</v>
      </c>
      <c r="P86" s="14">
        <f t="shared" si="87"/>
        <v>56.9864386904733</v>
      </c>
      <c r="Q86" s="22">
        <f t="shared" si="54"/>
        <v>505.50808871924113</v>
      </c>
      <c r="R86" s="62">
        <f t="shared" si="55"/>
        <v>798.84142205257444</v>
      </c>
      <c r="S86" s="62">
        <f ca="1">AVERAGE(OFFSET($R$3,0,0,'Données projet'!$E$9+1,1))-AVERAGE(OFFSET($H$3,0,0,'Données projet'!$E$9+1,1))</f>
        <v>371.75294069149942</v>
      </c>
      <c r="T86" s="62">
        <f t="shared" si="88"/>
        <v>233.32640143610547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0.62088584429505289</v>
      </c>
      <c r="AB86" s="23">
        <f>EXP(-LN(2)/2)*AB85+(1-EXP(-LN(2)/2))/(LN(2)/2)*V86*Y86*VLOOKUP('Données projet'!$B$9,Paramètres!$A$1:$I$89,3,0)*0.475*44/12</f>
        <v>1.3222979807264763E-7</v>
      </c>
      <c r="AC86" s="24">
        <f t="shared" si="57"/>
        <v>0.620885976524851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257.80000000000013</v>
      </c>
      <c r="AJ86" s="14">
        <f>AI86*VLOOKUP('Données projet'!$B$10,Paramètres!$A$1:$I$89,3,0)*VLOOKUP('Données projet'!$B$10,Paramètres!$A$1:$I$89,5,0)</f>
        <v>217.17072000000013</v>
      </c>
      <c r="AK86" s="14">
        <f t="shared" si="89"/>
        <v>53.499493215093679</v>
      </c>
      <c r="AL86" s="22">
        <f t="shared" si="58"/>
        <v>471.4172880162883</v>
      </c>
      <c r="AM86" s="62">
        <f t="shared" si="59"/>
        <v>764.75062134962161</v>
      </c>
      <c r="AN86" s="62">
        <f ca="1">AVERAGE(OFFSET($AM$3,0,0,'Données projet'!$E$10+1,1))-AVERAGE(OFFSET($H$3,0,0,'Données projet'!$E$10+1,1))</f>
        <v>348.84749506659495</v>
      </c>
      <c r="AO86" s="62">
        <f t="shared" si="90"/>
        <v>220.09202639602199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0.57806613089539394</v>
      </c>
      <c r="AW86" s="23">
        <f>EXP(-LN(2)/2)*AW85+(1-EXP(-LN(2)/2))/(LN(2)/2)*AQ86*AT86*VLOOKUP('Données projet'!$B$10,Paramètres!$A$1:$I$89,3,0)*0.475*44/12</f>
        <v>1.2311050165384439E-7</v>
      </c>
      <c r="AX86" s="23">
        <f t="shared" si="60"/>
        <v>0.57806625400589562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8.3000000000000007</v>
      </c>
      <c r="BD86" s="13">
        <f>IF('Données projet'!$A$88&gt;35,BD85+BC86-BL85,IF(A86&lt;'Données projet'!$A$88,$BA$205^A86,IF(A86='Données projet'!$A$88,'Données projet'!$B$88,BD85+BC86-BL85)))</f>
        <v>306.89999999999992</v>
      </c>
      <c r="BE86" s="14">
        <f>BD86*VLOOKUP('Données projet'!$B$11,Paramètres!$A$1:$I$89,3,0)*VLOOKUP('Données projet'!$B$11,Paramètres!$A$1:$I$89,5,0)</f>
        <v>143.62919999999997</v>
      </c>
      <c r="BF86" s="14">
        <f t="shared" si="91"/>
        <v>37.127161849234348</v>
      </c>
      <c r="BG86" s="22">
        <f t="shared" si="61"/>
        <v>314.81733022074974</v>
      </c>
      <c r="BH86" s="62">
        <f t="shared" si="62"/>
        <v>608.15066355408305</v>
      </c>
      <c r="BI86" s="62">
        <f ca="1">AVERAGE(OFFSET($BH$3,0,0,'Données projet'!$E$11+1,1))-AVERAGE(OFFSET($H$3,0,0,'Données projet'!$E$11+1,1))</f>
        <v>259.74478933784656</v>
      </c>
      <c r="BJ86" s="62">
        <f t="shared" si="92"/>
        <v>223.74038909289646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5.6</v>
      </c>
      <c r="BY86" s="13">
        <f>IF('Données projet'!$A$114&gt;35,BY85+BX86-CG85,IF(A86&lt;'Données projet'!$A$114,$BV$205^A86,IF(A86='Données projet'!$A$114,'Données projet'!$B$114,BY85+BX86-CG85)))</f>
        <v>257.80000000000013</v>
      </c>
      <c r="BZ86" s="14">
        <f>BY86*VLOOKUP('Données projet'!$B$12,Paramètres!$A$1:$I$89,3,0)*VLOOKUP('Données projet'!$B$12,Paramètres!$A$1:$I$89,5,0)</f>
        <v>261.40920000000011</v>
      </c>
      <c r="CA86" s="14">
        <f t="shared" si="93"/>
        <v>63.022667885185157</v>
      </c>
      <c r="CB86" s="22">
        <f t="shared" si="64"/>
        <v>565.052169900031</v>
      </c>
      <c r="CC86" s="62">
        <f t="shared" si="65"/>
        <v>858.38550323336426</v>
      </c>
      <c r="CD86" s="62">
        <f ca="1">AVERAGE(OFFSET($CC$3,0,0,'Données projet'!$E$12+1,1))-AVERAGE(OFFSET($H$3,0,0,'Données projet'!$E$12+1,1))</f>
        <v>411.75894069172358</v>
      </c>
      <c r="CE86" s="62">
        <f t="shared" si="94"/>
        <v>256.4377087753457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0.69582034274445637</v>
      </c>
      <c r="CM86" s="23">
        <f>EXP(-LN(2)/2)*CM85+(1-EXP(-LN(2)/2))/(LN(2)/2)*CG86*CJ86*VLOOKUP('Données projet'!$B$12,Paramètres!$A$1:$I$89,3,0)*0.475*44/12</f>
        <v>1.4818856680555339E-7</v>
      </c>
      <c r="CN86" s="24">
        <f t="shared" si="66"/>
        <v>0.69582049093302312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263.40000000000015</v>
      </c>
      <c r="O87" s="14">
        <f>N87*VLOOKUP('Données projet'!$B$9,Paramètres!$A$1:$I$89,3,0)*VLOOKUP('Données projet'!$B$9,Paramètres!$A$1:$I$89,5,0)</f>
        <v>238.32432000000011</v>
      </c>
      <c r="P87" s="14">
        <f t="shared" si="87"/>
        <v>58.078852882738808</v>
      </c>
      <c r="Q87" s="22">
        <f t="shared" si="54"/>
        <v>516.23552610410366</v>
      </c>
      <c r="R87" s="62">
        <f t="shared" si="55"/>
        <v>809.56885943743691</v>
      </c>
      <c r="S87" s="62">
        <f ca="1">AVERAGE(OFFSET($R$3,0,0,'Données projet'!$E$9+1,1))-AVERAGE(OFFSET($H$3,0,0,'Données projet'!$E$9+1,1))</f>
        <v>371.75294069149942</v>
      </c>
      <c r="T87" s="62">
        <f t="shared" si="88"/>
        <v>233.32640143610547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0.60390768823183716</v>
      </c>
      <c r="AB87" s="23">
        <f>EXP(-LN(2)/2)*AB86+(1-EXP(-LN(2)/2))/(LN(2)/2)*V87*Y87*VLOOKUP('Données projet'!$B$9,Paramètres!$A$1:$I$89,3,0)*0.475*44/12</f>
        <v>9.3500586892097011E-8</v>
      </c>
      <c r="AC87" s="24">
        <f t="shared" si="57"/>
        <v>0.6039077817324241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263.40000000000015</v>
      </c>
      <c r="AJ87" s="14">
        <f>AI87*VLOOKUP('Données projet'!$B$10,Paramètres!$A$1:$I$89,3,0)*VLOOKUP('Données projet'!$B$10,Paramètres!$A$1:$I$89,5,0)</f>
        <v>221.88816000000011</v>
      </c>
      <c r="AK87" s="14">
        <f t="shared" si="89"/>
        <v>54.525063631673348</v>
      </c>
      <c r="AL87" s="22">
        <f t="shared" si="58"/>
        <v>481.41969782516463</v>
      </c>
      <c r="AM87" s="62">
        <f t="shared" si="59"/>
        <v>774.75303115849795</v>
      </c>
      <c r="AN87" s="62">
        <f ca="1">AVERAGE(OFFSET($AM$3,0,0,'Données projet'!$E$10+1,1))-AVERAGE(OFFSET($H$3,0,0,'Données projet'!$E$10+1,1))</f>
        <v>348.84749506659495</v>
      </c>
      <c r="AO87" s="62">
        <f t="shared" si="90"/>
        <v>220.09202639602199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0.5622588821468828</v>
      </c>
      <c r="AW87" s="23">
        <f>EXP(-LN(2)/2)*AW86+(1-EXP(-LN(2)/2))/(LN(2)/2)*AQ87*AT87*VLOOKUP('Données projet'!$B$10,Paramètres!$A$1:$I$89,3,0)*0.475*44/12</f>
        <v>8.7052270554711042E-8</v>
      </c>
      <c r="AX87" s="23">
        <f t="shared" si="60"/>
        <v>0.5622589691991533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8.3000000000000007</v>
      </c>
      <c r="BD87" s="13">
        <f>IF('Données projet'!$A$88&gt;35,BD86+BC87-BL86,IF(A87&lt;'Données projet'!$A$88,$BA$205^A87,IF(A87='Données projet'!$A$88,'Données projet'!$B$88,BD86+BC87-BL86)))</f>
        <v>315.19999999999993</v>
      </c>
      <c r="BE87" s="14">
        <f>BD87*VLOOKUP('Données projet'!$B$11,Paramètres!$A$1:$I$89,3,0)*VLOOKUP('Données projet'!$B$11,Paramètres!$A$1:$I$89,5,0)</f>
        <v>147.51359999999997</v>
      </c>
      <c r="BF87" s="14">
        <f t="shared" si="91"/>
        <v>38.012993796041464</v>
      </c>
      <c r="BG87" s="22">
        <f t="shared" si="61"/>
        <v>323.12548419477213</v>
      </c>
      <c r="BH87" s="62">
        <f t="shared" si="62"/>
        <v>616.45881752810544</v>
      </c>
      <c r="BI87" s="62">
        <f ca="1">AVERAGE(OFFSET($BH$3,0,0,'Données projet'!$E$11+1,1))-AVERAGE(OFFSET($H$3,0,0,'Données projet'!$E$11+1,1))</f>
        <v>259.74478933784656</v>
      </c>
      <c r="BJ87" s="62">
        <f t="shared" si="92"/>
        <v>223.74038909289646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5.6</v>
      </c>
      <c r="BY87" s="13">
        <f>IF('Données projet'!$A$114&gt;35,BY86+BX87-CG86,IF(A87&lt;'Données projet'!$A$114,$BV$205^A87,IF(A87='Données projet'!$A$114,'Données projet'!$B$114,BY86+BX87-CG86)))</f>
        <v>263.40000000000015</v>
      </c>
      <c r="BZ87" s="14">
        <f>BY87*VLOOKUP('Données projet'!$B$12,Paramètres!$A$1:$I$89,3,0)*VLOOKUP('Données projet'!$B$12,Paramètres!$A$1:$I$89,5,0)</f>
        <v>267.08760000000018</v>
      </c>
      <c r="CA87" s="14">
        <f t="shared" si="93"/>
        <v>64.230794913549914</v>
      </c>
      <c r="CB87" s="22">
        <f t="shared" si="64"/>
        <v>577.04620447443301</v>
      </c>
      <c r="CC87" s="62">
        <f t="shared" si="65"/>
        <v>870.37953780776638</v>
      </c>
      <c r="CD87" s="62">
        <f ca="1">AVERAGE(OFFSET($CC$3,0,0,'Données projet'!$E$12+1,1))-AVERAGE(OFFSET($H$3,0,0,'Données projet'!$E$12+1,1))</f>
        <v>411.75894069172358</v>
      </c>
      <c r="CE87" s="62">
        <f t="shared" si="94"/>
        <v>256.4377087753457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0.67679309888050765</v>
      </c>
      <c r="CM87" s="23">
        <f>EXP(-LN(2)/2)*CM86+(1-EXP(-LN(2)/2))/(LN(2)/2)*CG87*CJ87*VLOOKUP('Données projet'!$B$12,Paramètres!$A$1:$I$89,3,0)*0.475*44/12</f>
        <v>1.0478514048252252E-7</v>
      </c>
      <c r="CN87" s="24">
        <f t="shared" si="66"/>
        <v>0.6767932036656481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5.6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269.00000000000017</v>
      </c>
      <c r="O88" s="14">
        <f>N88*VLOOKUP('Données projet'!$B$9,Paramètres!$A$1:$I$89,3,0)*VLOOKUP('Données projet'!$B$9,Paramètres!$A$1:$I$89,5,0)</f>
        <v>243.39120000000017</v>
      </c>
      <c r="P88" s="14">
        <f t="shared" si="87"/>
        <v>59.168566788241577</v>
      </c>
      <c r="Q88" s="22">
        <f t="shared" si="54"/>
        <v>526.95826048952097</v>
      </c>
      <c r="R88" s="62">
        <f t="shared" si="55"/>
        <v>820.29159382285434</v>
      </c>
      <c r="S88" s="62">
        <f ca="1">AVERAGE(OFFSET($R$3,0,0,'Données projet'!$E$9+1,1))-AVERAGE(OFFSET($H$3,0,0,'Données projet'!$E$9+1,1))</f>
        <v>371.75294069149942</v>
      </c>
      <c r="T88" s="62">
        <f t="shared" si="88"/>
        <v>233.32640143610547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0.58739380073901248</v>
      </c>
      <c r="AB88" s="23">
        <f>EXP(-LN(2)/2)*AB87+(1-EXP(-LN(2)/2))/(LN(2)/2)*V88*Y88*VLOOKUP('Données projet'!$B$9,Paramètres!$A$1:$I$89,3,0)*0.475*44/12</f>
        <v>6.6114899036323814E-8</v>
      </c>
      <c r="AC88" s="24">
        <f t="shared" si="57"/>
        <v>0.58739386685391148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269.00000000000017</v>
      </c>
      <c r="AJ88" s="14">
        <f>AI88*VLOOKUP('Données projet'!$B$10,Paramètres!$A$1:$I$89,3,0)*VLOOKUP('Données projet'!$B$10,Paramètres!$A$1:$I$89,5,0)</f>
        <v>226.60560000000018</v>
      </c>
      <c r="AK88" s="14">
        <f t="shared" si="89"/>
        <v>55.548098989444973</v>
      </c>
      <c r="AL88" s="22">
        <f t="shared" si="58"/>
        <v>491.41769240661694</v>
      </c>
      <c r="AM88" s="62">
        <f t="shared" si="59"/>
        <v>784.75102573995025</v>
      </c>
      <c r="AN88" s="62">
        <f ca="1">AVERAGE(OFFSET($AM$3,0,0,'Données projet'!$E$10+1,1))-AVERAGE(OFFSET($H$3,0,0,'Données projet'!$E$10+1,1))</f>
        <v>348.84749506659495</v>
      </c>
      <c r="AO88" s="62">
        <f t="shared" si="90"/>
        <v>220.09202639602199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0.54688388344666672</v>
      </c>
      <c r="AW88" s="23">
        <f>EXP(-LN(2)/2)*AW87+(1-EXP(-LN(2)/2))/(LN(2)/2)*AQ88*AT88*VLOOKUP('Données projet'!$B$10,Paramètres!$A$1:$I$89,3,0)*0.475*44/12</f>
        <v>6.1555250826922193E-8</v>
      </c>
      <c r="AX88" s="23">
        <f t="shared" si="60"/>
        <v>0.5468839450019175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8.3000000000000007</v>
      </c>
      <c r="BD88" s="13">
        <f>IF('Données projet'!$A$88&gt;35,BD87+BC88-BL87,IF(A88&lt;'Données projet'!$A$88,$BA$205^A88,IF(A88='Données projet'!$A$88,'Données projet'!$B$88,BD87+BC88-BL87)))</f>
        <v>323.49999999999994</v>
      </c>
      <c r="BE88" s="14">
        <f>BD88*VLOOKUP('Données projet'!$B$11,Paramètres!$A$1:$I$89,3,0)*VLOOKUP('Données projet'!$B$11,Paramètres!$A$1:$I$89,5,0)</f>
        <v>151.39799999999997</v>
      </c>
      <c r="BF88" s="14">
        <f t="shared" si="91"/>
        <v>38.896114403754709</v>
      </c>
      <c r="BG88" s="22">
        <f t="shared" si="61"/>
        <v>331.42891591987274</v>
      </c>
      <c r="BH88" s="62">
        <f t="shared" si="62"/>
        <v>624.76224925320605</v>
      </c>
      <c r="BI88" s="62">
        <f ca="1">AVERAGE(OFFSET($BH$3,0,0,'Données projet'!$E$11+1,1))-AVERAGE(OFFSET($H$3,0,0,'Données projet'!$E$11+1,1))</f>
        <v>259.74478933784656</v>
      </c>
      <c r="BJ88" s="62">
        <f t="shared" si="92"/>
        <v>223.74038909289646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269</v>
      </c>
      <c r="BW88" s="13">
        <f>VLOOKUP(A88,'Données projet'!$A$113:$I$133,9,0)</f>
        <v>5.6</v>
      </c>
      <c r="BX88" s="13">
        <f t="array" ref="BX88">INDEX(BW:BW,MIN(IF(ISNUMBER(BW88:BW284),ROW(BW88:BW284),"")))</f>
        <v>5.6</v>
      </c>
      <c r="BY88" s="13">
        <f>IF('Données projet'!$A$114&gt;35,BY87+BX88-CG87,IF(A88&lt;'Données projet'!$A$114,$BV$205^A88,IF(A88='Données projet'!$A$114,'Données projet'!$B$114,BY87+BX88-CG87)))</f>
        <v>269.00000000000017</v>
      </c>
      <c r="BZ88" s="14">
        <f>BY88*VLOOKUP('Données projet'!$B$12,Paramètres!$A$1:$I$89,3,0)*VLOOKUP('Données projet'!$B$12,Paramètres!$A$1:$I$89,5,0)</f>
        <v>272.76600000000019</v>
      </c>
      <c r="CA88" s="14">
        <f t="shared" si="93"/>
        <v>65.435935630087627</v>
      </c>
      <c r="CB88" s="22">
        <f t="shared" si="64"/>
        <v>589.03503788906949</v>
      </c>
      <c r="CC88" s="62">
        <f t="shared" si="65"/>
        <v>882.36837122240286</v>
      </c>
      <c r="CD88" s="62">
        <f ca="1">AVERAGE(OFFSET($CC$3,0,0,'Données projet'!$E$12+1,1))-AVERAGE(OFFSET($H$3,0,0,'Données projet'!$E$12+1,1))</f>
        <v>411.75894069172358</v>
      </c>
      <c r="CE88" s="62">
        <f t="shared" si="94"/>
        <v>256.4377087753457</v>
      </c>
      <c r="CF88" s="16">
        <f>IF(ISNA(VLOOKUP(A88,'Données projet'!$A$113:$I$133,3,0)),0,VLOOKUP(A88,'Données projet'!$A$113:$I$133,3,0))</f>
        <v>13</v>
      </c>
      <c r="CG88" s="16">
        <f>IF(ISNA(VLOOKUP(A88,'Données projet'!$A$113:$I$133,4,0)),0,VLOOKUP(A88,'Données projet'!$A$113:$I$133,4,0))</f>
        <v>21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0.65828615600061791</v>
      </c>
      <c r="CM88" s="23">
        <f>EXP(-LN(2)/2)*CM87+(1-EXP(-LN(2)/2))/(LN(2)/2)*CG88*CJ88*VLOOKUP('Données projet'!$B$12,Paramètres!$A$1:$I$89,3,0)*0.475*44/12</f>
        <v>7.4094283402776696E-8</v>
      </c>
      <c r="CN88" s="24">
        <f t="shared" si="66"/>
        <v>0.65828623009490128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253.40000000000015</v>
      </c>
      <c r="O89" s="14">
        <f>N89*VLOOKUP('Données projet'!$B$9,Paramètres!$A$1:$I$89,3,0)*VLOOKUP('Données projet'!$B$9,Paramètres!$A$1:$I$89,5,0)</f>
        <v>229.27632000000011</v>
      </c>
      <c r="P89" s="14">
        <f t="shared" si="87"/>
        <v>56.126176307517476</v>
      </c>
      <c r="Q89" s="22">
        <f t="shared" si="54"/>
        <v>497.07601440225977</v>
      </c>
      <c r="R89" s="62">
        <f t="shared" si="55"/>
        <v>790.40934773559309</v>
      </c>
      <c r="S89" s="62">
        <f ca="1">AVERAGE(OFFSET($R$3,0,0,'Données projet'!$E$9+1,1))-AVERAGE(OFFSET($H$3,0,0,'Données projet'!$E$9+1,1))</f>
        <v>371.75294069149942</v>
      </c>
      <c r="T89" s="62">
        <f t="shared" si="88"/>
        <v>233.32640143610547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0.57133148636810671</v>
      </c>
      <c r="AB89" s="23">
        <f>EXP(-LN(2)/2)*AB88+(1-EXP(-LN(2)/2))/(LN(2)/2)*V89*Y89*VLOOKUP('Données projet'!$B$9,Paramètres!$A$1:$I$89,3,0)*0.475*44/12</f>
        <v>4.6750293446048505E-8</v>
      </c>
      <c r="AC89" s="24">
        <f t="shared" si="57"/>
        <v>0.57133153311840013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253.40000000000015</v>
      </c>
      <c r="AJ89" s="14">
        <f>AI89*VLOOKUP('Données projet'!$B$10,Paramètres!$A$1:$I$89,3,0)*VLOOKUP('Données projet'!$B$10,Paramètres!$A$1:$I$89,5,0)</f>
        <v>213.46416000000016</v>
      </c>
      <c r="AK89" s="14">
        <f t="shared" si="89"/>
        <v>52.691869461482291</v>
      </c>
      <c r="AL89" s="22">
        <f t="shared" si="58"/>
        <v>463.55508464541521</v>
      </c>
      <c r="AM89" s="62">
        <f t="shared" si="59"/>
        <v>756.88841797874852</v>
      </c>
      <c r="AN89" s="62">
        <f ca="1">AVERAGE(OFFSET($AM$3,0,0,'Données projet'!$E$10+1,1))-AVERAGE(OFFSET($H$3,0,0,'Données projet'!$E$10+1,1))</f>
        <v>348.84749506659495</v>
      </c>
      <c r="AO89" s="62">
        <f t="shared" si="90"/>
        <v>220.09202639602199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0.53192931489444406</v>
      </c>
      <c r="AW89" s="23">
        <f>EXP(-LN(2)/2)*AW88+(1-EXP(-LN(2)/2))/(LN(2)/2)*AQ89*AT89*VLOOKUP('Données projet'!$B$10,Paramètres!$A$1:$I$89,3,0)*0.475*44/12</f>
        <v>4.3526135277355521E-8</v>
      </c>
      <c r="AX89" s="23">
        <f t="shared" si="60"/>
        <v>0.53192935842057931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8.3000000000000007</v>
      </c>
      <c r="BD89" s="13">
        <f>IF('Données projet'!$A$88&gt;35,BD88+BC89-BL88,IF(A89&lt;'Données projet'!$A$88,$BA$205^A89,IF(A89='Données projet'!$A$88,'Données projet'!$B$88,BD88+BC89-BL88)))</f>
        <v>331.79999999999995</v>
      </c>
      <c r="BE89" s="14">
        <f>BD89*VLOOKUP('Données projet'!$B$11,Paramètres!$A$1:$I$89,3,0)*VLOOKUP('Données projet'!$B$11,Paramètres!$A$1:$I$89,5,0)</f>
        <v>155.28239999999997</v>
      </c>
      <c r="BF89" s="14">
        <f t="shared" si="91"/>
        <v>39.776601235546408</v>
      </c>
      <c r="BG89" s="22">
        <f t="shared" si="61"/>
        <v>339.72776048524321</v>
      </c>
      <c r="BH89" s="62">
        <f t="shared" si="62"/>
        <v>633.06109381857652</v>
      </c>
      <c r="BI89" s="62">
        <f ca="1">AVERAGE(OFFSET($BH$3,0,0,'Données projet'!$E$11+1,1))-AVERAGE(OFFSET($H$3,0,0,'Données projet'!$E$11+1,1))</f>
        <v>259.74478933784656</v>
      </c>
      <c r="BJ89" s="62">
        <f t="shared" si="92"/>
        <v>223.74038909289646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5.4</v>
      </c>
      <c r="BY89" s="13">
        <f>IF('Données projet'!$A$114&gt;35,BY88+BX89-CG88,IF(A89&lt;'Données projet'!$A$114,$BV$205^A89,IF(A89='Données projet'!$A$114,'Données projet'!$B$114,BY88+BX89-CG88)))</f>
        <v>253.40000000000015</v>
      </c>
      <c r="BZ89" s="14">
        <f>BY89*VLOOKUP('Données projet'!$B$12,Paramètres!$A$1:$I$89,3,0)*VLOOKUP('Données projet'!$B$12,Paramètres!$A$1:$I$89,5,0)</f>
        <v>256.94760000000014</v>
      </c>
      <c r="CA89" s="14">
        <f t="shared" si="93"/>
        <v>62.071283104858303</v>
      </c>
      <c r="CB89" s="22">
        <f t="shared" si="64"/>
        <v>555.6245547409618</v>
      </c>
      <c r="CC89" s="62">
        <f t="shared" si="65"/>
        <v>848.95788807429517</v>
      </c>
      <c r="CD89" s="62">
        <f ca="1">AVERAGE(OFFSET($CC$3,0,0,'Données projet'!$E$12+1,1))-AVERAGE(OFFSET($H$3,0,0,'Données projet'!$E$12+1,1))</f>
        <v>411.75894069172358</v>
      </c>
      <c r="CE89" s="62">
        <f t="shared" si="94"/>
        <v>256.4377087753457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0.64028528644701654</v>
      </c>
      <c r="CM89" s="23">
        <f>EXP(-LN(2)/2)*CM88+(1-EXP(-LN(2)/2))/(LN(2)/2)*CG89*CJ89*VLOOKUP('Données projet'!$B$12,Paramètres!$A$1:$I$89,3,0)*0.475*44/12</f>
        <v>5.2392570241261261E-8</v>
      </c>
      <c r="CN89" s="24">
        <f t="shared" si="66"/>
        <v>0.64028533883958683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258.80000000000013</v>
      </c>
      <c r="O90" s="14">
        <f>N90*VLOOKUP('Données projet'!$B$9,Paramètres!$A$1:$I$89,3,0)*VLOOKUP('Données projet'!$B$9,Paramètres!$A$1:$I$89,5,0)</f>
        <v>234.16224000000011</v>
      </c>
      <c r="P90" s="14">
        <f t="shared" si="87"/>
        <v>57.181713578143096</v>
      </c>
      <c r="Q90" s="22">
        <f t="shared" si="54"/>
        <v>507.42405248193273</v>
      </c>
      <c r="R90" s="62">
        <f t="shared" si="55"/>
        <v>800.75738581526605</v>
      </c>
      <c r="S90" s="62">
        <f ca="1">AVERAGE(OFFSET($R$3,0,0,'Données projet'!$E$9+1,1))-AVERAGE(OFFSET($H$3,0,0,'Données projet'!$E$9+1,1))</f>
        <v>371.75294069149942</v>
      </c>
      <c r="T90" s="62">
        <f t="shared" si="88"/>
        <v>233.32640143610547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0.55570839682835371</v>
      </c>
      <c r="AB90" s="23">
        <f>EXP(-LN(2)/2)*AB89+(1-EXP(-LN(2)/2))/(LN(2)/2)*V90*Y90*VLOOKUP('Données projet'!$B$9,Paramètres!$A$1:$I$89,3,0)*0.475*44/12</f>
        <v>3.3057449518161907E-8</v>
      </c>
      <c r="AC90" s="24">
        <f t="shared" si="57"/>
        <v>0.55570842988580327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258.80000000000013</v>
      </c>
      <c r="AJ90" s="14">
        <f>AI90*VLOOKUP('Données projet'!$B$10,Paramètres!$A$1:$I$89,3,0)*VLOOKUP('Données projet'!$B$10,Paramètres!$A$1:$I$89,5,0)</f>
        <v>218.0131200000001</v>
      </c>
      <c r="AK90" s="14">
        <f t="shared" si="89"/>
        <v>53.68281941985466</v>
      </c>
      <c r="AL90" s="22">
        <f t="shared" si="58"/>
        <v>473.20376115624708</v>
      </c>
      <c r="AM90" s="62">
        <f t="shared" si="59"/>
        <v>766.53709448958034</v>
      </c>
      <c r="AN90" s="62">
        <f ca="1">AVERAGE(OFFSET($AM$3,0,0,'Données projet'!$E$10+1,1))-AVERAGE(OFFSET($H$3,0,0,'Données projet'!$E$10+1,1))</f>
        <v>348.84749506659495</v>
      </c>
      <c r="AO90" s="62">
        <f t="shared" si="90"/>
        <v>220.09202639602199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0.51738367980570854</v>
      </c>
      <c r="AW90" s="23">
        <f>EXP(-LN(2)/2)*AW89+(1-EXP(-LN(2)/2))/(LN(2)/2)*AQ90*AT90*VLOOKUP('Données projet'!$B$10,Paramètres!$A$1:$I$89,3,0)*0.475*44/12</f>
        <v>3.0777625413461096E-8</v>
      </c>
      <c r="AX90" s="23">
        <f t="shared" si="60"/>
        <v>0.51738371058333399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8.3000000000000007</v>
      </c>
      <c r="BD90" s="13">
        <f>IF('Données projet'!$A$88&gt;35,BD89+BC90-BL89,IF(A90&lt;'Données projet'!$A$88,$BA$205^A90,IF(A90='Données projet'!$A$88,'Données projet'!$B$88,BD89+BC90-BL89)))</f>
        <v>340.09999999999997</v>
      </c>
      <c r="BE90" s="14">
        <f>BD90*VLOOKUP('Données projet'!$B$11,Paramètres!$A$1:$I$89,3,0)*VLOOKUP('Données projet'!$B$11,Paramètres!$A$1:$I$89,5,0)</f>
        <v>159.16679999999997</v>
      </c>
      <c r="BF90" s="14">
        <f t="shared" si="91"/>
        <v>40.654527752930747</v>
      </c>
      <c r="BG90" s="22">
        <f t="shared" si="61"/>
        <v>348.02214583635424</v>
      </c>
      <c r="BH90" s="62">
        <f t="shared" si="62"/>
        <v>641.35547916968756</v>
      </c>
      <c r="BI90" s="62">
        <f ca="1">AVERAGE(OFFSET($BH$3,0,0,'Données projet'!$E$11+1,1))-AVERAGE(OFFSET($H$3,0,0,'Données projet'!$E$11+1,1))</f>
        <v>259.74478933784656</v>
      </c>
      <c r="BJ90" s="62">
        <f t="shared" si="92"/>
        <v>223.74038909289646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5.4</v>
      </c>
      <c r="BY90" s="13">
        <f>IF('Données projet'!$A$114&gt;35,BY89+BX90-CG89,IF(A90&lt;'Données projet'!$A$114,$BV$205^A90,IF(A90='Données projet'!$A$114,'Données projet'!$B$114,BY89+BX90-CG89)))</f>
        <v>258.80000000000013</v>
      </c>
      <c r="BZ90" s="14">
        <f>BY90*VLOOKUP('Données projet'!$B$12,Paramètres!$A$1:$I$89,3,0)*VLOOKUP('Données projet'!$B$12,Paramètres!$A$1:$I$89,5,0)</f>
        <v>262.42320000000012</v>
      </c>
      <c r="CA90" s="14">
        <f t="shared" si="93"/>
        <v>63.23862706204779</v>
      </c>
      <c r="CB90" s="22">
        <f t="shared" si="64"/>
        <v>567.19434879973335</v>
      </c>
      <c r="CC90" s="62">
        <f t="shared" si="65"/>
        <v>860.52768213306672</v>
      </c>
      <c r="CD90" s="62">
        <f ca="1">AVERAGE(OFFSET($CC$3,0,0,'Données projet'!$E$12+1,1))-AVERAGE(OFFSET($H$3,0,0,'Données projet'!$E$12+1,1))</f>
        <v>411.75894069172358</v>
      </c>
      <c r="CE90" s="62">
        <f t="shared" si="94"/>
        <v>256.4377087753457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0.62277665161798301</v>
      </c>
      <c r="CM90" s="23">
        <f>EXP(-LN(2)/2)*CM89+(1-EXP(-LN(2)/2))/(LN(2)/2)*CG90*CJ90*VLOOKUP('Données projet'!$B$12,Paramètres!$A$1:$I$89,3,0)*0.475*44/12</f>
        <v>3.7047141701388348E-8</v>
      </c>
      <c r="CN90" s="24">
        <f t="shared" si="66"/>
        <v>0.6227766886651247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264.2000000000001</v>
      </c>
      <c r="O91" s="14">
        <f>N91*VLOOKUP('Données projet'!$B$9,Paramètres!$A$1:$I$89,3,0)*VLOOKUP('Données projet'!$B$9,Paramètres!$A$1:$I$89,5,0)</f>
        <v>239.04816000000008</v>
      </c>
      <c r="P91" s="14">
        <f t="shared" si="87"/>
        <v>58.234690128947342</v>
      </c>
      <c r="Q91" s="22">
        <f t="shared" si="54"/>
        <v>517.76763064125009</v>
      </c>
      <c r="R91" s="62">
        <f t="shared" si="55"/>
        <v>811.10096397458346</v>
      </c>
      <c r="S91" s="62">
        <f ca="1">AVERAGE(OFFSET($R$3,0,0,'Données projet'!$E$9+1,1))-AVERAGE(OFFSET($H$3,0,0,'Données projet'!$E$9+1,1))</f>
        <v>371.75294069149942</v>
      </c>
      <c r="T91" s="62">
        <f t="shared" si="88"/>
        <v>233.32640143610547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0.54051252149364792</v>
      </c>
      <c r="AB91" s="23">
        <f>EXP(-LN(2)/2)*AB90+(1-EXP(-LN(2)/2))/(LN(2)/2)*V91*Y91*VLOOKUP('Données projet'!$B$9,Paramètres!$A$1:$I$89,3,0)*0.475*44/12</f>
        <v>2.3375146723024253E-8</v>
      </c>
      <c r="AC91" s="24">
        <f t="shared" si="57"/>
        <v>0.54051254486879463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264.2000000000001</v>
      </c>
      <c r="AJ91" s="14">
        <f>AI91*VLOOKUP('Données projet'!$B$10,Paramètres!$A$1:$I$89,3,0)*VLOOKUP('Données projet'!$B$10,Paramètres!$A$1:$I$89,5,0)</f>
        <v>222.56208000000009</v>
      </c>
      <c r="AK91" s="14">
        <f t="shared" si="89"/>
        <v>54.671365346393173</v>
      </c>
      <c r="AL91" s="22">
        <f t="shared" si="58"/>
        <v>482.84825064496823</v>
      </c>
      <c r="AM91" s="62">
        <f t="shared" si="59"/>
        <v>776.18158397830155</v>
      </c>
      <c r="AN91" s="62">
        <f ca="1">AVERAGE(OFFSET($AM$3,0,0,'Données projet'!$E$10+1,1))-AVERAGE(OFFSET($H$3,0,0,'Données projet'!$E$10+1,1))</f>
        <v>348.84749506659495</v>
      </c>
      <c r="AO91" s="62">
        <f t="shared" si="90"/>
        <v>220.09202639602199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0.50323579587339617</v>
      </c>
      <c r="AW91" s="23">
        <f>EXP(-LN(2)/2)*AW90+(1-EXP(-LN(2)/2))/(LN(2)/2)*AQ91*AT91*VLOOKUP('Données projet'!$B$10,Paramètres!$A$1:$I$89,3,0)*0.475*44/12</f>
        <v>2.1763067638677761E-8</v>
      </c>
      <c r="AX91" s="23">
        <f t="shared" si="60"/>
        <v>0.50323581763646386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8.3000000000000007</v>
      </c>
      <c r="BD91" s="13">
        <f>IF('Données projet'!$A$88&gt;35,BD90+BC91-BL90,IF(A91&lt;'Données projet'!$A$88,$BA$205^A91,IF(A91='Données projet'!$A$88,'Données projet'!$B$88,BD90+BC91-BL90)))</f>
        <v>348.4</v>
      </c>
      <c r="BE91" s="14">
        <f>BD91*VLOOKUP('Données projet'!$B$11,Paramètres!$A$1:$I$89,3,0)*VLOOKUP('Données projet'!$B$11,Paramètres!$A$1:$I$89,5,0)</f>
        <v>163.05119999999999</v>
      </c>
      <c r="BF91" s="14">
        <f t="shared" si="91"/>
        <v>41.529963627394977</v>
      </c>
      <c r="BG91" s="22">
        <f t="shared" si="61"/>
        <v>356.31219331771285</v>
      </c>
      <c r="BH91" s="62">
        <f t="shared" si="62"/>
        <v>649.64552665104611</v>
      </c>
      <c r="BI91" s="62">
        <f ca="1">AVERAGE(OFFSET($BH$3,0,0,'Données projet'!$E$11+1,1))-AVERAGE(OFFSET($H$3,0,0,'Données projet'!$E$11+1,1))</f>
        <v>259.74478933784656</v>
      </c>
      <c r="BJ91" s="62">
        <f t="shared" si="92"/>
        <v>223.74038909289646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5.4</v>
      </c>
      <c r="BY91" s="13">
        <f>IF('Données projet'!$A$114&gt;35,BY90+BX91-CG90,IF(A91&lt;'Données projet'!$A$114,$BV$205^A91,IF(A91='Données projet'!$A$114,'Données projet'!$B$114,BY90+BX91-CG90)))</f>
        <v>264.2000000000001</v>
      </c>
      <c r="BZ91" s="14">
        <f>BY91*VLOOKUP('Données projet'!$B$12,Paramètres!$A$1:$I$89,3,0)*VLOOKUP('Données projet'!$B$12,Paramètres!$A$1:$I$89,5,0)</f>
        <v>267.89880000000011</v>
      </c>
      <c r="CA91" s="14">
        <f t="shared" si="93"/>
        <v>64.403139057834565</v>
      </c>
      <c r="CB91" s="22">
        <f t="shared" si="64"/>
        <v>578.75921052572869</v>
      </c>
      <c r="CC91" s="62">
        <f t="shared" si="65"/>
        <v>872.09254385906206</v>
      </c>
      <c r="CD91" s="62">
        <f ca="1">AVERAGE(OFFSET($CC$3,0,0,'Données projet'!$E$12+1,1))-AVERAGE(OFFSET($H$3,0,0,'Données projet'!$E$12+1,1))</f>
        <v>411.75894069172358</v>
      </c>
      <c r="CE91" s="62">
        <f t="shared" si="94"/>
        <v>256.4377087753457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0.60574679132908849</v>
      </c>
      <c r="CM91" s="23">
        <f>EXP(-LN(2)/2)*CM90+(1-EXP(-LN(2)/2))/(LN(2)/2)*CG91*CJ91*VLOOKUP('Données projet'!$B$12,Paramètres!$A$1:$I$89,3,0)*0.475*44/12</f>
        <v>2.6196285120630631E-8</v>
      </c>
      <c r="CN91" s="24">
        <f t="shared" si="66"/>
        <v>0.60574681752537363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269.60000000000008</v>
      </c>
      <c r="O92" s="14">
        <f>N92*VLOOKUP('Données projet'!$B$9,Paramètres!$A$1:$I$89,3,0)*VLOOKUP('Données projet'!$B$9,Paramètres!$A$1:$I$89,5,0)</f>
        <v>243.93408000000005</v>
      </c>
      <c r="P92" s="14">
        <f t="shared" si="87"/>
        <v>59.28516432961765</v>
      </c>
      <c r="Q92" s="22">
        <f t="shared" si="54"/>
        <v>528.10685054075077</v>
      </c>
      <c r="R92" s="62">
        <f t="shared" si="55"/>
        <v>821.44018387408414</v>
      </c>
      <c r="S92" s="62">
        <f ca="1">AVERAGE(OFFSET($R$3,0,0,'Données projet'!$E$9+1,1))-AVERAGE(OFFSET($H$3,0,0,'Données projet'!$E$9+1,1))</f>
        <v>371.75294069149942</v>
      </c>
      <c r="T92" s="62">
        <f t="shared" si="88"/>
        <v>233.32640143610547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0.52573217816908602</v>
      </c>
      <c r="AB92" s="23">
        <f>EXP(-LN(2)/2)*AB91+(1-EXP(-LN(2)/2))/(LN(2)/2)*V92*Y92*VLOOKUP('Données projet'!$B$9,Paramètres!$A$1:$I$89,3,0)*0.475*44/12</f>
        <v>1.6528724759080954E-8</v>
      </c>
      <c r="AC92" s="24">
        <f t="shared" si="57"/>
        <v>0.52573219469781074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269.60000000000008</v>
      </c>
      <c r="AJ92" s="14">
        <f>AI92*VLOOKUP('Données projet'!$B$10,Paramètres!$A$1:$I$89,3,0)*VLOOKUP('Données projet'!$B$10,Paramètres!$A$1:$I$89,5,0)</f>
        <v>227.11104000000009</v>
      </c>
      <c r="AK92" s="14">
        <f t="shared" si="89"/>
        <v>55.657562039200094</v>
      </c>
      <c r="AL92" s="22">
        <f t="shared" si="58"/>
        <v>492.48864855160696</v>
      </c>
      <c r="AM92" s="62">
        <f t="shared" si="59"/>
        <v>785.82198188494021</v>
      </c>
      <c r="AN92" s="62">
        <f ca="1">AVERAGE(OFFSET($AM$3,0,0,'Données projet'!$E$10+1,1))-AVERAGE(OFFSET($H$3,0,0,'Données projet'!$E$10+1,1))</f>
        <v>348.84749506659495</v>
      </c>
      <c r="AO92" s="62">
        <f t="shared" si="90"/>
        <v>220.09202639602199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0.48947478657121779</v>
      </c>
      <c r="AW92" s="23">
        <f>EXP(-LN(2)/2)*AW91+(1-EXP(-LN(2)/2))/(LN(2)/2)*AQ92*AT92*VLOOKUP('Données projet'!$B$10,Paramètres!$A$1:$I$89,3,0)*0.475*44/12</f>
        <v>1.5388812706730548E-8</v>
      </c>
      <c r="AX92" s="23">
        <f t="shared" si="60"/>
        <v>0.48947480196003051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8.3000000000000007</v>
      </c>
      <c r="BD92" s="13">
        <f>IF('Données projet'!$A$88&gt;35,BD91+BC92-BL91,IF(A92&lt;'Données projet'!$A$88,$BA$205^A92,IF(A92='Données projet'!$A$88,'Données projet'!$B$88,BD91+BC92-BL91)))</f>
        <v>356.7</v>
      </c>
      <c r="BE92" s="14">
        <f>BD92*VLOOKUP('Données projet'!$B$11,Paramètres!$A$1:$I$89,3,0)*VLOOKUP('Données projet'!$B$11,Paramètres!$A$1:$I$89,5,0)</f>
        <v>166.93559999999997</v>
      </c>
      <c r="BF92" s="14">
        <f t="shared" si="91"/>
        <v>42.402975021498193</v>
      </c>
      <c r="BG92" s="22">
        <f t="shared" si="61"/>
        <v>364.59801816244266</v>
      </c>
      <c r="BH92" s="62">
        <f t="shared" si="62"/>
        <v>657.93135149577597</v>
      </c>
      <c r="BI92" s="62">
        <f ca="1">AVERAGE(OFFSET($BH$3,0,0,'Données projet'!$E$11+1,1))-AVERAGE(OFFSET($H$3,0,0,'Données projet'!$E$11+1,1))</f>
        <v>259.74478933784656</v>
      </c>
      <c r="BJ92" s="62">
        <f t="shared" si="92"/>
        <v>223.74038909289646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5.4</v>
      </c>
      <c r="BY92" s="13">
        <f>IF('Données projet'!$A$114&gt;35,BY91+BX92-CG91,IF(A92&lt;'Données projet'!$A$114,$BV$205^A92,IF(A92='Données projet'!$A$114,'Données projet'!$B$114,BY91+BX92-CG91)))</f>
        <v>269.60000000000008</v>
      </c>
      <c r="BZ92" s="14">
        <f>BY92*VLOOKUP('Données projet'!$B$12,Paramètres!$A$1:$I$89,3,0)*VLOOKUP('Données projet'!$B$12,Paramètres!$A$1:$I$89,5,0)</f>
        <v>273.37440000000009</v>
      </c>
      <c r="CA92" s="14">
        <f t="shared" si="93"/>
        <v>65.564883644654444</v>
      </c>
      <c r="CB92" s="22">
        <f t="shared" si="64"/>
        <v>590.31925234777327</v>
      </c>
      <c r="CC92" s="62">
        <f t="shared" si="65"/>
        <v>883.65258568110653</v>
      </c>
      <c r="CD92" s="62">
        <f ca="1">AVERAGE(OFFSET($CC$3,0,0,'Données projet'!$E$12+1,1))-AVERAGE(OFFSET($H$3,0,0,'Données projet'!$E$12+1,1))</f>
        <v>411.75894069172358</v>
      </c>
      <c r="CE92" s="62">
        <f t="shared" si="94"/>
        <v>256.4377087753457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0.58918261346535528</v>
      </c>
      <c r="CM92" s="23">
        <f>EXP(-LN(2)/2)*CM91+(1-EXP(-LN(2)/2))/(LN(2)/2)*CG92*CJ92*VLOOKUP('Données projet'!$B$12,Paramètres!$A$1:$I$89,3,0)*0.475*44/12</f>
        <v>1.8523570850694174E-8</v>
      </c>
      <c r="CN92" s="24">
        <f t="shared" si="66"/>
        <v>0.58918263198892618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275.00000000000006</v>
      </c>
      <c r="O93" s="14">
        <f>N93*VLOOKUP('Données projet'!$B$9,Paramètres!$A$1:$I$89,3,0)*VLOOKUP('Données projet'!$B$9,Paramètres!$A$1:$I$89,5,0)</f>
        <v>248.82000000000005</v>
      </c>
      <c r="P93" s="14">
        <f t="shared" si="87"/>
        <v>60.333192077890068</v>
      </c>
      <c r="Q93" s="22">
        <f t="shared" si="54"/>
        <v>538.44180953565865</v>
      </c>
      <c r="R93" s="62">
        <f t="shared" si="55"/>
        <v>831.77514286899191</v>
      </c>
      <c r="S93" s="62">
        <f ca="1">AVERAGE(OFFSET($R$3,0,0,'Données projet'!$E$9+1,1))-AVERAGE(OFFSET($H$3,0,0,'Données projet'!$E$9+1,1))</f>
        <v>371.75294069149942</v>
      </c>
      <c r="T93" s="62">
        <f t="shared" si="88"/>
        <v>233.32640143610547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0.51135600410999871</v>
      </c>
      <c r="AB93" s="23">
        <f>EXP(-LN(2)/2)*AB92+(1-EXP(-LN(2)/2))/(LN(2)/2)*V93*Y93*VLOOKUP('Données projet'!$B$9,Paramètres!$A$1:$I$89,3,0)*0.475*44/12</f>
        <v>1.1687573361512126E-8</v>
      </c>
      <c r="AC93" s="24">
        <f t="shared" si="57"/>
        <v>0.51135601579757206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275.00000000000006</v>
      </c>
      <c r="AJ93" s="14">
        <f>AI93*VLOOKUP('Données projet'!$B$10,Paramètres!$A$1:$I$89,3,0)*VLOOKUP('Données projet'!$B$10,Paramètres!$A$1:$I$89,5,0)</f>
        <v>231.66000000000005</v>
      </c>
      <c r="AK93" s="14">
        <f t="shared" si="89"/>
        <v>56.641461975682823</v>
      </c>
      <c r="AL93" s="22">
        <f t="shared" si="58"/>
        <v>502.12504627431434</v>
      </c>
      <c r="AM93" s="62">
        <f t="shared" si="59"/>
        <v>795.45837960764766</v>
      </c>
      <c r="AN93" s="62">
        <f ca="1">AVERAGE(OFFSET($AM$3,0,0,'Données projet'!$E$10+1,1))-AVERAGE(OFFSET($H$3,0,0,'Données projet'!$E$10+1,1))</f>
        <v>348.84749506659495</v>
      </c>
      <c r="AO93" s="62">
        <f t="shared" si="90"/>
        <v>220.09202639602199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0.4760900727920675</v>
      </c>
      <c r="AW93" s="23">
        <f>EXP(-LN(2)/2)*AW92+(1-EXP(-LN(2)/2))/(LN(2)/2)*AQ93*AT93*VLOOKUP('Données projet'!$B$10,Paramètres!$A$1:$I$89,3,0)*0.475*44/12</f>
        <v>1.088153381933888E-8</v>
      </c>
      <c r="AX93" s="23">
        <f t="shared" si="60"/>
        <v>0.47609008367360134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365</v>
      </c>
      <c r="BB93" s="13">
        <f>VLOOKUP(A93,'Données projet'!$A$87:$I$107,9,0)</f>
        <v>8.3000000000000007</v>
      </c>
      <c r="BC93" s="13">
        <f t="array" ref="BC93">INDEX(BB:BB,MIN(IF(ISNUMBER(BB93:BB289),ROW(BB93:BB289),"")))</f>
        <v>8.3000000000000007</v>
      </c>
      <c r="BD93" s="13">
        <f>IF('Données projet'!$A$88&gt;35,BD92+BC93-BL92,IF(A93&lt;'Données projet'!$A$88,$BA$205^A93,IF(A93='Données projet'!$A$88,'Données projet'!$B$88,BD92+BC93-BL92)))</f>
        <v>365</v>
      </c>
      <c r="BE93" s="14">
        <f>BD93*VLOOKUP('Données projet'!$B$11,Paramètres!$A$1:$I$89,3,0)*VLOOKUP('Données projet'!$B$11,Paramètres!$A$1:$I$89,5,0)</f>
        <v>170.82000000000002</v>
      </c>
      <c r="BF93" s="14">
        <f t="shared" si="91"/>
        <v>43.273624843069463</v>
      </c>
      <c r="BG93" s="22">
        <f t="shared" si="61"/>
        <v>372.87972993501268</v>
      </c>
      <c r="BH93" s="62">
        <f t="shared" si="62"/>
        <v>666.21306326834599</v>
      </c>
      <c r="BI93" s="62">
        <f ca="1">AVERAGE(OFFSET($BH$3,0,0,'Données projet'!$E$11+1,1))-AVERAGE(OFFSET($H$3,0,0,'Données projet'!$E$11+1,1))</f>
        <v>259.74478933784656</v>
      </c>
      <c r="BJ93" s="62">
        <f t="shared" si="92"/>
        <v>223.74038909289646</v>
      </c>
      <c r="BK93" s="16">
        <f>IF(ISNA(VLOOKUP(A93,'Données projet'!$A$87:$I$107,3,0)),0,VLOOKUP(A93,'Données projet'!$A$87:$I$107,3,0))</f>
        <v>8</v>
      </c>
      <c r="BL93" s="16">
        <f>IF(ISNA(VLOOKUP(A93,'Données projet'!$A$87:$I$107,4,0)),0,VLOOKUP(A93,'Données projet'!$A$87:$I$107,4,0))</f>
        <v>73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275</v>
      </c>
      <c r="BW93" s="13">
        <f>VLOOKUP(A93,'Données projet'!$A$113:$I$133,9,0)</f>
        <v>5.4</v>
      </c>
      <c r="BX93" s="13">
        <f t="array" ref="BX93">INDEX(BW:BW,MIN(IF(ISNUMBER(BW93:BW289),ROW(BW93:BW289),"")))</f>
        <v>5.4</v>
      </c>
      <c r="BY93" s="13">
        <f>IF('Données projet'!$A$114&gt;35,BY92+BX93-CG92,IF(A93&lt;'Données projet'!$A$114,$BV$205^A93,IF(A93='Données projet'!$A$114,'Données projet'!$B$114,BY92+BX93-CG92)))</f>
        <v>275.00000000000006</v>
      </c>
      <c r="BZ93" s="14">
        <f>BY93*VLOOKUP('Données projet'!$B$12,Paramètres!$A$1:$I$89,3,0)*VLOOKUP('Données projet'!$B$12,Paramètres!$A$1:$I$89,5,0)</f>
        <v>278.85000000000008</v>
      </c>
      <c r="CA93" s="14">
        <f t="shared" si="93"/>
        <v>66.723922641152967</v>
      </c>
      <c r="CB93" s="22">
        <f t="shared" si="64"/>
        <v>601.87458193334146</v>
      </c>
      <c r="CC93" s="62">
        <f t="shared" si="65"/>
        <v>895.20791526667472</v>
      </c>
      <c r="CD93" s="62">
        <f ca="1">AVERAGE(OFFSET($CC$3,0,0,'Données projet'!$E$12+1,1))-AVERAGE(OFFSET($H$3,0,0,'Données projet'!$E$12+1,1))</f>
        <v>411.75894069172358</v>
      </c>
      <c r="CE93" s="62">
        <f t="shared" si="94"/>
        <v>256.4377087753457</v>
      </c>
      <c r="CF93" s="16">
        <f>IF(ISNA(VLOOKUP(A93,'Données projet'!$A$113:$I$133,3,0)),0,VLOOKUP(A93,'Données projet'!$A$113:$I$133,3,0))</f>
        <v>14</v>
      </c>
      <c r="CG93" s="16">
        <f>IF(ISNA(VLOOKUP(A93,'Données projet'!$A$113:$I$133,4,0)),0,VLOOKUP(A93,'Données projet'!$A$113:$I$133,4,0))</f>
        <v>21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0.57307138391637813</v>
      </c>
      <c r="CM93" s="23">
        <f>EXP(-LN(2)/2)*CM92+(1-EXP(-LN(2)/2))/(LN(2)/2)*CG93*CJ93*VLOOKUP('Données projet'!$B$12,Paramètres!$A$1:$I$89,3,0)*0.475*44/12</f>
        <v>1.3098142560315315E-8</v>
      </c>
      <c r="CN93" s="24">
        <f t="shared" si="66"/>
        <v>0.5730713970145207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259.00000000000006</v>
      </c>
      <c r="O94" s="14">
        <f>N94*VLOOKUP('Données projet'!$B$9,Paramètres!$A$1:$I$89,3,0)*VLOOKUP('Données projet'!$B$9,Paramètres!$A$1:$I$89,5,0)</f>
        <v>234.34320000000005</v>
      </c>
      <c r="P94" s="14">
        <f t="shared" si="87"/>
        <v>57.220758006491664</v>
      </c>
      <c r="Q94" s="22">
        <f t="shared" si="54"/>
        <v>507.80722686130639</v>
      </c>
      <c r="R94" s="62">
        <f t="shared" si="55"/>
        <v>801.14056019463965</v>
      </c>
      <c r="S94" s="62">
        <f ca="1">AVERAGE(OFFSET($R$3,0,0,'Données projet'!$E$9+1,1))-AVERAGE(OFFSET($H$3,0,0,'Données projet'!$E$9+1,1))</f>
        <v>371.75294069149942</v>
      </c>
      <c r="T94" s="62">
        <f t="shared" si="88"/>
        <v>233.32640143610547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0.49737294728656728</v>
      </c>
      <c r="AB94" s="23">
        <f>EXP(-LN(2)/2)*AB93+(1-EXP(-LN(2)/2))/(LN(2)/2)*V94*Y94*VLOOKUP('Données projet'!$B$9,Paramètres!$A$1:$I$89,3,0)*0.475*44/12</f>
        <v>8.2643623795404768E-9</v>
      </c>
      <c r="AC94" s="24">
        <f t="shared" si="57"/>
        <v>0.49737295555092964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259.00000000000006</v>
      </c>
      <c r="AJ94" s="14">
        <f>AI94*VLOOKUP('Données projet'!$B$10,Paramètres!$A$1:$I$89,3,0)*VLOOKUP('Données projet'!$B$10,Paramètres!$A$1:$I$89,5,0)</f>
        <v>218.18160000000006</v>
      </c>
      <c r="AK94" s="14">
        <f t="shared" si="89"/>
        <v>53.719474757115982</v>
      </c>
      <c r="AL94" s="22">
        <f t="shared" si="58"/>
        <v>473.56103853531039</v>
      </c>
      <c r="AM94" s="62">
        <f t="shared" si="59"/>
        <v>766.8943718686437</v>
      </c>
      <c r="AN94" s="62">
        <f ca="1">AVERAGE(OFFSET($AM$3,0,0,'Données projet'!$E$10+1,1))-AVERAGE(OFFSET($H$3,0,0,'Données projet'!$E$10+1,1))</f>
        <v>348.84749506659495</v>
      </c>
      <c r="AO94" s="62">
        <f t="shared" si="90"/>
        <v>220.09202639602199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0.46307136471507959</v>
      </c>
      <c r="AW94" s="23">
        <f>EXP(-LN(2)/2)*AW93+(1-EXP(-LN(2)/2))/(LN(2)/2)*AQ94*AT94*VLOOKUP('Données projet'!$B$10,Paramètres!$A$1:$I$89,3,0)*0.475*44/12</f>
        <v>7.6944063533652741E-9</v>
      </c>
      <c r="AX94" s="23">
        <f t="shared" si="60"/>
        <v>0.46307137240948593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8.3000000000000007</v>
      </c>
      <c r="BD94" s="13">
        <f>IF('Données projet'!$A$88&gt;35,BD93+BC94-BL93,IF(A94&lt;'Données projet'!$A$88,$BA$205^A94,IF(A94='Données projet'!$A$88,'Données projet'!$B$88,BD93+BC94-BL93)))</f>
        <v>300.3</v>
      </c>
      <c r="BE94" s="14">
        <f>BD94*VLOOKUP('Données projet'!$B$11,Paramètres!$A$1:$I$89,3,0)*VLOOKUP('Données projet'!$B$11,Paramètres!$A$1:$I$89,5,0)</f>
        <v>140.54040000000001</v>
      </c>
      <c r="BF94" s="14">
        <f t="shared" si="91"/>
        <v>36.420775774849901</v>
      </c>
      <c r="BG94" s="22">
        <f t="shared" si="61"/>
        <v>308.20738114119689</v>
      </c>
      <c r="BH94" s="62">
        <f t="shared" si="62"/>
        <v>601.5407144745302</v>
      </c>
      <c r="BI94" s="62">
        <f ca="1">AVERAGE(OFFSET($BH$3,0,0,'Données projet'!$E$11+1,1))-AVERAGE(OFFSET($H$3,0,0,'Données projet'!$E$11+1,1))</f>
        <v>259.74478933784656</v>
      </c>
      <c r="BJ94" s="62">
        <f t="shared" si="92"/>
        <v>223.74038909289646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</v>
      </c>
      <c r="BY94" s="13">
        <f>IF('Données projet'!$A$114&gt;35,BY93+BX94-CG93,IF(A94&lt;'Données projet'!$A$114,$BV$205^A94,IF(A94='Données projet'!$A$114,'Données projet'!$B$114,BY93+BX94-CG93)))</f>
        <v>259.00000000000006</v>
      </c>
      <c r="BZ94" s="14">
        <f>BY94*VLOOKUP('Données projet'!$B$12,Paramètres!$A$1:$I$89,3,0)*VLOOKUP('Données projet'!$B$12,Paramètres!$A$1:$I$89,5,0)</f>
        <v>262.62600000000009</v>
      </c>
      <c r="CA94" s="14">
        <f t="shared" si="93"/>
        <v>63.281807230823453</v>
      </c>
      <c r="CB94" s="22">
        <f t="shared" si="64"/>
        <v>567.622764260351</v>
      </c>
      <c r="CC94" s="62">
        <f t="shared" si="65"/>
        <v>860.95609759368426</v>
      </c>
      <c r="CD94" s="62">
        <f ca="1">AVERAGE(OFFSET($CC$3,0,0,'Données projet'!$E$12+1,1))-AVERAGE(OFFSET($H$3,0,0,'Données projet'!$E$12+1,1))</f>
        <v>411.75894069172358</v>
      </c>
      <c r="CE94" s="62">
        <f t="shared" si="94"/>
        <v>256.4377087753457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0.55740071678667047</v>
      </c>
      <c r="CM94" s="23">
        <f>EXP(-LN(2)/2)*CM93+(1-EXP(-LN(2)/2))/(LN(2)/2)*CG94*CJ94*VLOOKUP('Données projet'!$B$12,Paramètres!$A$1:$I$89,3,0)*0.475*44/12</f>
        <v>9.261785425347087E-9</v>
      </c>
      <c r="CN94" s="24">
        <f t="shared" si="66"/>
        <v>0.55740072604845592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264.00000000000006</v>
      </c>
      <c r="O95" s="14">
        <f>N95*VLOOKUP('Données projet'!$B$9,Paramètres!$A$1:$I$89,3,0)*VLOOKUP('Données projet'!$B$9,Paramètres!$A$1:$I$89,5,0)</f>
        <v>238.86720000000005</v>
      </c>
      <c r="P95" s="14">
        <f t="shared" si="87"/>
        <v>58.195735973104156</v>
      </c>
      <c r="Q95" s="22">
        <f t="shared" si="54"/>
        <v>517.3846134864898</v>
      </c>
      <c r="R95" s="62">
        <f t="shared" si="55"/>
        <v>810.71794681982306</v>
      </c>
      <c r="S95" s="62">
        <f ca="1">AVERAGE(OFFSET($R$3,0,0,'Données projet'!$E$9+1,1))-AVERAGE(OFFSET($H$3,0,0,'Données projet'!$E$9+1,1))</f>
        <v>371.75294069149942</v>
      </c>
      <c r="T95" s="62">
        <f t="shared" si="88"/>
        <v>233.32640143610547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0.48377225788730954</v>
      </c>
      <c r="AB95" s="23">
        <f>EXP(-LN(2)/2)*AB94+(1-EXP(-LN(2)/2))/(LN(2)/2)*V95*Y95*VLOOKUP('Données projet'!$B$9,Paramètres!$A$1:$I$89,3,0)*0.475*44/12</f>
        <v>5.8437866807560632E-9</v>
      </c>
      <c r="AC95" s="24">
        <f t="shared" si="57"/>
        <v>0.48377226373109622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264.00000000000006</v>
      </c>
      <c r="AJ95" s="14">
        <f>AI95*VLOOKUP('Données projet'!$B$10,Paramètres!$A$1:$I$89,3,0)*VLOOKUP('Données projet'!$B$10,Paramètres!$A$1:$I$89,5,0)</f>
        <v>222.39360000000005</v>
      </c>
      <c r="AK95" s="14">
        <f t="shared" si="89"/>
        <v>54.634794757949287</v>
      </c>
      <c r="AL95" s="22">
        <f t="shared" si="58"/>
        <v>482.49112087009513</v>
      </c>
      <c r="AM95" s="62">
        <f t="shared" si="59"/>
        <v>775.82445420342844</v>
      </c>
      <c r="AN95" s="62">
        <f ca="1">AVERAGE(OFFSET($AM$3,0,0,'Données projet'!$E$10+1,1))-AVERAGE(OFFSET($H$3,0,0,'Données projet'!$E$10+1,1))</f>
        <v>348.84749506659495</v>
      </c>
      <c r="AO95" s="62">
        <f t="shared" si="90"/>
        <v>220.09202639602199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0.45040865389508106</v>
      </c>
      <c r="AW95" s="23">
        <f>EXP(-LN(2)/2)*AW94+(1-EXP(-LN(2)/2))/(LN(2)/2)*AQ95*AT95*VLOOKUP('Données projet'!$B$10,Paramètres!$A$1:$I$89,3,0)*0.475*44/12</f>
        <v>5.4407669096694401E-9</v>
      </c>
      <c r="AX95" s="23">
        <f t="shared" si="60"/>
        <v>0.45040865933584795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8.3000000000000007</v>
      </c>
      <c r="BD95" s="13">
        <f>IF('Données projet'!$A$88&gt;35,BD94+BC95-BL94,IF(A95&lt;'Données projet'!$A$88,$BA$205^A95,IF(A95='Données projet'!$A$88,'Données projet'!$B$88,BD94+BC95-BL94)))</f>
        <v>308.60000000000002</v>
      </c>
      <c r="BE95" s="14">
        <f>BD95*VLOOKUP('Données projet'!$B$11,Paramètres!$A$1:$I$89,3,0)*VLOOKUP('Données projet'!$B$11,Paramètres!$A$1:$I$89,5,0)</f>
        <v>144.4248</v>
      </c>
      <c r="BF95" s="14">
        <f t="shared" si="91"/>
        <v>37.308822031923654</v>
      </c>
      <c r="BG95" s="22">
        <f t="shared" si="61"/>
        <v>316.51939170560036</v>
      </c>
      <c r="BH95" s="62">
        <f t="shared" si="62"/>
        <v>609.85272503893361</v>
      </c>
      <c r="BI95" s="62">
        <f ca="1">AVERAGE(OFFSET($BH$3,0,0,'Données projet'!$E$11+1,1))-AVERAGE(OFFSET($H$3,0,0,'Données projet'!$E$11+1,1))</f>
        <v>259.74478933784656</v>
      </c>
      <c r="BJ95" s="62">
        <f t="shared" si="92"/>
        <v>223.74038909289646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</v>
      </c>
      <c r="BY95" s="13">
        <f>IF('Données projet'!$A$114&gt;35,BY94+BX95-CG94,IF(A95&lt;'Données projet'!$A$114,$BV$205^A95,IF(A95='Données projet'!$A$114,'Données projet'!$B$114,BY94+BX95-CG94)))</f>
        <v>264.00000000000006</v>
      </c>
      <c r="BZ95" s="14">
        <f>BY95*VLOOKUP('Données projet'!$B$12,Paramètres!$A$1:$I$89,3,0)*VLOOKUP('Données projet'!$B$12,Paramètres!$A$1:$I$89,5,0)</f>
        <v>267.69600000000008</v>
      </c>
      <c r="CA95" s="14">
        <f t="shared" si="93"/>
        <v>64.360058723585496</v>
      </c>
      <c r="CB95" s="22">
        <f t="shared" si="64"/>
        <v>578.33096894357823</v>
      </c>
      <c r="CC95" s="62">
        <f t="shared" si="65"/>
        <v>871.66430227691149</v>
      </c>
      <c r="CD95" s="62">
        <f ca="1">AVERAGE(OFFSET($CC$3,0,0,'Données projet'!$E$12+1,1))-AVERAGE(OFFSET($H$3,0,0,'Données projet'!$E$12+1,1))</f>
        <v>411.75894069172358</v>
      </c>
      <c r="CE95" s="62">
        <f t="shared" si="94"/>
        <v>256.4377087753457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0.54215856487370928</v>
      </c>
      <c r="CM95" s="23">
        <f>EXP(-LN(2)/2)*CM94+(1-EXP(-LN(2)/2))/(LN(2)/2)*CG95*CJ95*VLOOKUP('Données projet'!$B$12,Paramètres!$A$1:$I$89,3,0)*0.475*44/12</f>
        <v>6.5490712801576577E-9</v>
      </c>
      <c r="CN95" s="24">
        <f t="shared" si="66"/>
        <v>0.54215857142278057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269.00000000000006</v>
      </c>
      <c r="O96" s="14">
        <f>N96*VLOOKUP('Données projet'!$B$9,Paramètres!$A$1:$I$89,3,0)*VLOOKUP('Données projet'!$B$9,Paramètres!$A$1:$I$89,5,0)</f>
        <v>243.39120000000003</v>
      </c>
      <c r="P96" s="14">
        <f t="shared" si="87"/>
        <v>59.168566788241527</v>
      </c>
      <c r="Q96" s="22">
        <f t="shared" si="54"/>
        <v>526.95826048952074</v>
      </c>
      <c r="R96" s="62">
        <f t="shared" si="55"/>
        <v>820.29159382285411</v>
      </c>
      <c r="S96" s="62">
        <f ca="1">AVERAGE(OFFSET($R$3,0,0,'Données projet'!$E$9+1,1))-AVERAGE(OFFSET($H$3,0,0,'Données projet'!$E$9+1,1))</f>
        <v>371.75294069149942</v>
      </c>
      <c r="T96" s="62">
        <f t="shared" si="88"/>
        <v>233.32640143610547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0.47054348005490371</v>
      </c>
      <c r="AB96" s="23">
        <f>EXP(-LN(2)/2)*AB95+(1-EXP(-LN(2)/2))/(LN(2)/2)*V96*Y96*VLOOKUP('Données projet'!$B$9,Paramètres!$A$1:$I$89,3,0)*0.475*44/12</f>
        <v>4.1321811897702384E-9</v>
      </c>
      <c r="AC96" s="24">
        <f t="shared" si="57"/>
        <v>0.47054348418708491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269.00000000000006</v>
      </c>
      <c r="AJ96" s="14">
        <f>AI96*VLOOKUP('Données projet'!$B$10,Paramètres!$A$1:$I$89,3,0)*VLOOKUP('Données projet'!$B$10,Paramètres!$A$1:$I$89,5,0)</f>
        <v>226.60560000000009</v>
      </c>
      <c r="AK96" s="14">
        <f t="shared" si="89"/>
        <v>55.548098989444924</v>
      </c>
      <c r="AL96" s="22">
        <f t="shared" si="58"/>
        <v>491.41769240661671</v>
      </c>
      <c r="AM96" s="62">
        <f t="shared" si="59"/>
        <v>784.75102573995002</v>
      </c>
      <c r="AN96" s="62">
        <f ca="1">AVERAGE(OFFSET($AM$3,0,0,'Données projet'!$E$10+1,1))-AVERAGE(OFFSET($H$3,0,0,'Données projet'!$E$10+1,1))</f>
        <v>348.84749506659495</v>
      </c>
      <c r="AO96" s="62">
        <f t="shared" si="90"/>
        <v>220.09202639602199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0.43809220556835837</v>
      </c>
      <c r="AW96" s="23">
        <f>EXP(-LN(2)/2)*AW95+(1-EXP(-LN(2)/2))/(LN(2)/2)*AQ96*AT96*VLOOKUP('Données projet'!$B$10,Paramètres!$A$1:$I$89,3,0)*0.475*44/12</f>
        <v>3.847203176682637E-9</v>
      </c>
      <c r="AX96" s="23">
        <f t="shared" si="60"/>
        <v>0.43809220941556154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8.3000000000000007</v>
      </c>
      <c r="BD96" s="13">
        <f>IF('Données projet'!$A$88&gt;35,BD95+BC96-BL95,IF(A96&lt;'Données projet'!$A$88,$BA$205^A96,IF(A96='Données projet'!$A$88,'Données projet'!$B$88,BD95+BC96-BL95)))</f>
        <v>316.90000000000003</v>
      </c>
      <c r="BE96" s="14">
        <f>BD96*VLOOKUP('Données projet'!$B$11,Paramètres!$A$1:$I$89,3,0)*VLOOKUP('Données projet'!$B$11,Paramètres!$A$1:$I$89,5,0)</f>
        <v>148.3092</v>
      </c>
      <c r="BF96" s="14">
        <f t="shared" si="91"/>
        <v>38.194092116566551</v>
      </c>
      <c r="BG96" s="22">
        <f t="shared" si="61"/>
        <v>324.82656710302007</v>
      </c>
      <c r="BH96" s="62">
        <f t="shared" si="62"/>
        <v>618.15990043635338</v>
      </c>
      <c r="BI96" s="62">
        <f ca="1">AVERAGE(OFFSET($BH$3,0,0,'Données projet'!$E$11+1,1))-AVERAGE(OFFSET($H$3,0,0,'Données projet'!$E$11+1,1))</f>
        <v>259.74478933784656</v>
      </c>
      <c r="BJ96" s="62">
        <f t="shared" si="92"/>
        <v>223.74038909289646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</v>
      </c>
      <c r="BY96" s="13">
        <f>IF('Données projet'!$A$114&gt;35,BY95+BX96-CG95,IF(A96&lt;'Données projet'!$A$114,$BV$205^A96,IF(A96='Données projet'!$A$114,'Données projet'!$B$114,BY95+BX96-CG95)))</f>
        <v>269.00000000000006</v>
      </c>
      <c r="BZ96" s="14">
        <f>BY96*VLOOKUP('Données projet'!$B$12,Paramètres!$A$1:$I$89,3,0)*VLOOKUP('Données projet'!$B$12,Paramètres!$A$1:$I$89,5,0)</f>
        <v>272.76600000000008</v>
      </c>
      <c r="CA96" s="14">
        <f t="shared" si="93"/>
        <v>65.435935630087627</v>
      </c>
      <c r="CB96" s="22">
        <f t="shared" si="64"/>
        <v>589.03503788906926</v>
      </c>
      <c r="CC96" s="62">
        <f t="shared" si="65"/>
        <v>882.36837122240263</v>
      </c>
      <c r="CD96" s="62">
        <f ca="1">AVERAGE(OFFSET($CC$3,0,0,'Données projet'!$E$12+1,1))-AVERAGE(OFFSET($H$3,0,0,'Données projet'!$E$12+1,1))</f>
        <v>411.75894069172358</v>
      </c>
      <c r="CE96" s="62">
        <f t="shared" si="94"/>
        <v>256.4377087753457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0.52733321040635794</v>
      </c>
      <c r="CM96" s="23">
        <f>EXP(-LN(2)/2)*CM95+(1-EXP(-LN(2)/2))/(LN(2)/2)*CG96*CJ96*VLOOKUP('Données projet'!$B$12,Paramètres!$A$1:$I$89,3,0)*0.475*44/12</f>
        <v>4.6308927126735435E-9</v>
      </c>
      <c r="CN96" s="24">
        <f t="shared" si="66"/>
        <v>0.52733321503725061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274.00000000000006</v>
      </c>
      <c r="O97" s="14">
        <f>N97*VLOOKUP('Données projet'!$B$9,Paramètres!$A$1:$I$89,3,0)*VLOOKUP('Données projet'!$B$9,Paramètres!$A$1:$I$89,5,0)</f>
        <v>247.91520000000003</v>
      </c>
      <c r="P97" s="14">
        <f t="shared" si="87"/>
        <v>60.139294964297406</v>
      </c>
      <c r="Q97" s="22">
        <f t="shared" si="54"/>
        <v>536.52824539615131</v>
      </c>
      <c r="R97" s="62">
        <f t="shared" si="55"/>
        <v>829.86157872948456</v>
      </c>
      <c r="S97" s="62">
        <f ca="1">AVERAGE(OFFSET($R$3,0,0,'Données projet'!$E$9+1,1))-AVERAGE(OFFSET($H$3,0,0,'Données projet'!$E$9+1,1))</f>
        <v>371.75294069149942</v>
      </c>
      <c r="T97" s="62">
        <f t="shared" si="88"/>
        <v>233.32640143610547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0.45767644384799622</v>
      </c>
      <c r="AB97" s="23">
        <f>EXP(-LN(2)/2)*AB96+(1-EXP(-LN(2)/2))/(LN(2)/2)*V97*Y97*VLOOKUP('Données projet'!$B$9,Paramètres!$A$1:$I$89,3,0)*0.475*44/12</f>
        <v>2.9218933403780316E-9</v>
      </c>
      <c r="AC97" s="24">
        <f t="shared" si="57"/>
        <v>0.45767644676988956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274.00000000000006</v>
      </c>
      <c r="AJ97" s="14">
        <f>AI97*VLOOKUP('Données projet'!$B$10,Paramètres!$A$1:$I$89,3,0)*VLOOKUP('Données projet'!$B$10,Paramètres!$A$1:$I$89,5,0)</f>
        <v>230.81760000000006</v>
      </c>
      <c r="AK97" s="14">
        <f t="shared" si="89"/>
        <v>56.459429240325889</v>
      </c>
      <c r="AL97" s="22">
        <f t="shared" si="58"/>
        <v>500.34082592690089</v>
      </c>
      <c r="AM97" s="62">
        <f t="shared" si="59"/>
        <v>793.67415926023421</v>
      </c>
      <c r="AN97" s="62">
        <f ca="1">AVERAGE(OFFSET($AM$3,0,0,'Données projet'!$E$10+1,1))-AVERAGE(OFFSET($H$3,0,0,'Données projet'!$E$10+1,1))</f>
        <v>348.84749506659495</v>
      </c>
      <c r="AO97" s="62">
        <f t="shared" si="90"/>
        <v>220.09202639602199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0.42611255116882379</v>
      </c>
      <c r="AW97" s="23">
        <f>EXP(-LN(2)/2)*AW96+(1-EXP(-LN(2)/2))/(LN(2)/2)*AQ97*AT97*VLOOKUP('Données projet'!$B$10,Paramètres!$A$1:$I$89,3,0)*0.475*44/12</f>
        <v>2.7203834548347201E-9</v>
      </c>
      <c r="AX97" s="23">
        <f t="shared" si="60"/>
        <v>0.42611255388920727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8.3000000000000007</v>
      </c>
      <c r="BD97" s="13">
        <f>IF('Données projet'!$A$88&gt;35,BD96+BC97-BL96,IF(A97&lt;'Données projet'!$A$88,$BA$205^A97,IF(A97='Données projet'!$A$88,'Données projet'!$B$88,BD96+BC97-BL96)))</f>
        <v>325.20000000000005</v>
      </c>
      <c r="BE97" s="14">
        <f>BD97*VLOOKUP('Données projet'!$B$11,Paramètres!$A$1:$I$89,3,0)*VLOOKUP('Données projet'!$B$11,Paramètres!$A$1:$I$89,5,0)</f>
        <v>152.19360000000003</v>
      </c>
      <c r="BF97" s="14">
        <f t="shared" si="91"/>
        <v>39.076667098894909</v>
      </c>
      <c r="BG97" s="22">
        <f t="shared" si="61"/>
        <v>333.1290485305754</v>
      </c>
      <c r="BH97" s="62">
        <f t="shared" si="62"/>
        <v>626.46238186390872</v>
      </c>
      <c r="BI97" s="62">
        <f ca="1">AVERAGE(OFFSET($BH$3,0,0,'Données projet'!$E$11+1,1))-AVERAGE(OFFSET($H$3,0,0,'Données projet'!$E$11+1,1))</f>
        <v>259.74478933784656</v>
      </c>
      <c r="BJ97" s="62">
        <f t="shared" si="92"/>
        <v>223.74038909289646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</v>
      </c>
      <c r="BY97" s="13">
        <f>IF('Données projet'!$A$114&gt;35,BY96+BX97-CG96,IF(A97&lt;'Données projet'!$A$114,$BV$205^A97,IF(A97='Données projet'!$A$114,'Données projet'!$B$114,BY96+BX97-CG96)))</f>
        <v>274.00000000000006</v>
      </c>
      <c r="BZ97" s="14">
        <f>BY97*VLOOKUP('Données projet'!$B$12,Paramètres!$A$1:$I$89,3,0)*VLOOKUP('Données projet'!$B$12,Paramètres!$A$1:$I$89,5,0)</f>
        <v>277.83600000000007</v>
      </c>
      <c r="CA97" s="14">
        <f t="shared" si="93"/>
        <v>66.509487177652318</v>
      </c>
      <c r="CB97" s="22">
        <f t="shared" si="64"/>
        <v>599.73505683441124</v>
      </c>
      <c r="CC97" s="62">
        <f t="shared" si="65"/>
        <v>893.06839016774461</v>
      </c>
      <c r="CD97" s="62">
        <f ca="1">AVERAGE(OFFSET($CC$3,0,0,'Données projet'!$E$12+1,1))-AVERAGE(OFFSET($H$3,0,0,'Données projet'!$E$12+1,1))</f>
        <v>411.75894069172358</v>
      </c>
      <c r="CE97" s="62">
        <f t="shared" si="94"/>
        <v>256.4377087753457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0.5129132560365478</v>
      </c>
      <c r="CM97" s="23">
        <f>EXP(-LN(2)/2)*CM96+(1-EXP(-LN(2)/2))/(LN(2)/2)*CG97*CJ97*VLOOKUP('Données projet'!$B$12,Paramètres!$A$1:$I$89,3,0)*0.475*44/12</f>
        <v>3.2745356400788288E-9</v>
      </c>
      <c r="CN97" s="24">
        <f t="shared" si="66"/>
        <v>0.51291325931108345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279.00000000000006</v>
      </c>
      <c r="O98" s="14">
        <f>N98*VLOOKUP('Données projet'!$B$9,Paramètres!$A$1:$I$89,3,0)*VLOOKUP('Données projet'!$B$9,Paramètres!$A$1:$I$89,5,0)</f>
        <v>252.43920000000006</v>
      </c>
      <c r="P98" s="14">
        <f t="shared" si="87"/>
        <v>61.107963296116274</v>
      </c>
      <c r="Q98" s="22">
        <f t="shared" si="54"/>
        <v>546.09464274073594</v>
      </c>
      <c r="R98" s="62">
        <f t="shared" si="55"/>
        <v>839.42797607406919</v>
      </c>
      <c r="S98" s="62">
        <f ca="1">AVERAGE(OFFSET($R$3,0,0,'Données projet'!$E$9+1,1))-AVERAGE(OFFSET($H$3,0,0,'Données projet'!$E$9+1,1))</f>
        <v>371.75294069149942</v>
      </c>
      <c r="T98" s="62">
        <f t="shared" si="88"/>
        <v>233.32640143610547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0.44516125742281459</v>
      </c>
      <c r="AB98" s="23">
        <f>EXP(-LN(2)/2)*AB97+(1-EXP(-LN(2)/2))/(LN(2)/2)*V98*Y98*VLOOKUP('Données projet'!$B$9,Paramètres!$A$1:$I$89,3,0)*0.475*44/12</f>
        <v>2.0660905948851192E-9</v>
      </c>
      <c r="AC98" s="24">
        <f t="shared" si="57"/>
        <v>0.44516125948890517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279.00000000000006</v>
      </c>
      <c r="AJ98" s="14">
        <f>AI98*VLOOKUP('Données projet'!$B$10,Paramètres!$A$1:$I$89,3,0)*VLOOKUP('Données projet'!$B$10,Paramètres!$A$1:$I$89,5,0)</f>
        <v>235.0296000000001</v>
      </c>
      <c r="AK98" s="14">
        <f t="shared" si="89"/>
        <v>57.368825686861214</v>
      </c>
      <c r="AL98" s="22">
        <f t="shared" si="58"/>
        <v>509.26059140461666</v>
      </c>
      <c r="AM98" s="62">
        <f t="shared" si="59"/>
        <v>802.59392473794992</v>
      </c>
      <c r="AN98" s="62">
        <f ca="1">AVERAGE(OFFSET($AM$3,0,0,'Données projet'!$E$10+1,1))-AVERAGE(OFFSET($H$3,0,0,'Données projet'!$E$10+1,1))</f>
        <v>348.84749506659495</v>
      </c>
      <c r="AO98" s="62">
        <f t="shared" si="90"/>
        <v>220.09202639602199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0.41446048104882716</v>
      </c>
      <c r="AW98" s="23">
        <f>EXP(-LN(2)/2)*AW97+(1-EXP(-LN(2)/2))/(LN(2)/2)*AQ98*AT98*VLOOKUP('Données projet'!$B$10,Paramètres!$A$1:$I$89,3,0)*0.475*44/12</f>
        <v>1.9236015883413185E-9</v>
      </c>
      <c r="AX98" s="23">
        <f t="shared" si="60"/>
        <v>0.41446048297242877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8.3000000000000007</v>
      </c>
      <c r="BD98" s="13">
        <f>IF('Données projet'!$A$88&gt;35,BD97+BC98-BL97,IF(A98&lt;'Données projet'!$A$88,$BA$205^A98,IF(A98='Données projet'!$A$88,'Données projet'!$B$88,BD97+BC98-BL97)))</f>
        <v>333.50000000000006</v>
      </c>
      <c r="BE98" s="14">
        <f>BD98*VLOOKUP('Données projet'!$B$11,Paramètres!$A$1:$I$89,3,0)*VLOOKUP('Données projet'!$B$11,Paramètres!$A$1:$I$89,5,0)</f>
        <v>156.07800000000003</v>
      </c>
      <c r="BF98" s="14">
        <f t="shared" si="91"/>
        <v>39.956623674978466</v>
      </c>
      <c r="BG98" s="22">
        <f t="shared" si="61"/>
        <v>341.42696956725422</v>
      </c>
      <c r="BH98" s="62">
        <f t="shared" si="62"/>
        <v>634.76030290058748</v>
      </c>
      <c r="BI98" s="62">
        <f ca="1">AVERAGE(OFFSET($BH$3,0,0,'Données projet'!$E$11+1,1))-AVERAGE(OFFSET($H$3,0,0,'Données projet'!$E$11+1,1))</f>
        <v>259.74478933784656</v>
      </c>
      <c r="BJ98" s="62">
        <f t="shared" si="92"/>
        <v>223.74038909289646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279</v>
      </c>
      <c r="BW98" s="13">
        <f>VLOOKUP(A98,'Données projet'!$A$113:$I$133,9,0)</f>
        <v>5</v>
      </c>
      <c r="BX98" s="13">
        <f t="array" ref="BX98">INDEX(BW:BW,MIN(IF(ISNUMBER(BW98:BW294),ROW(BW98:BW294),"")))</f>
        <v>5</v>
      </c>
      <c r="BY98" s="13">
        <f>IF('Données projet'!$A$114&gt;35,BY97+BX98-CG97,IF(A98&lt;'Données projet'!$A$114,$BV$205^A98,IF(A98='Données projet'!$A$114,'Données projet'!$B$114,BY97+BX98-CG97)))</f>
        <v>279.00000000000006</v>
      </c>
      <c r="BZ98" s="14">
        <f>BY98*VLOOKUP('Données projet'!$B$12,Paramètres!$A$1:$I$89,3,0)*VLOOKUP('Données projet'!$B$12,Paramètres!$A$1:$I$89,5,0)</f>
        <v>282.90600000000006</v>
      </c>
      <c r="CA98" s="14">
        <f t="shared" si="93"/>
        <v>67.580760694123512</v>
      </c>
      <c r="CB98" s="22">
        <f t="shared" si="64"/>
        <v>610.43110820893185</v>
      </c>
      <c r="CC98" s="62">
        <f t="shared" si="65"/>
        <v>903.7644415422651</v>
      </c>
      <c r="CD98" s="62">
        <f ca="1">AVERAGE(OFFSET($CC$3,0,0,'Données projet'!$E$12+1,1))-AVERAGE(OFFSET($H$3,0,0,'Données projet'!$E$12+1,1))</f>
        <v>411.75894069172358</v>
      </c>
      <c r="CE98" s="62">
        <f t="shared" si="94"/>
        <v>256.4377087753457</v>
      </c>
      <c r="CF98" s="16">
        <f>IF(ISNA(VLOOKUP(A98,'Données projet'!$A$113:$I$133,3,0)),0,VLOOKUP(A98,'Données projet'!$A$113:$I$133,3,0))</f>
        <v>15</v>
      </c>
      <c r="CG98" s="16">
        <f>IF(ISNA(VLOOKUP(A98,'Données projet'!$A$113:$I$133,4,0)),0,VLOOKUP(A98,'Données projet'!$A$113:$I$133,4,0))</f>
        <v>21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0.49888761607729254</v>
      </c>
      <c r="CM98" s="23">
        <f>EXP(-LN(2)/2)*CM97+(1-EXP(-LN(2)/2))/(LN(2)/2)*CG98*CJ98*VLOOKUP('Données projet'!$B$12,Paramètres!$A$1:$I$89,3,0)*0.475*44/12</f>
        <v>2.3154463563367717E-9</v>
      </c>
      <c r="CN98" s="24">
        <f t="shared" si="66"/>
        <v>0.49888761839273887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262.80000000000007</v>
      </c>
      <c r="O99" s="14">
        <f>N99*VLOOKUP('Données projet'!$B$9,Paramètres!$A$1:$I$89,3,0)*VLOOKUP('Données projet'!$B$9,Paramètres!$A$1:$I$89,5,0)</f>
        <v>237.78144000000006</v>
      </c>
      <c r="P99" s="14">
        <f t="shared" si="87"/>
        <v>57.96193879691095</v>
      </c>
      <c r="Q99" s="22">
        <f t="shared" ref="Q99:Q130" si="107">(O99+P99)*0.475*44/12</f>
        <v>515.08638473795338</v>
      </c>
      <c r="R99" s="62">
        <f t="shared" si="55"/>
        <v>808.41971807128675</v>
      </c>
      <c r="S99" s="62">
        <f ca="1">AVERAGE(OFFSET($R$3,0,0,'Données projet'!$E$9+1,1))-AVERAGE(OFFSET($H$3,0,0,'Données projet'!$E$9+1,1))</f>
        <v>371.75294069149942</v>
      </c>
      <c r="T99" s="62">
        <f t="shared" si="88"/>
        <v>233.32640143610547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0.43298829942857464</v>
      </c>
      <c r="AB99" s="23">
        <f>EXP(-LN(2)/2)*AB98+(1-EXP(-LN(2)/2))/(LN(2)/2)*V99*Y99*VLOOKUP('Données projet'!$B$9,Paramètres!$A$1:$I$89,3,0)*0.475*44/12</f>
        <v>1.4609466701890158E-9</v>
      </c>
      <c r="AC99" s="24">
        <f t="shared" si="57"/>
        <v>0.43298830088952134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262.80000000000007</v>
      </c>
      <c r="AJ99" s="14">
        <f>AI99*VLOOKUP('Données projet'!$B$10,Paramètres!$A$1:$I$89,3,0)*VLOOKUP('Données projet'!$B$10,Paramètres!$A$1:$I$89,5,0)</f>
        <v>221.38272000000006</v>
      </c>
      <c r="AK99" s="14">
        <f t="shared" si="89"/>
        <v>54.415303406517502</v>
      </c>
      <c r="AL99" s="22">
        <f t="shared" si="58"/>
        <v>480.34822409968478</v>
      </c>
      <c r="AM99" s="62">
        <f t="shared" si="59"/>
        <v>773.68155743301804</v>
      </c>
      <c r="AN99" s="62">
        <f ca="1">AVERAGE(OFFSET($AM$3,0,0,'Données projet'!$E$10+1,1))-AVERAGE(OFFSET($H$3,0,0,'Données projet'!$E$10+1,1))</f>
        <v>348.84749506659495</v>
      </c>
      <c r="AO99" s="62">
        <f t="shared" si="90"/>
        <v>220.09202639602199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0.40312703739901756</v>
      </c>
      <c r="AW99" s="23">
        <f>EXP(-LN(2)/2)*AW98+(1-EXP(-LN(2)/2))/(LN(2)/2)*AQ99*AT99*VLOOKUP('Données projet'!$B$10,Paramètres!$A$1:$I$89,3,0)*0.475*44/12</f>
        <v>1.36019172741736E-9</v>
      </c>
      <c r="AX99" s="23">
        <f t="shared" si="60"/>
        <v>0.4031270387592093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8.3000000000000007</v>
      </c>
      <c r="BD99" s="13">
        <f>IF('Données projet'!$A$88&gt;35,BD98+BC99-BL98,IF(A99&lt;'Données projet'!$A$88,$BA$205^A99,IF(A99='Données projet'!$A$88,'Données projet'!$B$88,BD98+BC99-BL98)))</f>
        <v>341.80000000000007</v>
      </c>
      <c r="BE99" s="14">
        <f>BD99*VLOOKUP('Données projet'!$B$11,Paramètres!$A$1:$I$89,3,0)*VLOOKUP('Données projet'!$B$11,Paramètres!$A$1:$I$89,5,0)</f>
        <v>159.96240000000003</v>
      </c>
      <c r="BF99" s="14">
        <f t="shared" si="91"/>
        <v>40.834034505739851</v>
      </c>
      <c r="BG99" s="22">
        <f t="shared" si="61"/>
        <v>349.7204567641636</v>
      </c>
      <c r="BH99" s="62">
        <f t="shared" si="62"/>
        <v>643.05379009749686</v>
      </c>
      <c r="BI99" s="62">
        <f ca="1">AVERAGE(OFFSET($BH$3,0,0,'Données projet'!$E$11+1,1))-AVERAGE(OFFSET($H$3,0,0,'Données projet'!$E$11+1,1))</f>
        <v>259.74478933784656</v>
      </c>
      <c r="BJ99" s="62">
        <f t="shared" si="92"/>
        <v>223.74038909289646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4.8</v>
      </c>
      <c r="BY99" s="13">
        <f>IF('Données projet'!$A$114&gt;35,BY98+BX99-CG98,IF(A99&lt;'Données projet'!$A$114,$BV$205^A99,IF(A99='Données projet'!$A$114,'Données projet'!$B$114,BY98+BX99-CG98)))</f>
        <v>262.80000000000007</v>
      </c>
      <c r="BZ99" s="14">
        <f>BY99*VLOOKUP('Données projet'!$B$12,Paramètres!$A$1:$I$89,3,0)*VLOOKUP('Données projet'!$B$12,Paramètres!$A$1:$I$89,5,0)</f>
        <v>266.47920000000011</v>
      </c>
      <c r="CA99" s="14">
        <f t="shared" si="93"/>
        <v>64.101496824889679</v>
      </c>
      <c r="CB99" s="22">
        <f t="shared" si="64"/>
        <v>575.76138030334971</v>
      </c>
      <c r="CC99" s="62">
        <f t="shared" si="65"/>
        <v>869.09471363668308</v>
      </c>
      <c r="CD99" s="62">
        <f ca="1">AVERAGE(OFFSET($CC$3,0,0,'Données projet'!$E$12+1,1))-AVERAGE(OFFSET($H$3,0,0,'Données projet'!$E$12+1,1))</f>
        <v>411.75894069172358</v>
      </c>
      <c r="CE99" s="62">
        <f t="shared" si="94"/>
        <v>256.4377087753457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0.48524550798029947</v>
      </c>
      <c r="CM99" s="23">
        <f>EXP(-LN(2)/2)*CM98+(1-EXP(-LN(2)/2))/(LN(2)/2)*CG99*CJ99*VLOOKUP('Données projet'!$B$12,Paramètres!$A$1:$I$89,3,0)*0.475*44/12</f>
        <v>1.6372678200394144E-9</v>
      </c>
      <c r="CN99" s="24">
        <f t="shared" si="66"/>
        <v>0.48524550961756729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267.60000000000008</v>
      </c>
      <c r="O100" s="14">
        <f>N100*VLOOKUP('Données projet'!$B$9,Paramètres!$A$1:$I$89,3,0)*VLOOKUP('Données projet'!$B$9,Paramètres!$A$1:$I$89,5,0)</f>
        <v>242.12448000000006</v>
      </c>
      <c r="P100" s="14">
        <f t="shared" si="87"/>
        <v>58.896387987806008</v>
      </c>
      <c r="Q100" s="22">
        <f t="shared" si="107"/>
        <v>524.2780117454289</v>
      </c>
      <c r="R100" s="62">
        <f t="shared" si="55"/>
        <v>817.61134507876227</v>
      </c>
      <c r="S100" s="62">
        <f ca="1">AVERAGE(OFFSET($R$3,0,0,'Données projet'!$E$9+1,1))-AVERAGE(OFFSET($H$3,0,0,'Données projet'!$E$9+1,1))</f>
        <v>371.75294069149942</v>
      </c>
      <c r="T100" s="62">
        <f t="shared" si="88"/>
        <v>233.32640143610547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0.42114821161083521</v>
      </c>
      <c r="AB100" s="23">
        <f>EXP(-LN(2)/2)*AB99+(1-EXP(-LN(2)/2))/(LN(2)/2)*V100*Y100*VLOOKUP('Données projet'!$B$9,Paramètres!$A$1:$I$89,3,0)*0.475*44/12</f>
        <v>1.0330452974425596E-9</v>
      </c>
      <c r="AC100" s="24">
        <f t="shared" si="57"/>
        <v>0.42114821264388053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267.60000000000008</v>
      </c>
      <c r="AJ100" s="14">
        <f>AI100*VLOOKUP('Données projet'!$B$10,Paramètres!$A$1:$I$89,3,0)*VLOOKUP('Données projet'!$B$10,Paramètres!$A$1:$I$89,5,0)</f>
        <v>225.42624000000009</v>
      </c>
      <c r="AK100" s="14">
        <f t="shared" si="89"/>
        <v>55.292574548511105</v>
      </c>
      <c r="AL100" s="22">
        <f t="shared" si="58"/>
        <v>488.91860200532369</v>
      </c>
      <c r="AM100" s="62">
        <f t="shared" si="59"/>
        <v>782.25193533865695</v>
      </c>
      <c r="AN100" s="62">
        <f ca="1">AVERAGE(OFFSET($AM$3,0,0,'Données projet'!$E$10+1,1))-AVERAGE(OFFSET($H$3,0,0,'Données projet'!$E$10+1,1))</f>
        <v>348.84749506659495</v>
      </c>
      <c r="AO100" s="62">
        <f t="shared" si="90"/>
        <v>220.09202639602199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0.39210350736181188</v>
      </c>
      <c r="AW100" s="23">
        <f>EXP(-LN(2)/2)*AW99+(1-EXP(-LN(2)/2))/(LN(2)/2)*AQ100*AT100*VLOOKUP('Données projet'!$B$10,Paramètres!$A$1:$I$89,3,0)*0.475*44/12</f>
        <v>9.6180079417065926E-10</v>
      </c>
      <c r="AX100" s="23">
        <f t="shared" si="60"/>
        <v>0.39210350832361268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8.3000000000000007</v>
      </c>
      <c r="BD100" s="13">
        <f>IF('Données projet'!$A$88&gt;35,BD99+BC100-BL99,IF(A100&lt;'Données projet'!$A$88,$BA$205^A100,IF(A100='Données projet'!$A$88,'Données projet'!$B$88,BD99+BC100-BL99)))</f>
        <v>350.10000000000008</v>
      </c>
      <c r="BE100" s="14">
        <f>BD100*VLOOKUP('Données projet'!$B$11,Paramètres!$A$1:$I$89,3,0)*VLOOKUP('Données projet'!$B$11,Paramètres!$A$1:$I$89,5,0)</f>
        <v>163.84680000000003</v>
      </c>
      <c r="BF100" s="14">
        <f t="shared" si="91"/>
        <v>41.708968522008732</v>
      </c>
      <c r="BG100" s="22">
        <f t="shared" si="61"/>
        <v>358.00963017583189</v>
      </c>
      <c r="BH100" s="62">
        <f t="shared" si="62"/>
        <v>651.3429635091652</v>
      </c>
      <c r="BI100" s="62">
        <f ca="1">AVERAGE(OFFSET($BH$3,0,0,'Données projet'!$E$11+1,1))-AVERAGE(OFFSET($H$3,0,0,'Données projet'!$E$11+1,1))</f>
        <v>259.74478933784656</v>
      </c>
      <c r="BJ100" s="62">
        <f t="shared" si="92"/>
        <v>223.74038909289646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4.8</v>
      </c>
      <c r="BY100" s="13">
        <f>IF('Données projet'!$A$114&gt;35,BY99+BX100-CG99,IF(A100&lt;'Données projet'!$A$114,$BV$205^A100,IF(A100='Données projet'!$A$114,'Données projet'!$B$114,BY99+BX100-CG99)))</f>
        <v>267.60000000000008</v>
      </c>
      <c r="BZ100" s="14">
        <f>BY100*VLOOKUP('Données projet'!$B$12,Paramètres!$A$1:$I$89,3,0)*VLOOKUP('Données projet'!$B$12,Paramètres!$A$1:$I$89,5,0)</f>
        <v>271.34640000000007</v>
      </c>
      <c r="CA100" s="14">
        <f t="shared" si="93"/>
        <v>65.134926573557365</v>
      </c>
      <c r="CB100" s="22">
        <f t="shared" si="64"/>
        <v>586.03831044894594</v>
      </c>
      <c r="CC100" s="62">
        <f t="shared" si="65"/>
        <v>879.37164378227931</v>
      </c>
      <c r="CD100" s="62">
        <f ca="1">AVERAGE(OFFSET($CC$3,0,0,'Données projet'!$E$12+1,1))-AVERAGE(OFFSET($H$3,0,0,'Données projet'!$E$12+1,1))</f>
        <v>411.75894069172358</v>
      </c>
      <c r="CE100" s="62">
        <f t="shared" si="94"/>
        <v>256.4377087753457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0.47197644404662598</v>
      </c>
      <c r="CM100" s="23">
        <f>EXP(-LN(2)/2)*CM99+(1-EXP(-LN(2)/2))/(LN(2)/2)*CG100*CJ100*VLOOKUP('Données projet'!$B$12,Paramètres!$A$1:$I$89,3,0)*0.475*44/12</f>
        <v>1.1577231781683859E-9</v>
      </c>
      <c r="CN100" s="24">
        <f t="shared" si="66"/>
        <v>0.47197644520434917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272.40000000000009</v>
      </c>
      <c r="O101" s="14">
        <f>N101*VLOOKUP('Données projet'!$B$9,Paramètres!$A$1:$I$89,3,0)*VLOOKUP('Données projet'!$B$9,Paramètres!$A$1:$I$89,5,0)</f>
        <v>246.46752000000009</v>
      </c>
      <c r="P101" s="14">
        <f t="shared" si="87"/>
        <v>59.828888074217033</v>
      </c>
      <c r="Q101" s="22">
        <f t="shared" si="107"/>
        <v>533.4662440625948</v>
      </c>
      <c r="R101" s="62">
        <f t="shared" si="55"/>
        <v>826.79957739592805</v>
      </c>
      <c r="S101" s="62">
        <f ca="1">AVERAGE(OFFSET($R$3,0,0,'Données projet'!$E$9+1,1))-AVERAGE(OFFSET($H$3,0,0,'Données projet'!$E$9+1,1))</f>
        <v>371.75294069149942</v>
      </c>
      <c r="T101" s="62">
        <f t="shared" si="88"/>
        <v>233.32640143610547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0.409631891617115</v>
      </c>
      <c r="AB101" s="23">
        <f>EXP(-LN(2)/2)*AB100+(1-EXP(-LN(2)/2))/(LN(2)/2)*V101*Y101*VLOOKUP('Données projet'!$B$9,Paramètres!$A$1:$I$89,3,0)*0.475*44/12</f>
        <v>7.304733350945079E-10</v>
      </c>
      <c r="AC101" s="24">
        <f t="shared" si="57"/>
        <v>0.40963189234758834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272.40000000000009</v>
      </c>
      <c r="AJ101" s="14">
        <f>AI101*VLOOKUP('Données projet'!$B$10,Paramètres!$A$1:$I$89,3,0)*VLOOKUP('Données projet'!$B$10,Paramètres!$A$1:$I$89,5,0)</f>
        <v>229.46976000000009</v>
      </c>
      <c r="AK101" s="14">
        <f t="shared" si="89"/>
        <v>56.168015849852871</v>
      </c>
      <c r="AL101" s="22">
        <f t="shared" si="58"/>
        <v>497.48579293849389</v>
      </c>
      <c r="AM101" s="62">
        <f t="shared" si="59"/>
        <v>790.81912627182714</v>
      </c>
      <c r="AN101" s="62">
        <f ca="1">AVERAGE(OFFSET($AM$3,0,0,'Données projet'!$E$10+1,1))-AVERAGE(OFFSET($H$3,0,0,'Données projet'!$E$10+1,1))</f>
        <v>348.84749506659495</v>
      </c>
      <c r="AO101" s="62">
        <f t="shared" si="90"/>
        <v>220.09202639602199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0.38138141633317585</v>
      </c>
      <c r="AW101" s="23">
        <f>EXP(-LN(2)/2)*AW100+(1-EXP(-LN(2)/2))/(LN(2)/2)*AQ101*AT101*VLOOKUP('Données projet'!$B$10,Paramètres!$A$1:$I$89,3,0)*0.475*44/12</f>
        <v>6.8009586370868002E-10</v>
      </c>
      <c r="AX101" s="23">
        <f t="shared" si="60"/>
        <v>0.38138141701327172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8.3000000000000007</v>
      </c>
      <c r="BD101" s="13">
        <f>IF('Données projet'!$A$88&gt;35,BD100+BC101-BL100,IF(A101&lt;'Données projet'!$A$88,$BA$205^A101,IF(A101='Données projet'!$A$88,'Données projet'!$B$88,BD100+BC101-BL100)))</f>
        <v>358.40000000000009</v>
      </c>
      <c r="BE101" s="14">
        <f>BD101*VLOOKUP('Données projet'!$B$11,Paramètres!$A$1:$I$89,3,0)*VLOOKUP('Données projet'!$B$11,Paramètres!$A$1:$I$89,5,0)</f>
        <v>167.73120000000006</v>
      </c>
      <c r="BF101" s="14">
        <f t="shared" si="91"/>
        <v>42.581491199832655</v>
      </c>
      <c r="BG101" s="22">
        <f t="shared" si="61"/>
        <v>366.29460383970871</v>
      </c>
      <c r="BH101" s="62">
        <f t="shared" si="62"/>
        <v>659.62793717304203</v>
      </c>
      <c r="BI101" s="62">
        <f ca="1">AVERAGE(OFFSET($BH$3,0,0,'Données projet'!$E$11+1,1))-AVERAGE(OFFSET($H$3,0,0,'Données projet'!$E$11+1,1))</f>
        <v>259.74478933784656</v>
      </c>
      <c r="BJ101" s="62">
        <f t="shared" si="92"/>
        <v>223.74038909289646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4.8</v>
      </c>
      <c r="BY101" s="13">
        <f>IF('Données projet'!$A$114&gt;35,BY100+BX101-CG100,IF(A101&lt;'Données projet'!$A$114,$BV$205^A101,IF(A101='Données projet'!$A$114,'Données projet'!$B$114,BY100+BX101-CG100)))</f>
        <v>272.40000000000009</v>
      </c>
      <c r="BZ101" s="14">
        <f>BY101*VLOOKUP('Données projet'!$B$12,Paramètres!$A$1:$I$89,3,0)*VLOOKUP('Données projet'!$B$12,Paramètres!$A$1:$I$89,5,0)</f>
        <v>276.2136000000001</v>
      </c>
      <c r="CA101" s="14">
        <f t="shared" si="93"/>
        <v>66.166200760877473</v>
      </c>
      <c r="CB101" s="22">
        <f t="shared" si="64"/>
        <v>596.31148632519512</v>
      </c>
      <c r="CC101" s="62">
        <f t="shared" si="65"/>
        <v>889.64481965852838</v>
      </c>
      <c r="CD101" s="62">
        <f ca="1">AVERAGE(OFFSET($CC$3,0,0,'Données projet'!$E$12+1,1))-AVERAGE(OFFSET($H$3,0,0,'Données projet'!$E$12+1,1))</f>
        <v>411.75894069172358</v>
      </c>
      <c r="CE101" s="62">
        <f t="shared" si="94"/>
        <v>256.4377087753457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0.45907022336400849</v>
      </c>
      <c r="CM101" s="23">
        <f>EXP(-LN(2)/2)*CM100+(1-EXP(-LN(2)/2))/(LN(2)/2)*CG101*CJ101*VLOOKUP('Données projet'!$B$12,Paramètres!$A$1:$I$89,3,0)*0.475*44/12</f>
        <v>8.1863391001970721E-10</v>
      </c>
      <c r="CN101" s="24">
        <f t="shared" si="66"/>
        <v>0.45907022418264237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277.2000000000001</v>
      </c>
      <c r="O102" s="14">
        <f>N102*VLOOKUP('Données projet'!$B$9,Paramètres!$A$1:$I$89,3,0)*VLOOKUP('Données projet'!$B$9,Paramètres!$A$1:$I$89,5,0)</f>
        <v>250.81056000000007</v>
      </c>
      <c r="P102" s="14">
        <f t="shared" si="87"/>
        <v>60.75947736410874</v>
      </c>
      <c r="Q102" s="22">
        <f t="shared" si="107"/>
        <v>542.65114840915612</v>
      </c>
      <c r="R102" s="62">
        <f t="shared" si="55"/>
        <v>835.98448174248938</v>
      </c>
      <c r="S102" s="62">
        <f ca="1">AVERAGE(OFFSET($R$3,0,0,'Données projet'!$E$9+1,1))-AVERAGE(OFFSET($H$3,0,0,'Données projet'!$E$9+1,1))</f>
        <v>371.75294069149942</v>
      </c>
      <c r="T102" s="62">
        <f t="shared" si="88"/>
        <v>233.32640143610547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0.39843048599924002</v>
      </c>
      <c r="AB102" s="23">
        <f>EXP(-LN(2)/2)*AB101+(1-EXP(-LN(2)/2))/(LN(2)/2)*V102*Y102*VLOOKUP('Données projet'!$B$9,Paramètres!$A$1:$I$89,3,0)*0.475*44/12</f>
        <v>5.165226487212798E-10</v>
      </c>
      <c r="AC102" s="24">
        <f t="shared" si="57"/>
        <v>0.39843048651576268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277.2000000000001</v>
      </c>
      <c r="AJ102" s="14">
        <f>AI102*VLOOKUP('Données projet'!$B$10,Paramètres!$A$1:$I$89,3,0)*VLOOKUP('Données projet'!$B$10,Paramètres!$A$1:$I$89,5,0)</f>
        <v>233.51328000000012</v>
      </c>
      <c r="AK102" s="14">
        <f t="shared" si="89"/>
        <v>57.041663274479895</v>
      </c>
      <c r="AL102" s="22">
        <f t="shared" si="58"/>
        <v>506.04985953638601</v>
      </c>
      <c r="AM102" s="62">
        <f t="shared" si="59"/>
        <v>799.38319286971932</v>
      </c>
      <c r="AN102" s="62">
        <f ca="1">AVERAGE(OFFSET($AM$3,0,0,'Données projet'!$E$10+1,1))-AVERAGE(OFFSET($H$3,0,0,'Données projet'!$E$10+1,1))</f>
        <v>348.84749506659495</v>
      </c>
      <c r="AO102" s="62">
        <f t="shared" si="90"/>
        <v>220.09202639602199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0.37095252144756813</v>
      </c>
      <c r="AW102" s="23">
        <f>EXP(-LN(2)/2)*AW101+(1-EXP(-LN(2)/2))/(LN(2)/2)*AQ102*AT102*VLOOKUP('Données projet'!$B$10,Paramètres!$A$1:$I$89,3,0)*0.475*44/12</f>
        <v>4.8090039708532963E-10</v>
      </c>
      <c r="AX102" s="23">
        <f t="shared" si="60"/>
        <v>0.3709525219284685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8.3000000000000007</v>
      </c>
      <c r="BD102" s="13">
        <f>IF('Données projet'!$A$88&gt;35,BD101+BC102-BL101,IF(A102&lt;'Données projet'!$A$88,$BA$205^A102,IF(A102='Données projet'!$A$88,'Données projet'!$B$88,BD101+BC102-BL101)))</f>
        <v>366.7000000000001</v>
      </c>
      <c r="BE102" s="14">
        <f>BD102*VLOOKUP('Données projet'!$B$11,Paramètres!$A$1:$I$89,3,0)*VLOOKUP('Données projet'!$B$11,Paramètres!$A$1:$I$89,5,0)</f>
        <v>171.61560000000006</v>
      </c>
      <c r="BF102" s="14">
        <f t="shared" si="91"/>
        <v>43.45166480956653</v>
      </c>
      <c r="BG102" s="22">
        <f t="shared" si="61"/>
        <v>374.57548620999506</v>
      </c>
      <c r="BH102" s="62">
        <f t="shared" si="62"/>
        <v>667.90881954332838</v>
      </c>
      <c r="BI102" s="62">
        <f ca="1">AVERAGE(OFFSET($BH$3,0,0,'Données projet'!$E$11+1,1))-AVERAGE(OFFSET($H$3,0,0,'Données projet'!$E$11+1,1))</f>
        <v>259.74478933784656</v>
      </c>
      <c r="BJ102" s="62">
        <f t="shared" si="92"/>
        <v>223.74038909289646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4.8</v>
      </c>
      <c r="BY102" s="13">
        <f>IF('Données projet'!$A$114&gt;35,BY101+BX102-CG101,IF(A102&lt;'Données projet'!$A$114,$BV$205^A102,IF(A102='Données projet'!$A$114,'Données projet'!$B$114,BY101+BX102-CG101)))</f>
        <v>277.2000000000001</v>
      </c>
      <c r="BZ102" s="14">
        <f>BY102*VLOOKUP('Données projet'!$B$12,Paramètres!$A$1:$I$89,3,0)*VLOOKUP('Données projet'!$B$12,Paramètres!$A$1:$I$89,5,0)</f>
        <v>281.08080000000012</v>
      </c>
      <c r="CA102" s="14">
        <f t="shared" si="93"/>
        <v>67.195361752546177</v>
      </c>
      <c r="CB102" s="22">
        <f t="shared" si="64"/>
        <v>606.58098171901804</v>
      </c>
      <c r="CC102" s="62">
        <f t="shared" si="65"/>
        <v>899.91431505235141</v>
      </c>
      <c r="CD102" s="62">
        <f ca="1">AVERAGE(OFFSET($CC$3,0,0,'Données projet'!$E$12+1,1))-AVERAGE(OFFSET($H$3,0,0,'Données projet'!$E$12+1,1))</f>
        <v>411.75894069172358</v>
      </c>
      <c r="CE102" s="62">
        <f t="shared" si="94"/>
        <v>256.4377087753457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0.44651692396466586</v>
      </c>
      <c r="CM102" s="23">
        <f>EXP(-LN(2)/2)*CM101+(1-EXP(-LN(2)/2))/(LN(2)/2)*CG102*CJ102*VLOOKUP('Données projet'!$B$12,Paramètres!$A$1:$I$89,3,0)*0.475*44/12</f>
        <v>5.7886158908419294E-10</v>
      </c>
      <c r="CN102" s="24">
        <f t="shared" si="66"/>
        <v>0.44651692454352743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282.00000000000011</v>
      </c>
      <c r="O103" s="14">
        <f>N103*VLOOKUP('Données projet'!$B$9,Paramètres!$A$1:$I$89,3,0)*VLOOKUP('Données projet'!$B$9,Paramètres!$A$1:$I$89,5,0)</f>
        <v>255.1536000000001</v>
      </c>
      <c r="P103" s="14">
        <f t="shared" si="87"/>
        <v>61.688192762754426</v>
      </c>
      <c r="Q103" s="22">
        <f t="shared" si="107"/>
        <v>551.83278906179737</v>
      </c>
      <c r="R103" s="62">
        <f t="shared" si="55"/>
        <v>845.16612239513074</v>
      </c>
      <c r="S103" s="62">
        <f ca="1">AVERAGE(OFFSET($R$3,0,0,'Données projet'!$E$9+1,1))-AVERAGE(OFFSET($H$3,0,0,'Données projet'!$E$9+1,1))</f>
        <v>371.75294069149942</v>
      </c>
      <c r="T103" s="62">
        <f t="shared" si="88"/>
        <v>233.32640143610547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0.38753538340704219</v>
      </c>
      <c r="AB103" s="23">
        <f>EXP(-LN(2)/2)*AB102+(1-EXP(-LN(2)/2))/(LN(2)/2)*V103*Y103*VLOOKUP('Données projet'!$B$9,Paramètres!$A$1:$I$89,3,0)*0.475*44/12</f>
        <v>3.6523666754725395E-10</v>
      </c>
      <c r="AC103" s="24">
        <f t="shared" si="57"/>
        <v>0.38753538377227886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282.00000000000011</v>
      </c>
      <c r="AJ103" s="14">
        <f>AI103*VLOOKUP('Données projet'!$B$10,Paramètres!$A$1:$I$89,3,0)*VLOOKUP('Données projet'!$B$10,Paramètres!$A$1:$I$89,5,0)</f>
        <v>237.55680000000009</v>
      </c>
      <c r="AK103" s="14">
        <f t="shared" si="89"/>
        <v>57.913551469467357</v>
      </c>
      <c r="AL103" s="22">
        <f t="shared" si="58"/>
        <v>514.61086214265583</v>
      </c>
      <c r="AM103" s="62">
        <f t="shared" si="59"/>
        <v>807.94419547598909</v>
      </c>
      <c r="AN103" s="62">
        <f ca="1">AVERAGE(OFFSET($AM$3,0,0,'Données projet'!$E$10+1,1))-AVERAGE(OFFSET($H$3,0,0,'Données projet'!$E$10+1,1))</f>
        <v>348.84749506659495</v>
      </c>
      <c r="AO103" s="62">
        <f t="shared" si="90"/>
        <v>220.09202639602199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0.36080880524103909</v>
      </c>
      <c r="AW103" s="23">
        <f>EXP(-LN(2)/2)*AW102+(1-EXP(-LN(2)/2))/(LN(2)/2)*AQ103*AT103*VLOOKUP('Données projet'!$B$10,Paramètres!$A$1:$I$89,3,0)*0.475*44/12</f>
        <v>3.4004793185434001E-10</v>
      </c>
      <c r="AX103" s="23">
        <f t="shared" si="60"/>
        <v>0.36080880558108702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375</v>
      </c>
      <c r="BB103" s="13">
        <f>VLOOKUP(A103,'Données projet'!$A$87:$I$107,9,0)</f>
        <v>8.3000000000000007</v>
      </c>
      <c r="BC103" s="13">
        <f t="array" ref="BC103">INDEX(BB:BB,MIN(IF(ISNUMBER(BB103:BB299),ROW(BB103:BB299),"")))</f>
        <v>8.3000000000000007</v>
      </c>
      <c r="BD103" s="13">
        <f>IF('Données projet'!$A$88&gt;35,BD102+BC103-BL102,IF(A103&lt;'Données projet'!$A$88,$BA$205^A103,IF(A103='Données projet'!$A$88,'Données projet'!$B$88,BD102+BC103-BL102)))</f>
        <v>375.00000000000011</v>
      </c>
      <c r="BE103" s="14">
        <f>BD103*VLOOKUP('Données projet'!$B$11,Paramètres!$A$1:$I$89,3,0)*VLOOKUP('Données projet'!$B$11,Paramètres!$A$1:$I$89,5,0)</f>
        <v>175.50000000000006</v>
      </c>
      <c r="BF103" s="14">
        <f t="shared" si="91"/>
        <v>44.319548641773906</v>
      </c>
      <c r="BG103" s="22">
        <f t="shared" si="61"/>
        <v>382.85238055108965</v>
      </c>
      <c r="BH103" s="62">
        <f t="shared" si="62"/>
        <v>676.18571388442297</v>
      </c>
      <c r="BI103" s="62">
        <f ca="1">AVERAGE(OFFSET($BH$3,0,0,'Données projet'!$E$11+1,1))-AVERAGE(OFFSET($H$3,0,0,'Données projet'!$E$11+1,1))</f>
        <v>259.74478933784656</v>
      </c>
      <c r="BJ103" s="62">
        <f t="shared" si="92"/>
        <v>223.74038909289646</v>
      </c>
      <c r="BK103" s="16">
        <f>IF(ISNA(VLOOKUP(A103,'Données projet'!$A$87:$I$107,3,0)),0,VLOOKUP(A103,'Données projet'!$A$87:$I$107,3,0))</f>
        <v>9</v>
      </c>
      <c r="BL103" s="16">
        <f>IF(ISNA(VLOOKUP(A103,'Données projet'!$A$87:$I$107,4,0)),0,VLOOKUP(A103,'Données projet'!$A$87:$I$107,4,0))</f>
        <v>375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282</v>
      </c>
      <c r="BW103" s="13">
        <f>VLOOKUP(A103,'Données projet'!$A$113:$I$133,9,0)</f>
        <v>4.8</v>
      </c>
      <c r="BX103" s="13">
        <f t="array" ref="BX103">INDEX(BW:BW,MIN(IF(ISNUMBER(BW103:BW299),ROW(BW103:BW299),"")))</f>
        <v>4.8</v>
      </c>
      <c r="BY103" s="13">
        <f>IF('Données projet'!$A$114&gt;35,BY102+BX103-CG102,IF(A103&lt;'Données projet'!$A$114,$BV$205^A103,IF(A103='Données projet'!$A$114,'Données projet'!$B$114,BY102+BX103-CG102)))</f>
        <v>282.00000000000011</v>
      </c>
      <c r="BZ103" s="14">
        <f>BY103*VLOOKUP('Données projet'!$B$12,Paramètres!$A$1:$I$89,3,0)*VLOOKUP('Données projet'!$B$12,Paramètres!$A$1:$I$89,5,0)</f>
        <v>285.94800000000009</v>
      </c>
      <c r="CA103" s="14">
        <f t="shared" si="93"/>
        <v>68.222450362989363</v>
      </c>
      <c r="CB103" s="22">
        <f t="shared" si="64"/>
        <v>616.84686771553993</v>
      </c>
      <c r="CC103" s="62">
        <f t="shared" si="65"/>
        <v>910.18020104887319</v>
      </c>
      <c r="CD103" s="62">
        <f ca="1">AVERAGE(OFFSET($CC$3,0,0,'Données projet'!$E$12+1,1))-AVERAGE(OFFSET($H$3,0,0,'Données projet'!$E$12+1,1))</f>
        <v>411.75894069172358</v>
      </c>
      <c r="CE103" s="62">
        <f t="shared" si="94"/>
        <v>256.4377087753457</v>
      </c>
      <c r="CF103" s="16">
        <f>IF(ISNA(VLOOKUP(A103,'Données projet'!$A$113:$I$133,3,0)),0,VLOOKUP(A103,'Données projet'!$A$113:$I$133,3,0))</f>
        <v>16</v>
      </c>
      <c r="CG103" s="16">
        <f>IF(ISNA(VLOOKUP(A103,'Données projet'!$A$113:$I$133,4,0)),0,VLOOKUP(A103,'Données projet'!$A$113:$I$133,4,0))</f>
        <v>21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0.43430689519754756</v>
      </c>
      <c r="CM103" s="23">
        <f>EXP(-LN(2)/2)*CM102+(1-EXP(-LN(2)/2))/(LN(2)/2)*CG103*CJ103*VLOOKUP('Données projet'!$B$12,Paramètres!$A$1:$I$89,3,0)*0.475*44/12</f>
        <v>4.093169550098536E-10</v>
      </c>
      <c r="CN103" s="24">
        <f t="shared" si="66"/>
        <v>0.43430689560686453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265.40000000000009</v>
      </c>
      <c r="O104" s="14">
        <f>N104*VLOOKUP('Données projet'!$B$9,Paramètres!$A$1:$I$89,3,0)*VLOOKUP('Données projet'!$B$9,Paramètres!$A$1:$I$89,5,0)</f>
        <v>240.13392000000007</v>
      </c>
      <c r="P104" s="14">
        <f t="shared" si="87"/>
        <v>58.468343087048616</v>
      </c>
      <c r="Q104" s="22">
        <f t="shared" si="107"/>
        <v>520.06560820994309</v>
      </c>
      <c r="R104" s="62">
        <f t="shared" si="55"/>
        <v>813.39894154327635</v>
      </c>
      <c r="S104" s="62">
        <f ca="1">AVERAGE(OFFSET($R$3,0,0,'Données projet'!$E$9+1,1))-AVERAGE(OFFSET($H$3,0,0,'Données projet'!$E$9+1,1))</f>
        <v>371.75294069149942</v>
      </c>
      <c r="T104" s="62">
        <f t="shared" si="88"/>
        <v>233.32640143610547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0.37693820796817651</v>
      </c>
      <c r="AB104" s="23">
        <f>EXP(-LN(2)/2)*AB103+(1-EXP(-LN(2)/2))/(LN(2)/2)*V104*Y104*VLOOKUP('Données projet'!$B$9,Paramètres!$A$1:$I$89,3,0)*0.475*44/12</f>
        <v>2.582613243606399E-10</v>
      </c>
      <c r="AC104" s="24">
        <f t="shared" si="57"/>
        <v>0.37693820822643781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265.40000000000009</v>
      </c>
      <c r="AJ104" s="14">
        <f>AI104*VLOOKUP('Données projet'!$B$10,Paramètres!$A$1:$I$89,3,0)*VLOOKUP('Données projet'!$B$10,Paramètres!$A$1:$I$89,5,0)</f>
        <v>223.57296000000011</v>
      </c>
      <c r="AK104" s="14">
        <f t="shared" si="89"/>
        <v>54.890721304299618</v>
      </c>
      <c r="AL104" s="22">
        <f t="shared" si="58"/>
        <v>484.99091160498864</v>
      </c>
      <c r="AM104" s="62">
        <f t="shared" si="59"/>
        <v>778.32424493832195</v>
      </c>
      <c r="AN104" s="62">
        <f ca="1">AVERAGE(OFFSET($AM$3,0,0,'Données projet'!$E$10+1,1))-AVERAGE(OFFSET($H$3,0,0,'Données projet'!$E$10+1,1))</f>
        <v>348.84749506659495</v>
      </c>
      <c r="AO104" s="62">
        <f t="shared" si="90"/>
        <v>220.09202639602199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0.35094246948761243</v>
      </c>
      <c r="AW104" s="23">
        <f>EXP(-LN(2)/2)*AW103+(1-EXP(-LN(2)/2))/(LN(2)/2)*AQ104*AT104*VLOOKUP('Données projet'!$B$10,Paramètres!$A$1:$I$89,3,0)*0.475*44/12</f>
        <v>2.4045019854266481E-10</v>
      </c>
      <c r="AX104" s="23">
        <f t="shared" si="60"/>
        <v>0.35094246972806264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5.3205440053716299E-14</v>
      </c>
      <c r="BF104" s="14">
        <f t="shared" si="91"/>
        <v>8.602146238565607E-13</v>
      </c>
      <c r="BG104" s="22">
        <f t="shared" si="61"/>
        <v>1.590873277977066E-12</v>
      </c>
      <c r="BH104" s="62">
        <f t="shared" si="62"/>
        <v>293.33333333333491</v>
      </c>
      <c r="BI104" s="62">
        <f ca="1">AVERAGE(OFFSET($BH$3,0,0,'Données projet'!$E$11+1,1))-AVERAGE(OFFSET($H$3,0,0,'Données projet'!$E$11+1,1))</f>
        <v>259.74478933784656</v>
      </c>
      <c r="BJ104" s="62">
        <f t="shared" si="92"/>
        <v>223.74038909289646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265.40000000000009</v>
      </c>
      <c r="BZ104" s="14">
        <f>BY104*VLOOKUP('Données projet'!$B$12,Paramètres!$A$1:$I$89,3,0)*VLOOKUP('Données projet'!$B$12,Paramètres!$A$1:$I$89,5,0)</f>
        <v>269.11560000000014</v>
      </c>
      <c r="CA104" s="14">
        <f t="shared" si="93"/>
        <v>64.661541462287133</v>
      </c>
      <c r="CB104" s="22">
        <f t="shared" si="64"/>
        <v>581.32852138015028</v>
      </c>
      <c r="CC104" s="62">
        <f t="shared" si="65"/>
        <v>874.66185471348354</v>
      </c>
      <c r="CD104" s="62">
        <f ca="1">AVERAGE(OFFSET($CC$3,0,0,'Données projet'!$E$12+1,1))-AVERAGE(OFFSET($H$3,0,0,'Données projet'!$E$12+1,1))</f>
        <v>411.75894069172358</v>
      </c>
      <c r="CE104" s="62">
        <f t="shared" si="94"/>
        <v>256.4377087753457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0.42243075030916361</v>
      </c>
      <c r="CM104" s="23">
        <f>EXP(-LN(2)/2)*CM103+(1-EXP(-LN(2)/2))/(LN(2)/2)*CG104*CJ104*VLOOKUP('Données projet'!$B$12,Paramètres!$A$1:$I$89,3,0)*0.475*44/12</f>
        <v>2.8943079454209647E-10</v>
      </c>
      <c r="CN104" s="24">
        <f t="shared" si="66"/>
        <v>0.42243075059859442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269.80000000000007</v>
      </c>
      <c r="O105" s="14">
        <f>N105*VLOOKUP('Données projet'!$B$9,Paramètres!$A$1:$I$89,3,0)*VLOOKUP('Données projet'!$B$9,Paramètres!$A$1:$I$89,5,0)</f>
        <v>244.11504000000008</v>
      </c>
      <c r="P105" s="14">
        <f t="shared" si="87"/>
        <v>59.324023461759062</v>
      </c>
      <c r="Q105" s="22">
        <f t="shared" si="107"/>
        <v>528.48970219589717</v>
      </c>
      <c r="R105" s="62">
        <f t="shared" si="55"/>
        <v>821.82303552923054</v>
      </c>
      <c r="S105" s="62">
        <f ca="1">AVERAGE(OFFSET($R$3,0,0,'Données projet'!$E$9+1,1))-AVERAGE(OFFSET($H$3,0,0,'Données projet'!$E$9+1,1))</f>
        <v>371.75294069149942</v>
      </c>
      <c r="T105" s="62">
        <f t="shared" si="88"/>
        <v>233.32640143610547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0.36663081284896787</v>
      </c>
      <c r="AB105" s="23">
        <f>EXP(-LN(2)/2)*AB104+(1-EXP(-LN(2)/2))/(LN(2)/2)*V105*Y105*VLOOKUP('Données projet'!$B$9,Paramètres!$A$1:$I$89,3,0)*0.475*44/12</f>
        <v>1.8261833377362697E-10</v>
      </c>
      <c r="AC105" s="24">
        <f t="shared" si="57"/>
        <v>0.36663081303158618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269.80000000000007</v>
      </c>
      <c r="AJ105" s="14">
        <f>AI105*VLOOKUP('Données projet'!$B$10,Paramètres!$A$1:$I$89,3,0)*VLOOKUP('Données projet'!$B$10,Paramètres!$A$1:$I$89,5,0)</f>
        <v>227.27952000000008</v>
      </c>
      <c r="AK105" s="14">
        <f t="shared" si="89"/>
        <v>55.694043418351306</v>
      </c>
      <c r="AL105" s="22">
        <f t="shared" si="58"/>
        <v>492.84562295362861</v>
      </c>
      <c r="AM105" s="62">
        <f t="shared" si="59"/>
        <v>786.17895628696192</v>
      </c>
      <c r="AN105" s="62">
        <f ca="1">AVERAGE(OFFSET($AM$3,0,0,'Données projet'!$E$10+1,1))-AVERAGE(OFFSET($H$3,0,0,'Données projet'!$E$10+1,1))</f>
        <v>348.84749506659495</v>
      </c>
      <c r="AO105" s="62">
        <f t="shared" si="90"/>
        <v>220.09202639602199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0.34134592920421131</v>
      </c>
      <c r="AW105" s="23">
        <f>EXP(-LN(2)/2)*AW104+(1-EXP(-LN(2)/2))/(LN(2)/2)*AQ105*AT105*VLOOKUP('Données projet'!$B$10,Paramètres!$A$1:$I$89,3,0)*0.475*44/12</f>
        <v>1.7002396592717E-10</v>
      </c>
      <c r="AX105" s="23">
        <f t="shared" si="60"/>
        <v>0.34134592937423525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5.3205440053716299E-14</v>
      </c>
      <c r="BF105" s="14">
        <f t="shared" si="91"/>
        <v>8.602146238565607E-13</v>
      </c>
      <c r="BG105" s="22">
        <f t="shared" si="61"/>
        <v>1.590873277977066E-12</v>
      </c>
      <c r="BH105" s="62">
        <f t="shared" si="62"/>
        <v>293.33333333333491</v>
      </c>
      <c r="BI105" s="62">
        <f ca="1">AVERAGE(OFFSET($BH$3,0,0,'Données projet'!$E$11+1,1))-AVERAGE(OFFSET($H$3,0,0,'Données projet'!$E$11+1,1))</f>
        <v>259.74478933784656</v>
      </c>
      <c r="BJ105" s="62">
        <f t="shared" si="92"/>
        <v>223.74038909289646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269.80000000000007</v>
      </c>
      <c r="BZ105" s="14">
        <f>BY105*VLOOKUP('Données projet'!$B$12,Paramètres!$A$1:$I$89,3,0)*VLOOKUP('Données projet'!$B$12,Paramètres!$A$1:$I$89,5,0)</f>
        <v>273.57720000000012</v>
      </c>
      <c r="CA105" s="14">
        <f t="shared" si="93"/>
        <v>65.607858889915107</v>
      </c>
      <c r="CB105" s="22">
        <f t="shared" si="64"/>
        <v>590.74731089993566</v>
      </c>
      <c r="CC105" s="62">
        <f t="shared" si="65"/>
        <v>884.08064423326891</v>
      </c>
      <c r="CD105" s="62">
        <f ca="1">AVERAGE(OFFSET($CC$3,0,0,'Données projet'!$E$12+1,1))-AVERAGE(OFFSET($H$3,0,0,'Données projet'!$E$12+1,1))</f>
        <v>411.75894069172358</v>
      </c>
      <c r="CE105" s="62">
        <f t="shared" si="94"/>
        <v>256.4377087753457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0.41087935922729185</v>
      </c>
      <c r="CM105" s="23">
        <f>EXP(-LN(2)/2)*CM104+(1-EXP(-LN(2)/2))/(LN(2)/2)*CG105*CJ105*VLOOKUP('Données projet'!$B$12,Paramètres!$A$1:$I$89,3,0)*0.475*44/12</f>
        <v>2.046584775049268E-10</v>
      </c>
      <c r="CN105" s="24">
        <f t="shared" si="66"/>
        <v>0.41087935943195031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274.20000000000005</v>
      </c>
      <c r="O106" s="14">
        <f>N106*VLOOKUP('Données projet'!$B$9,Paramètres!$A$1:$I$89,3,0)*VLOOKUP('Données projet'!$B$9,Paramètres!$A$1:$I$89,5,0)</f>
        <v>248.09616</v>
      </c>
      <c r="P106" s="14">
        <f t="shared" si="87"/>
        <v>60.178080967364686</v>
      </c>
      <c r="Q106" s="22">
        <f t="shared" si="107"/>
        <v>536.91096968482668</v>
      </c>
      <c r="R106" s="62">
        <f t="shared" si="55"/>
        <v>830.24430301816005</v>
      </c>
      <c r="S106" s="62">
        <f ca="1">AVERAGE(OFFSET($R$3,0,0,'Données projet'!$E$9+1,1))-AVERAGE(OFFSET($H$3,0,0,'Données projet'!$E$9+1,1))</f>
        <v>371.75294069149942</v>
      </c>
      <c r="T106" s="62">
        <f t="shared" si="88"/>
        <v>233.32640143610547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0.35660527399133635</v>
      </c>
      <c r="AB106" s="23">
        <f>EXP(-LN(2)/2)*AB105+(1-EXP(-LN(2)/2))/(LN(2)/2)*V106*Y106*VLOOKUP('Données projet'!$B$9,Paramètres!$A$1:$I$89,3,0)*0.475*44/12</f>
        <v>1.2913066218031995E-10</v>
      </c>
      <c r="AC106" s="24">
        <f t="shared" si="57"/>
        <v>0.356605274120467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274.20000000000005</v>
      </c>
      <c r="AJ106" s="14">
        <f>AI106*VLOOKUP('Données projet'!$B$10,Paramètres!$A$1:$I$89,3,0)*VLOOKUP('Données projet'!$B$10,Paramètres!$A$1:$I$89,5,0)</f>
        <v>230.98608000000007</v>
      </c>
      <c r="AK106" s="14">
        <f t="shared" si="89"/>
        <v>56.495841965100801</v>
      </c>
      <c r="AL106" s="22">
        <f t="shared" si="58"/>
        <v>500.69768075588399</v>
      </c>
      <c r="AM106" s="62">
        <f t="shared" si="59"/>
        <v>794.03101408921725</v>
      </c>
      <c r="AN106" s="62">
        <f ca="1">AVERAGE(OFFSET($AM$3,0,0,'Données projet'!$E$10+1,1))-AVERAGE(OFFSET($H$3,0,0,'Données projet'!$E$10+1,1))</f>
        <v>348.84749506659495</v>
      </c>
      <c r="AO106" s="62">
        <f t="shared" si="90"/>
        <v>220.09202639602199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0.33201180681951986</v>
      </c>
      <c r="AW106" s="23">
        <f>EXP(-LN(2)/2)*AW105+(1-EXP(-LN(2)/2))/(LN(2)/2)*AQ106*AT106*VLOOKUP('Données projet'!$B$10,Paramètres!$A$1:$I$89,3,0)*0.475*44/12</f>
        <v>1.2022509927133241E-10</v>
      </c>
      <c r="AX106" s="23">
        <f t="shared" si="60"/>
        <v>0.33201180693974497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5.3205440053716299E-14</v>
      </c>
      <c r="BF106" s="14">
        <f t="shared" si="91"/>
        <v>8.602146238565607E-13</v>
      </c>
      <c r="BG106" s="22">
        <f t="shared" si="61"/>
        <v>1.590873277977066E-12</v>
      </c>
      <c r="BH106" s="62">
        <f t="shared" si="62"/>
        <v>293.33333333333491</v>
      </c>
      <c r="BI106" s="62">
        <f ca="1">AVERAGE(OFFSET($BH$3,0,0,'Données projet'!$E$11+1,1))-AVERAGE(OFFSET($H$3,0,0,'Données projet'!$E$11+1,1))</f>
        <v>259.74478933784656</v>
      </c>
      <c r="BJ106" s="62">
        <f t="shared" si="92"/>
        <v>223.74038909289646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274.20000000000005</v>
      </c>
      <c r="BZ106" s="14">
        <f>BY106*VLOOKUP('Données projet'!$B$12,Paramètres!$A$1:$I$89,3,0)*VLOOKUP('Données projet'!$B$12,Paramètres!$A$1:$I$89,5,0)</f>
        <v>278.03880000000009</v>
      </c>
      <c r="CA106" s="14">
        <f t="shared" si="93"/>
        <v>66.5523815477178</v>
      </c>
      <c r="CB106" s="22">
        <f t="shared" si="64"/>
        <v>600.16297452894207</v>
      </c>
      <c r="CC106" s="62">
        <f t="shared" si="65"/>
        <v>893.49630786227544</v>
      </c>
      <c r="CD106" s="62">
        <f ca="1">AVERAGE(OFFSET($CC$3,0,0,'Données projet'!$E$12+1,1))-AVERAGE(OFFSET($H$3,0,0,'Données projet'!$E$12+1,1))</f>
        <v>411.75894069172358</v>
      </c>
      <c r="CE106" s="62">
        <f t="shared" si="94"/>
        <v>256.4377087753457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0.39964384154201515</v>
      </c>
      <c r="CM106" s="23">
        <f>EXP(-LN(2)/2)*CM105+(1-EXP(-LN(2)/2))/(LN(2)/2)*CG106*CJ106*VLOOKUP('Données projet'!$B$12,Paramètres!$A$1:$I$89,3,0)*0.475*44/12</f>
        <v>1.4471539727104823E-10</v>
      </c>
      <c r="CN106" s="24">
        <f t="shared" si="66"/>
        <v>0.39964384168673056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278.60000000000002</v>
      </c>
      <c r="O107" s="14">
        <f>N107*VLOOKUP('Données projet'!$B$9,Paramètres!$A$1:$I$89,3,0)*VLOOKUP('Données projet'!$B$9,Paramètres!$A$1:$I$89,5,0)</f>
        <v>252.07728</v>
      </c>
      <c r="P107" s="14">
        <f t="shared" si="87"/>
        <v>61.030544652154987</v>
      </c>
      <c r="Q107" s="22">
        <f t="shared" si="107"/>
        <v>545.32946126916988</v>
      </c>
      <c r="R107" s="62">
        <f t="shared" si="55"/>
        <v>838.66279460250325</v>
      </c>
      <c r="S107" s="62">
        <f ca="1">AVERAGE(OFFSET($R$3,0,0,'Données projet'!$E$9+1,1))-AVERAGE(OFFSET($H$3,0,0,'Données projet'!$E$9+1,1))</f>
        <v>371.75294069149942</v>
      </c>
      <c r="T107" s="62">
        <f t="shared" si="88"/>
        <v>233.32640143610547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0.34685388402098694</v>
      </c>
      <c r="AB107" s="23">
        <f>EXP(-LN(2)/2)*AB106+(1-EXP(-LN(2)/2))/(LN(2)/2)*V107*Y107*VLOOKUP('Données projet'!$B$9,Paramètres!$A$1:$I$89,3,0)*0.475*44/12</f>
        <v>9.1309166886813487E-11</v>
      </c>
      <c r="AC107" s="24">
        <f t="shared" si="57"/>
        <v>0.34685388411229612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278.60000000000002</v>
      </c>
      <c r="AJ107" s="14">
        <f>AI107*VLOOKUP('Données projet'!$B$10,Paramètres!$A$1:$I$89,3,0)*VLOOKUP('Données projet'!$B$10,Paramètres!$A$1:$I$89,5,0)</f>
        <v>234.69264000000004</v>
      </c>
      <c r="AK107" s="14">
        <f t="shared" si="89"/>
        <v>57.29614421540051</v>
      </c>
      <c r="AL107" s="22">
        <f t="shared" si="58"/>
        <v>508.54713250848926</v>
      </c>
      <c r="AM107" s="62">
        <f t="shared" si="59"/>
        <v>801.88046584182257</v>
      </c>
      <c r="AN107" s="62">
        <f ca="1">AVERAGE(OFFSET($AM$3,0,0,'Données projet'!$E$10+1,1))-AVERAGE(OFFSET($H$3,0,0,'Données projet'!$E$10+1,1))</f>
        <v>348.84749506659495</v>
      </c>
      <c r="AO107" s="62">
        <f t="shared" si="90"/>
        <v>220.09202639602199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0.32293292650229799</v>
      </c>
      <c r="AW107" s="23">
        <f>EXP(-LN(2)/2)*AW106+(1-EXP(-LN(2)/2))/(LN(2)/2)*AQ107*AT107*VLOOKUP('Données projet'!$B$10,Paramètres!$A$1:$I$89,3,0)*0.475*44/12</f>
        <v>8.5011982963585002E-11</v>
      </c>
      <c r="AX107" s="23">
        <f t="shared" si="60"/>
        <v>0.32293292658730999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5.3205440053716299E-14</v>
      </c>
      <c r="BF107" s="14">
        <f t="shared" si="91"/>
        <v>8.602146238565607E-13</v>
      </c>
      <c r="BG107" s="22">
        <f t="shared" si="61"/>
        <v>1.590873277977066E-12</v>
      </c>
      <c r="BH107" s="62">
        <f t="shared" si="62"/>
        <v>293.33333333333491</v>
      </c>
      <c r="BI107" s="62">
        <f ca="1">AVERAGE(OFFSET($BH$3,0,0,'Données projet'!$E$11+1,1))-AVERAGE(OFFSET($H$3,0,0,'Données projet'!$E$11+1,1))</f>
        <v>259.74478933784656</v>
      </c>
      <c r="BJ107" s="62">
        <f t="shared" si="92"/>
        <v>223.74038909289646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278.60000000000002</v>
      </c>
      <c r="BZ107" s="14">
        <f>BY107*VLOOKUP('Données projet'!$B$12,Paramètres!$A$1:$I$89,3,0)*VLOOKUP('Données projet'!$B$12,Paramètres!$A$1:$I$89,5,0)</f>
        <v>282.50040000000007</v>
      </c>
      <c r="CA107" s="14">
        <f t="shared" si="93"/>
        <v>67.495141560894439</v>
      </c>
      <c r="CB107" s="22">
        <f t="shared" si="64"/>
        <v>609.57556821855781</v>
      </c>
      <c r="CC107" s="62">
        <f t="shared" si="65"/>
        <v>902.90890155189118</v>
      </c>
      <c r="CD107" s="62">
        <f ca="1">AVERAGE(OFFSET($CC$3,0,0,'Données projet'!$E$12+1,1))-AVERAGE(OFFSET($H$3,0,0,'Données projet'!$E$12+1,1))</f>
        <v>411.75894069172358</v>
      </c>
      <c r="CE107" s="62">
        <f t="shared" si="94"/>
        <v>256.4377087753457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0.38871555967869253</v>
      </c>
      <c r="CM107" s="23">
        <f>EXP(-LN(2)/2)*CM106+(1-EXP(-LN(2)/2))/(LN(2)/2)*CG107*CJ107*VLOOKUP('Données projet'!$B$12,Paramètres!$A$1:$I$89,3,0)*0.475*44/12</f>
        <v>1.023292387524634E-10</v>
      </c>
      <c r="CN107" s="24">
        <f t="shared" si="66"/>
        <v>0.38871555978102179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283</v>
      </c>
      <c r="L108" s="13">
        <f>VLOOKUP(A108,'Données projet'!$A$35:$I$55,9,0)</f>
        <v>4.4000000000000004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283</v>
      </c>
      <c r="O108" s="14">
        <f>N108*VLOOKUP('Données projet'!$B$9,Paramètres!$A$1:$I$89,3,0)*VLOOKUP('Données projet'!$B$9,Paramètres!$A$1:$I$89,5,0)</f>
        <v>256.05840000000001</v>
      </c>
      <c r="P108" s="14">
        <f t="shared" si="87"/>
        <v>61.881442594256484</v>
      </c>
      <c r="Q108" s="22">
        <f t="shared" si="107"/>
        <v>553.74522585166335</v>
      </c>
      <c r="R108" s="62">
        <f t="shared" si="55"/>
        <v>847.07855918499672</v>
      </c>
      <c r="S108" s="62">
        <f ca="1">AVERAGE(OFFSET($R$3,0,0,'Données projet'!$E$9+1,1))-AVERAGE(OFFSET($H$3,0,0,'Données projet'!$E$9+1,1))</f>
        <v>371.75294069149942</v>
      </c>
      <c r="T108" s="62">
        <f t="shared" si="88"/>
        <v>233.32640143610547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0.33736914632218001</v>
      </c>
      <c r="AB108" s="23">
        <f>EXP(-LN(2)/2)*AB107+(1-EXP(-LN(2)/2))/(LN(2)/2)*V108*Y108*VLOOKUP('Données projet'!$B$9,Paramètres!$A$1:$I$89,3,0)*0.475*44/12</f>
        <v>6.4565331090159975E-11</v>
      </c>
      <c r="AC108" s="24">
        <f t="shared" si="57"/>
        <v>0.33736914638674537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283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283</v>
      </c>
      <c r="AJ108" s="14">
        <f>AI108*VLOOKUP('Données projet'!$B$10,Paramètres!$A$1:$I$89,3,0)*VLOOKUP('Données projet'!$B$10,Paramètres!$A$1:$I$89,5,0)</f>
        <v>238.39920000000004</v>
      </c>
      <c r="AK108" s="14">
        <f t="shared" si="89"/>
        <v>58.094976529303409</v>
      </c>
      <c r="AL108" s="22">
        <f t="shared" si="58"/>
        <v>516.39402412187007</v>
      </c>
      <c r="AM108" s="62">
        <f t="shared" si="59"/>
        <v>809.72735745520345</v>
      </c>
      <c r="AN108" s="62">
        <f ca="1">AVERAGE(OFFSET($AM$3,0,0,'Données projet'!$E$10+1,1))-AVERAGE(OFFSET($H$3,0,0,'Données projet'!$E$10+1,1))</f>
        <v>348.84749506659495</v>
      </c>
      <c r="AO108" s="62">
        <f t="shared" si="90"/>
        <v>220.09202639602199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0.31410230864478811</v>
      </c>
      <c r="AW108" s="23">
        <f>EXP(-LN(2)/2)*AW107+(1-EXP(-LN(2)/2))/(LN(2)/2)*AQ108*AT108*VLOOKUP('Données projet'!$B$10,Paramètres!$A$1:$I$89,3,0)*0.475*44/12</f>
        <v>6.0112549635666204E-11</v>
      </c>
      <c r="AX108" s="23">
        <f t="shared" si="60"/>
        <v>0.31410230870490063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5.3205440053716299E-14</v>
      </c>
      <c r="BF108" s="14">
        <f t="shared" si="91"/>
        <v>8.602146238565607E-13</v>
      </c>
      <c r="BG108" s="22">
        <f t="shared" si="61"/>
        <v>1.590873277977066E-12</v>
      </c>
      <c r="BH108" s="62">
        <f t="shared" si="62"/>
        <v>293.33333333333491</v>
      </c>
      <c r="BI108" s="62">
        <f ca="1">AVERAGE(OFFSET($BH$3,0,0,'Données projet'!$E$11+1,1))-AVERAGE(OFFSET($H$3,0,0,'Données projet'!$E$11+1,1))</f>
        <v>259.74478933784656</v>
      </c>
      <c r="BJ108" s="62">
        <f t="shared" si="92"/>
        <v>223.74038909289646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283</v>
      </c>
      <c r="BW108" s="13">
        <f>VLOOKUP(A108,'Données projet'!$A$113:$I$133,9,0)</f>
        <v>4.4000000000000004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283</v>
      </c>
      <c r="BZ108" s="14">
        <f>BY108*VLOOKUP('Données projet'!$B$12,Paramètres!$A$1:$I$89,3,0)*VLOOKUP('Données projet'!$B$12,Paramètres!$A$1:$I$89,5,0)</f>
        <v>286.96200000000005</v>
      </c>
      <c r="CA108" s="14">
        <f t="shared" si="93"/>
        <v>68.436169981717853</v>
      </c>
      <c r="CB108" s="22">
        <f t="shared" si="64"/>
        <v>618.98514605149205</v>
      </c>
      <c r="CC108" s="62">
        <f t="shared" si="65"/>
        <v>912.31847938482542</v>
      </c>
      <c r="CD108" s="62">
        <f ca="1">AVERAGE(OFFSET($CC$3,0,0,'Données projet'!$E$12+1,1))-AVERAGE(OFFSET($H$3,0,0,'Données projet'!$E$12+1,1))</f>
        <v>411.75894069172358</v>
      </c>
      <c r="CE108" s="62">
        <f t="shared" si="94"/>
        <v>256.4377087753457</v>
      </c>
      <c r="CF108" s="16">
        <f>IF(ISNA(VLOOKUP(A108,'Données projet'!$A$113:$I$133,3,0)),0,VLOOKUP(A108,'Données projet'!$A$113:$I$133,3,0))</f>
        <v>17</v>
      </c>
      <c r="CG108" s="16">
        <f>IF(ISNA(VLOOKUP(A108,'Données projet'!$A$113:$I$133,4,0)),0,VLOOKUP(A108,'Données projet'!$A$113:$I$133,4,0))</f>
        <v>20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0.37808611225761585</v>
      </c>
      <c r="CM108" s="23">
        <f>EXP(-LN(2)/2)*CM107+(1-EXP(-LN(2)/2))/(LN(2)/2)*CG108*CJ108*VLOOKUP('Données projet'!$B$12,Paramètres!$A$1:$I$89,3,0)*0.475*44/12</f>
        <v>7.2357698635524117E-11</v>
      </c>
      <c r="CN108" s="24">
        <f t="shared" si="66"/>
        <v>0.37808611232997352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</v>
      </c>
      <c r="O109" s="14">
        <f>N109*VLOOKUP('Données projet'!$B$9,Paramètres!$A$1:$I$89,3,0)*VLOOKUP('Données projet'!$B$9,Paramètres!$A$1:$I$89,5,0)</f>
        <v>241.58159999999998</v>
      </c>
      <c r="P109" s="14">
        <f t="shared" si="87"/>
        <v>58.779689232021951</v>
      </c>
      <c r="Q109" s="22">
        <f t="shared" si="107"/>
        <v>523.12924541243819</v>
      </c>
      <c r="R109" s="62">
        <f t="shared" si="55"/>
        <v>816.46257874577145</v>
      </c>
      <c r="S109" s="62">
        <f ca="1">AVERAGE(OFFSET($R$3,0,0,'Données projet'!$E$9+1,1))-AVERAGE(OFFSET($H$3,0,0,'Données projet'!$E$9+1,1))</f>
        <v>371.75294069149942</v>
      </c>
      <c r="T109" s="62">
        <f t="shared" si="88"/>
        <v>233.32640143610547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0.32814376927452765</v>
      </c>
      <c r="AB109" s="23">
        <f>EXP(-LN(2)/2)*AB108+(1-EXP(-LN(2)/2))/(LN(2)/2)*V109*Y109*VLOOKUP('Données projet'!$B$9,Paramètres!$A$1:$I$89,3,0)*0.475*44/12</f>
        <v>4.5654583443406744E-11</v>
      </c>
      <c r="AC109" s="24">
        <f t="shared" si="57"/>
        <v>0.32814376932018224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</v>
      </c>
      <c r="AI109" s="14">
        <f>IF('Données projet'!$A$62&gt;35,AI108+AH109-AQ108,IF(A109&lt;'Données projet'!$A$62,$AF$205^A109,IF(A109='Données projet'!$A$62,'Données projet'!$B$62,AI108+AH109-AQ108)))</f>
        <v>267</v>
      </c>
      <c r="AJ109" s="14">
        <f>AI109*VLOOKUP('Données projet'!$B$10,Paramètres!$A$1:$I$89,3,0)*VLOOKUP('Données projet'!$B$10,Paramètres!$A$1:$I$89,5,0)</f>
        <v>224.92080000000001</v>
      </c>
      <c r="AK109" s="14">
        <f t="shared" si="89"/>
        <v>55.1830164775604</v>
      </c>
      <c r="AL109" s="22">
        <f t="shared" si="58"/>
        <v>487.84748036508444</v>
      </c>
      <c r="AM109" s="62">
        <f t="shared" si="59"/>
        <v>781.18081369841775</v>
      </c>
      <c r="AN109" s="62">
        <f ca="1">AVERAGE(OFFSET($AM$3,0,0,'Données projet'!$E$10+1,1))-AVERAGE(OFFSET($H$3,0,0,'Données projet'!$E$10+1,1))</f>
        <v>348.84749506659495</v>
      </c>
      <c r="AO109" s="62">
        <f t="shared" si="90"/>
        <v>220.09202639602199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0.30551316449697385</v>
      </c>
      <c r="AW109" s="23">
        <f>EXP(-LN(2)/2)*AW108+(1-EXP(-LN(2)/2))/(LN(2)/2)*AQ109*AT109*VLOOKUP('Données projet'!$B$10,Paramètres!$A$1:$I$89,3,0)*0.475*44/12</f>
        <v>4.2505991481792501E-11</v>
      </c>
      <c r="AX109" s="23">
        <f t="shared" si="60"/>
        <v>0.30551316453947985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5.3205440053716299E-14</v>
      </c>
      <c r="BF109" s="14">
        <f t="shared" si="91"/>
        <v>8.602146238565607E-13</v>
      </c>
      <c r="BG109" s="22">
        <f t="shared" si="61"/>
        <v>1.590873277977066E-12</v>
      </c>
      <c r="BH109" s="62">
        <f t="shared" si="62"/>
        <v>293.33333333333491</v>
      </c>
      <c r="BI109" s="62">
        <f ca="1">AVERAGE(OFFSET($BH$3,0,0,'Données projet'!$E$11+1,1))-AVERAGE(OFFSET($H$3,0,0,'Données projet'!$E$11+1,1))</f>
        <v>259.74478933784656</v>
      </c>
      <c r="BJ109" s="62">
        <f t="shared" si="92"/>
        <v>223.74038909289646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</v>
      </c>
      <c r="BY109" s="13">
        <f>IF('Données projet'!$A$114&gt;35,BY108+BX109-CG108,IF(A109&lt;'Données projet'!$A$114,$BV$205^A109,IF(A109='Données projet'!$A$114,'Données projet'!$B$114,BY108+BX109-CG108)))</f>
        <v>267</v>
      </c>
      <c r="BZ109" s="14">
        <f>BY109*VLOOKUP('Données projet'!$B$12,Paramètres!$A$1:$I$89,3,0)*VLOOKUP('Données projet'!$B$12,Paramètres!$A$1:$I$89,5,0)</f>
        <v>270.738</v>
      </c>
      <c r="CA109" s="14">
        <f t="shared" si="93"/>
        <v>65.005866623551711</v>
      </c>
      <c r="CB109" s="22">
        <f t="shared" si="64"/>
        <v>584.7539010360191</v>
      </c>
      <c r="CC109" s="62">
        <f t="shared" si="65"/>
        <v>878.08723436935247</v>
      </c>
      <c r="CD109" s="62">
        <f ca="1">AVERAGE(OFFSET($CC$3,0,0,'Données projet'!$E$12+1,1))-AVERAGE(OFFSET($H$3,0,0,'Données projet'!$E$12+1,1))</f>
        <v>411.75894069172358</v>
      </c>
      <c r="CE109" s="62">
        <f t="shared" si="94"/>
        <v>256.4377087753457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0.36774732763524681</v>
      </c>
      <c r="CM109" s="23">
        <f>EXP(-LN(2)/2)*CM108+(1-EXP(-LN(2)/2))/(LN(2)/2)*CG109*CJ109*VLOOKUP('Données projet'!$B$12,Paramètres!$A$1:$I$89,3,0)*0.475*44/12</f>
        <v>5.11646193762317E-11</v>
      </c>
      <c r="CN109" s="24">
        <f t="shared" si="66"/>
        <v>0.36774732768641144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</v>
      </c>
      <c r="O110" s="14">
        <f>N110*VLOOKUP('Données projet'!$B$9,Paramètres!$A$1:$I$89,3,0)*VLOOKUP('Données projet'!$B$9,Paramètres!$A$1:$I$89,5,0)</f>
        <v>245.20079999999999</v>
      </c>
      <c r="P110" s="14">
        <f t="shared" si="87"/>
        <v>59.557107941433735</v>
      </c>
      <c r="Q110" s="22">
        <f t="shared" si="107"/>
        <v>530.78668966466364</v>
      </c>
      <c r="R110" s="62">
        <f t="shared" si="55"/>
        <v>824.12002299799701</v>
      </c>
      <c r="S110" s="62">
        <f ca="1">AVERAGE(OFFSET($R$3,0,0,'Données projet'!$E$9+1,1))-AVERAGE(OFFSET($H$3,0,0,'Données projet'!$E$9+1,1))</f>
        <v>371.75294069149942</v>
      </c>
      <c r="T110" s="62">
        <f t="shared" si="88"/>
        <v>233.32640143610547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0.31917066064738486</v>
      </c>
      <c r="AB110" s="23">
        <f>EXP(-LN(2)/2)*AB109+(1-EXP(-LN(2)/2))/(LN(2)/2)*V110*Y110*VLOOKUP('Données projet'!$B$9,Paramètres!$A$1:$I$89,3,0)*0.475*44/12</f>
        <v>3.2282665545079988E-11</v>
      </c>
      <c r="AC110" s="24">
        <f t="shared" si="57"/>
        <v>0.31917066067966754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</v>
      </c>
      <c r="AI110" s="14">
        <f>IF('Données projet'!$A$62&gt;35,AI109+AH110-AQ109,IF(A110&lt;'Données projet'!$A$62,$AF$205^A110,IF(A110='Données projet'!$A$62,'Données projet'!$B$62,AI109+AH110-AQ109)))</f>
        <v>271</v>
      </c>
      <c r="AJ110" s="14">
        <f>AI110*VLOOKUP('Données projet'!$B$10,Paramètres!$A$1:$I$89,3,0)*VLOOKUP('Données projet'!$B$10,Paramètres!$A$1:$I$89,5,0)</f>
        <v>228.29040000000001</v>
      </c>
      <c r="AK110" s="14">
        <f t="shared" si="89"/>
        <v>55.912865682480366</v>
      </c>
      <c r="AL110" s="22">
        <f t="shared" si="58"/>
        <v>494.98735439698663</v>
      </c>
      <c r="AM110" s="62">
        <f t="shared" si="59"/>
        <v>788.32068773031995</v>
      </c>
      <c r="AN110" s="62">
        <f ca="1">AVERAGE(OFFSET($AM$3,0,0,'Données projet'!$E$10+1,1))-AVERAGE(OFFSET($H$3,0,0,'Données projet'!$E$10+1,1))</f>
        <v>348.84749506659495</v>
      </c>
      <c r="AO110" s="62">
        <f t="shared" si="90"/>
        <v>220.09202639602199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0.29715889094756504</v>
      </c>
      <c r="AW110" s="23">
        <f>EXP(-LN(2)/2)*AW109+(1-EXP(-LN(2)/2))/(LN(2)/2)*AQ110*AT110*VLOOKUP('Données projet'!$B$10,Paramètres!$A$1:$I$89,3,0)*0.475*44/12</f>
        <v>3.0056274817833102E-11</v>
      </c>
      <c r="AX110" s="23">
        <f t="shared" si="60"/>
        <v>0.29715889097762133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5.3205440053716299E-14</v>
      </c>
      <c r="BF110" s="14">
        <f t="shared" si="91"/>
        <v>8.602146238565607E-13</v>
      </c>
      <c r="BG110" s="22">
        <f t="shared" si="61"/>
        <v>1.590873277977066E-12</v>
      </c>
      <c r="BH110" s="62">
        <f t="shared" si="62"/>
        <v>293.33333333333491</v>
      </c>
      <c r="BI110" s="62">
        <f ca="1">AVERAGE(OFFSET($BH$3,0,0,'Données projet'!$E$11+1,1))-AVERAGE(OFFSET($H$3,0,0,'Données projet'!$E$11+1,1))</f>
        <v>259.74478933784656</v>
      </c>
      <c r="BJ110" s="62">
        <f t="shared" si="92"/>
        <v>223.74038909289646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</v>
      </c>
      <c r="BY110" s="13">
        <f>IF('Données projet'!$A$114&gt;35,BY109+BX110-CG109,IF(A110&lt;'Données projet'!$A$114,$BV$205^A110,IF(A110='Données projet'!$A$114,'Données projet'!$B$114,BY109+BX110-CG109)))</f>
        <v>271</v>
      </c>
      <c r="BZ110" s="14">
        <f>BY110*VLOOKUP('Données projet'!$B$12,Paramètres!$A$1:$I$89,3,0)*VLOOKUP('Données projet'!$B$12,Paramètres!$A$1:$I$89,5,0)</f>
        <v>274.79400000000004</v>
      </c>
      <c r="CA110" s="14">
        <f t="shared" si="93"/>
        <v>65.865632600455527</v>
      </c>
      <c r="CB110" s="22">
        <f t="shared" si="64"/>
        <v>593.3155267791268</v>
      </c>
      <c r="CC110" s="62">
        <f t="shared" si="65"/>
        <v>886.64886011246017</v>
      </c>
      <c r="CD110" s="62">
        <f ca="1">AVERAGE(OFFSET($CC$3,0,0,'Données projet'!$E$12+1,1))-AVERAGE(OFFSET($H$3,0,0,'Données projet'!$E$12+1,1))</f>
        <v>411.75894069172358</v>
      </c>
      <c r="CE110" s="62">
        <f t="shared" si="94"/>
        <v>256.4377087753457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0.35769125762206955</v>
      </c>
      <c r="CM110" s="23">
        <f>EXP(-LN(2)/2)*CM109+(1-EXP(-LN(2)/2))/(LN(2)/2)*CG110*CJ110*VLOOKUP('Données projet'!$B$12,Paramètres!$A$1:$I$89,3,0)*0.475*44/12</f>
        <v>3.6178849317762058E-11</v>
      </c>
      <c r="CN110" s="24">
        <f t="shared" si="66"/>
        <v>0.35769125765824838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</v>
      </c>
      <c r="O111" s="14">
        <f>N111*VLOOKUP('Données projet'!$B$9,Paramètres!$A$1:$I$89,3,0)*VLOOKUP('Données projet'!$B$9,Paramètres!$A$1:$I$89,5,0)</f>
        <v>248.82000000000002</v>
      </c>
      <c r="P111" s="14">
        <f t="shared" si="87"/>
        <v>60.333192077890068</v>
      </c>
      <c r="Q111" s="22">
        <f t="shared" si="107"/>
        <v>538.44180953565854</v>
      </c>
      <c r="R111" s="62">
        <f t="shared" si="55"/>
        <v>831.77514286899191</v>
      </c>
      <c r="S111" s="62">
        <f ca="1">AVERAGE(OFFSET($R$3,0,0,'Données projet'!$E$9+1,1))-AVERAGE(OFFSET($H$3,0,0,'Données projet'!$E$9+1,1))</f>
        <v>371.75294069149942</v>
      </c>
      <c r="T111" s="62">
        <f t="shared" si="88"/>
        <v>233.32640143610547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0.31044292214752656</v>
      </c>
      <c r="AB111" s="23">
        <f>EXP(-LN(2)/2)*AB110+(1-EXP(-LN(2)/2))/(LN(2)/2)*V111*Y111*VLOOKUP('Données projet'!$B$9,Paramètres!$A$1:$I$89,3,0)*0.475*44/12</f>
        <v>2.2827291721703372E-11</v>
      </c>
      <c r="AC111" s="24">
        <f t="shared" si="57"/>
        <v>0.31044292217035385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</v>
      </c>
      <c r="AI111" s="14">
        <f>IF('Données projet'!$A$62&gt;35,AI110+AH111-AQ110,IF(A111&lt;'Données projet'!$A$62,$AF$205^A111,IF(A111='Données projet'!$A$62,'Données projet'!$B$62,AI110+AH111-AQ110)))</f>
        <v>275</v>
      </c>
      <c r="AJ111" s="14">
        <f>AI111*VLOOKUP('Données projet'!$B$10,Paramètres!$A$1:$I$89,3,0)*VLOOKUP('Données projet'!$B$10,Paramètres!$A$1:$I$89,5,0)</f>
        <v>231.66</v>
      </c>
      <c r="AK111" s="14">
        <f t="shared" si="89"/>
        <v>56.641461975682766</v>
      </c>
      <c r="AL111" s="22">
        <f t="shared" si="58"/>
        <v>502.12504627431412</v>
      </c>
      <c r="AM111" s="62">
        <f t="shared" si="59"/>
        <v>795.45837960764743</v>
      </c>
      <c r="AN111" s="62">
        <f ca="1">AVERAGE(OFFSET($AM$3,0,0,'Données projet'!$E$10+1,1))-AVERAGE(OFFSET($H$3,0,0,'Données projet'!$E$10+1,1))</f>
        <v>348.84749506659495</v>
      </c>
      <c r="AO111" s="62">
        <f t="shared" si="90"/>
        <v>220.09202639602199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0.28903306544769697</v>
      </c>
      <c r="AW111" s="23">
        <f>EXP(-LN(2)/2)*AW110+(1-EXP(-LN(2)/2))/(LN(2)/2)*AQ111*AT111*VLOOKUP('Données projet'!$B$10,Paramètres!$A$1:$I$89,3,0)*0.475*44/12</f>
        <v>2.125299574089625E-11</v>
      </c>
      <c r="AX111" s="23">
        <f t="shared" si="60"/>
        <v>0.28903306546894997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5.3205440053716299E-14</v>
      </c>
      <c r="BF111" s="14">
        <f t="shared" si="91"/>
        <v>8.602146238565607E-13</v>
      </c>
      <c r="BG111" s="22">
        <f t="shared" si="61"/>
        <v>1.590873277977066E-12</v>
      </c>
      <c r="BH111" s="62">
        <f t="shared" si="62"/>
        <v>293.33333333333491</v>
      </c>
      <c r="BI111" s="62">
        <f ca="1">AVERAGE(OFFSET($BH$3,0,0,'Données projet'!$E$11+1,1))-AVERAGE(OFFSET($H$3,0,0,'Données projet'!$E$11+1,1))</f>
        <v>259.74478933784656</v>
      </c>
      <c r="BJ111" s="62">
        <f t="shared" si="92"/>
        <v>223.74038909289646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</v>
      </c>
      <c r="BY111" s="13">
        <f>IF('Données projet'!$A$114&gt;35,BY110+BX111-CG110,IF(A111&lt;'Données projet'!$A$114,$BV$205^A111,IF(A111='Données projet'!$A$114,'Données projet'!$B$114,BY110+BX111-CG110)))</f>
        <v>275</v>
      </c>
      <c r="BZ111" s="14">
        <f>BY111*VLOOKUP('Données projet'!$B$12,Paramètres!$A$1:$I$89,3,0)*VLOOKUP('Données projet'!$B$12,Paramètres!$A$1:$I$89,5,0)</f>
        <v>278.85000000000002</v>
      </c>
      <c r="CA111" s="14">
        <f t="shared" si="93"/>
        <v>66.723922641152967</v>
      </c>
      <c r="CB111" s="22">
        <f t="shared" si="64"/>
        <v>601.87458193334135</v>
      </c>
      <c r="CC111" s="62">
        <f t="shared" si="65"/>
        <v>895.20791526667472</v>
      </c>
      <c r="CD111" s="62">
        <f ca="1">AVERAGE(OFFSET($CC$3,0,0,'Données projet'!$E$12+1,1))-AVERAGE(OFFSET($H$3,0,0,'Données projet'!$E$12+1,1))</f>
        <v>411.75894069172358</v>
      </c>
      <c r="CE111" s="62">
        <f t="shared" si="94"/>
        <v>256.4377087753457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0.34791017137222835</v>
      </c>
      <c r="CM111" s="23">
        <f>EXP(-LN(2)/2)*CM110+(1-EXP(-LN(2)/2))/(LN(2)/2)*CG111*CJ111*VLOOKUP('Données projet'!$B$12,Paramètres!$A$1:$I$89,3,0)*0.475*44/12</f>
        <v>2.558230968811585E-11</v>
      </c>
      <c r="CN111" s="24">
        <f t="shared" si="66"/>
        <v>0.34791017139781066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</v>
      </c>
      <c r="O112" s="14">
        <f>N112*VLOOKUP('Données projet'!$B$9,Paramètres!$A$1:$I$89,3,0)*VLOOKUP('Données projet'!$B$9,Paramètres!$A$1:$I$89,5,0)</f>
        <v>252.4392</v>
      </c>
      <c r="P112" s="14">
        <f t="shared" si="87"/>
        <v>61.107963296116218</v>
      </c>
      <c r="Q112" s="22">
        <f t="shared" si="107"/>
        <v>546.09464274073571</v>
      </c>
      <c r="R112" s="62">
        <f t="shared" si="55"/>
        <v>839.42797607406897</v>
      </c>
      <c r="S112" s="62">
        <f ca="1">AVERAGE(OFFSET($R$3,0,0,'Données projet'!$E$9+1,1))-AVERAGE(OFFSET($H$3,0,0,'Données projet'!$E$9+1,1))</f>
        <v>371.75294069149942</v>
      </c>
      <c r="T112" s="62">
        <f t="shared" si="88"/>
        <v>233.32640143610547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0.30195384411591869</v>
      </c>
      <c r="AB112" s="23">
        <f>EXP(-LN(2)/2)*AB111+(1-EXP(-LN(2)/2))/(LN(2)/2)*V112*Y112*VLOOKUP('Données projet'!$B$9,Paramètres!$A$1:$I$89,3,0)*0.475*44/12</f>
        <v>1.6141332772539994E-11</v>
      </c>
      <c r="AC112" s="24">
        <f t="shared" si="57"/>
        <v>0.30195384413206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</v>
      </c>
      <c r="AI112" s="14">
        <f>IF('Données projet'!$A$62&gt;35,AI111+AH112-AQ111,IF(A112&lt;'Données projet'!$A$62,$AF$205^A112,IF(A112='Données projet'!$A$62,'Données projet'!$B$62,AI111+AH112-AQ111)))</f>
        <v>279</v>
      </c>
      <c r="AJ112" s="14">
        <f>AI112*VLOOKUP('Données projet'!$B$10,Paramètres!$A$1:$I$89,3,0)*VLOOKUP('Données projet'!$B$10,Paramètres!$A$1:$I$89,5,0)</f>
        <v>235.02960000000002</v>
      </c>
      <c r="AK112" s="14">
        <f t="shared" si="89"/>
        <v>57.368825686861157</v>
      </c>
      <c r="AL112" s="22">
        <f t="shared" si="58"/>
        <v>509.26059140461649</v>
      </c>
      <c r="AM112" s="62">
        <f t="shared" si="59"/>
        <v>802.59392473794981</v>
      </c>
      <c r="AN112" s="62">
        <f ca="1">AVERAGE(OFFSET($AM$3,0,0,'Données projet'!$E$10+1,1))-AVERAGE(OFFSET($H$3,0,0,'Données projet'!$E$10+1,1))</f>
        <v>348.84749506659495</v>
      </c>
      <c r="AO112" s="62">
        <f t="shared" si="90"/>
        <v>220.09202639602199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0.2811294410734414</v>
      </c>
      <c r="AW112" s="23">
        <f>EXP(-LN(2)/2)*AW111+(1-EXP(-LN(2)/2))/(LN(2)/2)*AQ112*AT112*VLOOKUP('Données projet'!$B$10,Paramètres!$A$1:$I$89,3,0)*0.475*44/12</f>
        <v>1.5028137408916551E-11</v>
      </c>
      <c r="AX112" s="23">
        <f t="shared" si="60"/>
        <v>0.28112944108846954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5.3205440053716299E-14</v>
      </c>
      <c r="BF112" s="14">
        <f t="shared" si="91"/>
        <v>8.602146238565607E-13</v>
      </c>
      <c r="BG112" s="22">
        <f t="shared" si="61"/>
        <v>1.590873277977066E-12</v>
      </c>
      <c r="BH112" s="62">
        <f t="shared" si="62"/>
        <v>293.33333333333491</v>
      </c>
      <c r="BI112" s="62">
        <f ca="1">AVERAGE(OFFSET($BH$3,0,0,'Données projet'!$E$11+1,1))-AVERAGE(OFFSET($H$3,0,0,'Données projet'!$E$11+1,1))</f>
        <v>259.74478933784656</v>
      </c>
      <c r="BJ112" s="62">
        <f t="shared" si="92"/>
        <v>223.74038909289646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</v>
      </c>
      <c r="BY112" s="13">
        <f>IF('Données projet'!$A$114&gt;35,BY111+BX112-CG111,IF(A112&lt;'Données projet'!$A$114,$BV$205^A112,IF(A112='Données projet'!$A$114,'Données projet'!$B$114,BY111+BX112-CG111)))</f>
        <v>279</v>
      </c>
      <c r="BZ112" s="14">
        <f>BY112*VLOOKUP('Données projet'!$B$12,Paramètres!$A$1:$I$89,3,0)*VLOOKUP('Données projet'!$B$12,Paramètres!$A$1:$I$89,5,0)</f>
        <v>282.90600000000001</v>
      </c>
      <c r="CA112" s="14">
        <f t="shared" si="93"/>
        <v>67.580760694123512</v>
      </c>
      <c r="CB112" s="22">
        <f t="shared" si="64"/>
        <v>610.43110820893173</v>
      </c>
      <c r="CC112" s="62">
        <f t="shared" si="65"/>
        <v>903.7644415422651</v>
      </c>
      <c r="CD112" s="62">
        <f ca="1">AVERAGE(OFFSET($CC$3,0,0,'Données projet'!$E$12+1,1))-AVERAGE(OFFSET($H$3,0,0,'Données projet'!$E$12+1,1))</f>
        <v>411.75894069172358</v>
      </c>
      <c r="CE112" s="62">
        <f t="shared" si="94"/>
        <v>256.4377087753457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0.33839654944025399</v>
      </c>
      <c r="CM112" s="23">
        <f>EXP(-LN(2)/2)*CM111+(1-EXP(-LN(2)/2))/(LN(2)/2)*CG112*CJ112*VLOOKUP('Données projet'!$B$12,Paramètres!$A$1:$I$89,3,0)*0.475*44/12</f>
        <v>1.8089424658881029E-11</v>
      </c>
      <c r="CN112" s="24">
        <f t="shared" si="66"/>
        <v>0.33839654945834341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283</v>
      </c>
      <c r="L113" s="13">
        <f>VLOOKUP(A113,'Données projet'!$A$35:$I$55,9,0)</f>
        <v>4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</v>
      </c>
      <c r="O113" s="14">
        <f>N113*VLOOKUP('Données projet'!$B$9,Paramètres!$A$1:$I$89,3,0)*VLOOKUP('Données projet'!$B$9,Paramètres!$A$1:$I$89,5,0)</f>
        <v>256.05840000000001</v>
      </c>
      <c r="P113" s="14">
        <f t="shared" si="87"/>
        <v>61.881442594256484</v>
      </c>
      <c r="Q113" s="22">
        <f t="shared" si="107"/>
        <v>553.74522585166335</v>
      </c>
      <c r="R113" s="62">
        <f t="shared" si="55"/>
        <v>847.07855918499672</v>
      </c>
      <c r="S113" s="62">
        <f ca="1">AVERAGE(OFFSET($R$3,0,0,'Données projet'!$E$9+1,1))-AVERAGE(OFFSET($H$3,0,0,'Données projet'!$E$9+1,1))</f>
        <v>371.75294069149942</v>
      </c>
      <c r="T113" s="62">
        <f t="shared" si="88"/>
        <v>233.32640143610547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0.29369690036950635</v>
      </c>
      <c r="AB113" s="23">
        <f>EXP(-LN(2)/2)*AB112+(1-EXP(-LN(2)/2))/(LN(2)/2)*V113*Y113*VLOOKUP('Données projet'!$B$9,Paramètres!$A$1:$I$89,3,0)*0.475*44/12</f>
        <v>1.1413645860851686E-11</v>
      </c>
      <c r="AC113" s="24">
        <f t="shared" si="57"/>
        <v>0.29369690038092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283</v>
      </c>
      <c r="AG113" s="13">
        <f>VLOOKUP(A113,'Données projet'!$A$61:$I$81,9,0)</f>
        <v>4</v>
      </c>
      <c r="AH113" s="13">
        <f t="array" ref="AH113">INDEX(AG:AG,MIN(IF(ISNUMBER(AG113:AG309),ROW(AG113:AG309),"")))</f>
        <v>4</v>
      </c>
      <c r="AI113" s="14">
        <f>IF('Données projet'!$A$62&gt;35,AI112+AH113-AQ112,IF(A113&lt;'Données projet'!$A$62,$AF$205^A113,IF(A113='Données projet'!$A$62,'Données projet'!$B$62,AI112+AH113-AQ112)))</f>
        <v>283</v>
      </c>
      <c r="AJ113" s="14">
        <f>AI113*VLOOKUP('Données projet'!$B$10,Paramètres!$A$1:$I$89,3,0)*VLOOKUP('Données projet'!$B$10,Paramètres!$A$1:$I$89,5,0)</f>
        <v>238.39920000000004</v>
      </c>
      <c r="AK113" s="14">
        <f t="shared" si="89"/>
        <v>58.094976529303409</v>
      </c>
      <c r="AL113" s="22">
        <f t="shared" si="58"/>
        <v>516.39402412187007</v>
      </c>
      <c r="AM113" s="62">
        <f t="shared" si="59"/>
        <v>809.72735745520345</v>
      </c>
      <c r="AN113" s="62">
        <f ca="1">AVERAGE(OFFSET($AM$3,0,0,'Données projet'!$E$10+1,1))-AVERAGE(OFFSET($H$3,0,0,'Données projet'!$E$10+1,1))</f>
        <v>348.84749506659495</v>
      </c>
      <c r="AO113" s="62">
        <f t="shared" si="90"/>
        <v>220.09202639602199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0.27344194172333336</v>
      </c>
      <c r="AW113" s="23">
        <f>EXP(-LN(2)/2)*AW112+(1-EXP(-LN(2)/2))/(LN(2)/2)*AQ113*AT113*VLOOKUP('Données projet'!$B$10,Paramètres!$A$1:$I$89,3,0)*0.475*44/12</f>
        <v>1.0626497870448125E-11</v>
      </c>
      <c r="AX113" s="23">
        <f t="shared" si="60"/>
        <v>0.27344194173395986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5.3205440053716299E-14</v>
      </c>
      <c r="BF113" s="14">
        <f t="shared" si="91"/>
        <v>8.602146238565607E-13</v>
      </c>
      <c r="BG113" s="22">
        <f t="shared" si="61"/>
        <v>1.590873277977066E-12</v>
      </c>
      <c r="BH113" s="62">
        <f t="shared" si="62"/>
        <v>293.33333333333491</v>
      </c>
      <c r="BI113" s="62">
        <f ca="1">AVERAGE(OFFSET($BH$3,0,0,'Données projet'!$E$11+1,1))-AVERAGE(OFFSET($H$3,0,0,'Données projet'!$E$11+1,1))</f>
        <v>259.74478933784656</v>
      </c>
      <c r="BJ113" s="62">
        <f t="shared" si="92"/>
        <v>223.74038909289646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283</v>
      </c>
      <c r="BW113" s="13">
        <f>VLOOKUP(A113,'Données projet'!$A$113:$I$133,9,0)</f>
        <v>4</v>
      </c>
      <c r="BX113" s="13">
        <f t="array" ref="BX113">INDEX(BW:BW,MIN(IF(ISNUMBER(BW113:BW309),ROW(BW113:BW309),"")))</f>
        <v>4</v>
      </c>
      <c r="BY113" s="13">
        <f>IF('Données projet'!$A$114&gt;35,BY112+BX113-CG112,IF(A113&lt;'Données projet'!$A$114,$BV$205^A113,IF(A113='Données projet'!$A$114,'Données projet'!$B$114,BY112+BX113-CG112)))</f>
        <v>283</v>
      </c>
      <c r="BZ113" s="14">
        <f>BY113*VLOOKUP('Données projet'!$B$12,Paramètres!$A$1:$I$89,3,0)*VLOOKUP('Données projet'!$B$12,Paramètres!$A$1:$I$89,5,0)</f>
        <v>286.96200000000005</v>
      </c>
      <c r="CA113" s="14">
        <f t="shared" si="93"/>
        <v>68.436169981717853</v>
      </c>
      <c r="CB113" s="22">
        <f t="shared" si="64"/>
        <v>618.98514605149205</v>
      </c>
      <c r="CC113" s="62">
        <f t="shared" si="65"/>
        <v>912.31847938482542</v>
      </c>
      <c r="CD113" s="62">
        <f ca="1">AVERAGE(OFFSET($CC$3,0,0,'Données projet'!$E$12+1,1))-AVERAGE(OFFSET($H$3,0,0,'Données projet'!$E$12+1,1))</f>
        <v>411.75894069172358</v>
      </c>
      <c r="CE113" s="62">
        <f t="shared" si="94"/>
        <v>256.4377087753457</v>
      </c>
      <c r="CF113" s="16">
        <f>IF(ISNA(VLOOKUP(A113,'Données projet'!$A$113:$I$133,3,0)),0,VLOOKUP(A113,'Données projet'!$A$113:$I$133,3,0))</f>
        <v>18</v>
      </c>
      <c r="CG113" s="16">
        <f>IF(ISNA(VLOOKUP(A113,'Données projet'!$A$113:$I$133,4,0)),0,VLOOKUP(A113,'Données projet'!$A$113:$I$133,4,0))</f>
        <v>19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0.32914307800030912</v>
      </c>
      <c r="CM113" s="23">
        <f>EXP(-LN(2)/2)*CM112+(1-EXP(-LN(2)/2))/(LN(2)/2)*CG113*CJ113*VLOOKUP('Données projet'!$B$12,Paramètres!$A$1:$I$89,3,0)*0.475*44/12</f>
        <v>1.2791154844057925E-11</v>
      </c>
      <c r="CN113" s="24">
        <f t="shared" si="66"/>
        <v>0.32914307801310028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267.8</v>
      </c>
      <c r="O114" s="14">
        <f>N114*VLOOKUP('Données projet'!$B$9,Paramètres!$A$1:$I$89,3,0)*VLOOKUP('Données projet'!$B$9,Paramètres!$A$1:$I$89,5,0)</f>
        <v>242.30543999999998</v>
      </c>
      <c r="P114" s="14">
        <f t="shared" si="87"/>
        <v>58.935280802002701</v>
      </c>
      <c r="Q114" s="22">
        <f t="shared" si="107"/>
        <v>524.66092206348787</v>
      </c>
      <c r="R114" s="62">
        <f t="shared" si="55"/>
        <v>817.99425539682125</v>
      </c>
      <c r="S114" s="62">
        <f ca="1">AVERAGE(OFFSET($R$3,0,0,'Données projet'!$E$9+1,1))-AVERAGE(OFFSET($H$3,0,0,'Données projet'!$E$9+1,1))</f>
        <v>371.75294069149942</v>
      </c>
      <c r="T114" s="62">
        <f t="shared" si="88"/>
        <v>233.32640143610547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0.28566574318405347</v>
      </c>
      <c r="AB114" s="23">
        <f>EXP(-LN(2)/2)*AB113+(1-EXP(-LN(2)/2))/(LN(2)/2)*V114*Y114*VLOOKUP('Données projet'!$B$9,Paramètres!$A$1:$I$89,3,0)*0.475*44/12</f>
        <v>8.0706663862699969E-12</v>
      </c>
      <c r="AC114" s="24">
        <f t="shared" si="57"/>
        <v>0.28566574319212412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267.8</v>
      </c>
      <c r="AJ114" s="14">
        <f>AI114*VLOOKUP('Données projet'!$B$10,Paramètres!$A$1:$I$89,3,0)*VLOOKUP('Données projet'!$B$10,Paramètres!$A$1:$I$89,5,0)</f>
        <v>225.59472000000005</v>
      </c>
      <c r="AK114" s="14">
        <f t="shared" si="89"/>
        <v>55.329087548744965</v>
      </c>
      <c r="AL114" s="22">
        <f t="shared" si="58"/>
        <v>489.27563148073085</v>
      </c>
      <c r="AM114" s="62">
        <f t="shared" si="59"/>
        <v>782.60896481406417</v>
      </c>
      <c r="AN114" s="62">
        <f ca="1">AVERAGE(OFFSET($AM$3,0,0,'Données projet'!$E$10+1,1))-AVERAGE(OFFSET($H$3,0,0,'Données projet'!$E$10+1,1))</f>
        <v>348.84749506659495</v>
      </c>
      <c r="AO114" s="62">
        <f t="shared" si="90"/>
        <v>220.09202639602199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0.26596465744722203</v>
      </c>
      <c r="AW114" s="23">
        <f>EXP(-LN(2)/2)*AW113+(1-EXP(-LN(2)/2))/(LN(2)/2)*AQ114*AT114*VLOOKUP('Données projet'!$B$10,Paramètres!$A$1:$I$89,3,0)*0.475*44/12</f>
        <v>7.5140687044582755E-12</v>
      </c>
      <c r="AX114" s="23">
        <f t="shared" si="60"/>
        <v>0.26596465745473608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5.3205440053716299E-14</v>
      </c>
      <c r="BF114" s="14">
        <f t="shared" si="91"/>
        <v>8.602146238565607E-13</v>
      </c>
      <c r="BG114" s="22">
        <f t="shared" si="61"/>
        <v>1.590873277977066E-12</v>
      </c>
      <c r="BH114" s="62">
        <f t="shared" si="62"/>
        <v>293.33333333333491</v>
      </c>
      <c r="BI114" s="62">
        <f ca="1">AVERAGE(OFFSET($BH$3,0,0,'Données projet'!$E$11+1,1))-AVERAGE(OFFSET($H$3,0,0,'Données projet'!$E$11+1,1))</f>
        <v>259.74478933784656</v>
      </c>
      <c r="BJ114" s="62">
        <f t="shared" si="92"/>
        <v>223.74038909289646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3.8</v>
      </c>
      <c r="BY114" s="13">
        <f>IF('Données projet'!$A$114&gt;35,BY113+BX114-CG113,IF(A114&lt;'Données projet'!$A$114,$BV$205^A114,IF(A114='Données projet'!$A$114,'Données projet'!$B$114,BY113+BX114-CG113)))</f>
        <v>267.8</v>
      </c>
      <c r="BZ114" s="14">
        <f>BY114*VLOOKUP('Données projet'!$B$12,Paramètres!$A$1:$I$89,3,0)*VLOOKUP('Données projet'!$B$12,Paramètres!$A$1:$I$89,5,0)</f>
        <v>271.54920000000004</v>
      </c>
      <c r="CA114" s="14">
        <f t="shared" si="93"/>
        <v>65.177939068609888</v>
      </c>
      <c r="CB114" s="22">
        <f t="shared" si="64"/>
        <v>586.46643387782888</v>
      </c>
      <c r="CC114" s="62">
        <f t="shared" si="65"/>
        <v>879.79976721116213</v>
      </c>
      <c r="CD114" s="62">
        <f ca="1">AVERAGE(OFFSET($CC$3,0,0,'Données projet'!$E$12+1,1))-AVERAGE(OFFSET($H$3,0,0,'Données projet'!$E$12+1,1))</f>
        <v>411.75894069172358</v>
      </c>
      <c r="CE114" s="62">
        <f t="shared" si="94"/>
        <v>256.4377087753457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0.32014264322350844</v>
      </c>
      <c r="CM114" s="23">
        <f>EXP(-LN(2)/2)*CM113+(1-EXP(-LN(2)/2))/(LN(2)/2)*CG114*CJ114*VLOOKUP('Données projet'!$B$12,Paramètres!$A$1:$I$89,3,0)*0.475*44/12</f>
        <v>9.0447123294405146E-12</v>
      </c>
      <c r="CN114" s="24">
        <f t="shared" si="66"/>
        <v>0.32014264323255315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271.60000000000002</v>
      </c>
      <c r="O115" s="14">
        <f>N115*VLOOKUP('Données projet'!$B$9,Paramètres!$A$1:$I$89,3,0)*VLOOKUP('Données projet'!$B$9,Paramètres!$A$1:$I$89,5,0)</f>
        <v>245.74367999999998</v>
      </c>
      <c r="P115" s="14">
        <f t="shared" si="87"/>
        <v>59.673605104126452</v>
      </c>
      <c r="Q115" s="22">
        <f t="shared" si="107"/>
        <v>531.93510488968684</v>
      </c>
      <c r="R115" s="62">
        <f t="shared" si="55"/>
        <v>825.26843822302021</v>
      </c>
      <c r="S115" s="62">
        <f ca="1">AVERAGE(OFFSET($R$3,0,0,'Données projet'!$E$9+1,1))-AVERAGE(OFFSET($H$3,0,0,'Données projet'!$E$9+1,1))</f>
        <v>371.75294069149942</v>
      </c>
      <c r="T115" s="62">
        <f t="shared" si="88"/>
        <v>233.32640143610547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0.27785419841417697</v>
      </c>
      <c r="AB115" s="23">
        <f>EXP(-LN(2)/2)*AB114+(1-EXP(-LN(2)/2))/(LN(2)/2)*V115*Y115*VLOOKUP('Données projet'!$B$9,Paramètres!$A$1:$I$89,3,0)*0.475*44/12</f>
        <v>5.7068229304258429E-12</v>
      </c>
      <c r="AC115" s="24">
        <f t="shared" si="57"/>
        <v>0.27785419841988379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271.60000000000002</v>
      </c>
      <c r="AJ115" s="14">
        <f>AI115*VLOOKUP('Données projet'!$B$10,Paramètres!$A$1:$I$89,3,0)*VLOOKUP('Données projet'!$B$10,Paramètres!$A$1:$I$89,5,0)</f>
        <v>228.79584000000003</v>
      </c>
      <c r="AK115" s="14">
        <f t="shared" si="89"/>
        <v>56.022234495627458</v>
      </c>
      <c r="AL115" s="22">
        <f t="shared" si="58"/>
        <v>496.0581464132178</v>
      </c>
      <c r="AM115" s="62">
        <f t="shared" si="59"/>
        <v>789.39147974655111</v>
      </c>
      <c r="AN115" s="62">
        <f ca="1">AVERAGE(OFFSET($AM$3,0,0,'Données projet'!$E$10+1,1))-AVERAGE(OFFSET($H$3,0,0,'Données projet'!$E$10+1,1))</f>
        <v>348.84749506659495</v>
      </c>
      <c r="AO115" s="62">
        <f t="shared" si="90"/>
        <v>220.09202639602199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0.25869183990285427</v>
      </c>
      <c r="AW115" s="23">
        <f>EXP(-LN(2)/2)*AW114+(1-EXP(-LN(2)/2))/(LN(2)/2)*AQ115*AT115*VLOOKUP('Données projet'!$B$10,Paramètres!$A$1:$I$89,3,0)*0.475*44/12</f>
        <v>5.3132489352240626E-12</v>
      </c>
      <c r="AX115" s="23">
        <f t="shared" si="60"/>
        <v>0.25869183990816752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5.3205440053716299E-14</v>
      </c>
      <c r="BF115" s="14">
        <f t="shared" si="91"/>
        <v>8.602146238565607E-13</v>
      </c>
      <c r="BG115" s="22">
        <f t="shared" si="61"/>
        <v>1.590873277977066E-12</v>
      </c>
      <c r="BH115" s="62">
        <f t="shared" si="62"/>
        <v>293.33333333333491</v>
      </c>
      <c r="BI115" s="62">
        <f ca="1">AVERAGE(OFFSET($BH$3,0,0,'Données projet'!$E$11+1,1))-AVERAGE(OFFSET($H$3,0,0,'Données projet'!$E$11+1,1))</f>
        <v>259.74478933784656</v>
      </c>
      <c r="BJ115" s="62">
        <f t="shared" si="92"/>
        <v>223.74038909289646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3.8</v>
      </c>
      <c r="BY115" s="13">
        <f>IF('Données projet'!$A$114&gt;35,BY114+BX115-CG114,IF(A115&lt;'Données projet'!$A$114,$BV$205^A115,IF(A115='Données projet'!$A$114,'Données projet'!$B$114,BY114+BX115-CG114)))</f>
        <v>271.60000000000002</v>
      </c>
      <c r="BZ115" s="14">
        <f>BY115*VLOOKUP('Données projet'!$B$12,Paramètres!$A$1:$I$89,3,0)*VLOOKUP('Données projet'!$B$12,Paramètres!$A$1:$I$89,5,0)</f>
        <v>275.40240000000006</v>
      </c>
      <c r="CA115" s="14">
        <f t="shared" si="93"/>
        <v>65.994469603831504</v>
      </c>
      <c r="CB115" s="22">
        <f t="shared" si="64"/>
        <v>594.59954789333995</v>
      </c>
      <c r="CC115" s="62">
        <f t="shared" si="65"/>
        <v>887.93288122667332</v>
      </c>
      <c r="CD115" s="62">
        <f ca="1">AVERAGE(OFFSET($CC$3,0,0,'Données projet'!$E$12+1,1))-AVERAGE(OFFSET($H$3,0,0,'Données projet'!$E$12+1,1))</f>
        <v>411.75894069172358</v>
      </c>
      <c r="CE115" s="62">
        <f t="shared" si="94"/>
        <v>256.4377087753457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0.31138832580899167</v>
      </c>
      <c r="CM115" s="23">
        <f>EXP(-LN(2)/2)*CM114+(1-EXP(-LN(2)/2))/(LN(2)/2)*CG115*CJ115*VLOOKUP('Données projet'!$B$12,Paramètres!$A$1:$I$89,3,0)*0.475*44/12</f>
        <v>6.3955774220289625E-12</v>
      </c>
      <c r="CN115" s="24">
        <f t="shared" si="66"/>
        <v>0.31138832581538722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275.40000000000003</v>
      </c>
      <c r="O116" s="14">
        <f>N116*VLOOKUP('Données projet'!$B$9,Paramètres!$A$1:$I$89,3,0)*VLOOKUP('Données projet'!$B$9,Paramètres!$A$1:$I$89,5,0)</f>
        <v>249.18192000000002</v>
      </c>
      <c r="P116" s="14">
        <f t="shared" si="87"/>
        <v>60.410727929515595</v>
      </c>
      <c r="Q116" s="22">
        <f t="shared" si="107"/>
        <v>539.20719514390646</v>
      </c>
      <c r="R116" s="62">
        <f t="shared" si="55"/>
        <v>832.54052847723983</v>
      </c>
      <c r="S116" s="62">
        <f ca="1">AVERAGE(OFFSET($R$3,0,0,'Données projet'!$E$9+1,1))-AVERAGE(OFFSET($H$3,0,0,'Données projet'!$E$9+1,1))</f>
        <v>371.75294069149942</v>
      </c>
      <c r="T116" s="62">
        <f t="shared" si="88"/>
        <v>233.32640143610547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0.27025626074682407</v>
      </c>
      <c r="AB116" s="23">
        <f>EXP(-LN(2)/2)*AB115+(1-EXP(-LN(2)/2))/(LN(2)/2)*V116*Y116*VLOOKUP('Données projet'!$B$9,Paramètres!$A$1:$I$89,3,0)*0.475*44/12</f>
        <v>4.0353331931349984E-12</v>
      </c>
      <c r="AC116" s="24">
        <f t="shared" si="57"/>
        <v>0.2702562607508594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275.40000000000003</v>
      </c>
      <c r="AJ116" s="14">
        <f>AI116*VLOOKUP('Données projet'!$B$10,Paramètres!$A$1:$I$89,3,0)*VLOOKUP('Données projet'!$B$10,Paramètres!$A$1:$I$89,5,0)</f>
        <v>231.99696000000006</v>
      </c>
      <c r="AK116" s="14">
        <f t="shared" si="89"/>
        <v>56.714253482983302</v>
      </c>
      <c r="AL116" s="22">
        <f t="shared" si="58"/>
        <v>502.83869681619598</v>
      </c>
      <c r="AM116" s="62">
        <f t="shared" si="59"/>
        <v>796.17203014952929</v>
      </c>
      <c r="AN116" s="62">
        <f ca="1">AVERAGE(OFFSET($AM$3,0,0,'Données projet'!$E$10+1,1))-AVERAGE(OFFSET($H$3,0,0,'Données projet'!$E$10+1,1))</f>
        <v>348.84749506659495</v>
      </c>
      <c r="AO116" s="62">
        <f t="shared" si="90"/>
        <v>220.09202639602199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0.25161789793669809</v>
      </c>
      <c r="AW116" s="23">
        <f>EXP(-LN(2)/2)*AW115+(1-EXP(-LN(2)/2))/(LN(2)/2)*AQ116*AT116*VLOOKUP('Données projet'!$B$10,Paramètres!$A$1:$I$89,3,0)*0.475*44/12</f>
        <v>3.7570343522291377E-12</v>
      </c>
      <c r="AX116" s="23">
        <f t="shared" si="60"/>
        <v>0.25161789794045514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5.3205440053716299E-14</v>
      </c>
      <c r="BF116" s="14">
        <f t="shared" si="91"/>
        <v>8.602146238565607E-13</v>
      </c>
      <c r="BG116" s="22">
        <f t="shared" si="61"/>
        <v>1.590873277977066E-12</v>
      </c>
      <c r="BH116" s="62">
        <f t="shared" si="62"/>
        <v>293.33333333333491</v>
      </c>
      <c r="BI116" s="62">
        <f ca="1">AVERAGE(OFFSET($BH$3,0,0,'Données projet'!$E$11+1,1))-AVERAGE(OFFSET($H$3,0,0,'Données projet'!$E$11+1,1))</f>
        <v>259.74478933784656</v>
      </c>
      <c r="BJ116" s="62">
        <f t="shared" si="92"/>
        <v>223.74038909289646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3.8</v>
      </c>
      <c r="BY116" s="13">
        <f>IF('Données projet'!$A$114&gt;35,BY115+BX116-CG115,IF(A116&lt;'Données projet'!$A$114,$BV$205^A116,IF(A116='Données projet'!$A$114,'Données projet'!$B$114,BY115+BX116-CG115)))</f>
        <v>275.40000000000003</v>
      </c>
      <c r="BZ116" s="14">
        <f>BY116*VLOOKUP('Données projet'!$B$12,Paramètres!$A$1:$I$89,3,0)*VLOOKUP('Données projet'!$B$12,Paramètres!$A$1:$I$89,5,0)</f>
        <v>279.25560000000002</v>
      </c>
      <c r="CA116" s="14">
        <f t="shared" si="93"/>
        <v>66.809671397146161</v>
      </c>
      <c r="CB116" s="22">
        <f t="shared" si="64"/>
        <v>602.73034768336277</v>
      </c>
      <c r="CC116" s="62">
        <f t="shared" si="65"/>
        <v>896.06368101669614</v>
      </c>
      <c r="CD116" s="62">
        <f ca="1">AVERAGE(OFFSET($CC$3,0,0,'Données projet'!$E$12+1,1))-AVERAGE(OFFSET($H$3,0,0,'Données projet'!$E$12+1,1))</f>
        <v>411.75894069172358</v>
      </c>
      <c r="CE116" s="62">
        <f t="shared" si="94"/>
        <v>256.4377087753457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0.30287339566454441</v>
      </c>
      <c r="CM116" s="23">
        <f>EXP(-LN(2)/2)*CM115+(1-EXP(-LN(2)/2))/(LN(2)/2)*CG116*CJ116*VLOOKUP('Données projet'!$B$12,Paramètres!$A$1:$I$89,3,0)*0.475*44/12</f>
        <v>4.5223561647202573E-12</v>
      </c>
      <c r="CN116" s="24">
        <f t="shared" si="66"/>
        <v>0.30287339566906679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279.20000000000005</v>
      </c>
      <c r="O117" s="14">
        <f>N117*VLOOKUP('Données projet'!$B$9,Paramètres!$A$1:$I$89,3,0)*VLOOKUP('Données projet'!$B$9,Paramètres!$A$1:$I$89,5,0)</f>
        <v>252.62016000000003</v>
      </c>
      <c r="P117" s="14">
        <f t="shared" si="87"/>
        <v>61.14666777229877</v>
      </c>
      <c r="Q117" s="22">
        <f t="shared" si="107"/>
        <v>546.47722503675379</v>
      </c>
      <c r="R117" s="62">
        <f t="shared" si="55"/>
        <v>839.81055837008716</v>
      </c>
      <c r="S117" s="62">
        <f ca="1">AVERAGE(OFFSET($R$3,0,0,'Données projet'!$E$9+1,1))-AVERAGE(OFFSET($H$3,0,0,'Données projet'!$E$9+1,1))</f>
        <v>371.75294069149942</v>
      </c>
      <c r="T117" s="62">
        <f t="shared" si="88"/>
        <v>233.32640143610547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0.26286608908454312</v>
      </c>
      <c r="AB117" s="23">
        <f>EXP(-LN(2)/2)*AB116+(1-EXP(-LN(2)/2))/(LN(2)/2)*V117*Y117*VLOOKUP('Données projet'!$B$9,Paramètres!$A$1:$I$89,3,0)*0.475*44/12</f>
        <v>2.8534114652129215E-12</v>
      </c>
      <c r="AC117" s="24">
        <f t="shared" si="57"/>
        <v>0.2628660890873965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279.20000000000005</v>
      </c>
      <c r="AJ117" s="14">
        <f>AI117*VLOOKUP('Données projet'!$B$10,Paramètres!$A$1:$I$89,3,0)*VLOOKUP('Données projet'!$B$10,Paramètres!$A$1:$I$89,5,0)</f>
        <v>235.19808000000006</v>
      </c>
      <c r="AK117" s="14">
        <f t="shared" si="89"/>
        <v>57.40516187330315</v>
      </c>
      <c r="AL117" s="22">
        <f t="shared" si="58"/>
        <v>509.61731292933638</v>
      </c>
      <c r="AM117" s="62">
        <f t="shared" si="59"/>
        <v>802.95064626266969</v>
      </c>
      <c r="AN117" s="62">
        <f ca="1">AVERAGE(OFFSET($AM$3,0,0,'Données projet'!$E$10+1,1))-AVERAGE(OFFSET($H$3,0,0,'Données projet'!$E$10+1,1))</f>
        <v>348.84749506659495</v>
      </c>
      <c r="AO117" s="62">
        <f t="shared" si="90"/>
        <v>220.09202639602199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0.2447373932856089</v>
      </c>
      <c r="AW117" s="23">
        <f>EXP(-LN(2)/2)*AW116+(1-EXP(-LN(2)/2))/(LN(2)/2)*AQ117*AT117*VLOOKUP('Données projet'!$B$10,Paramètres!$A$1:$I$89,3,0)*0.475*44/12</f>
        <v>2.6566244676120313E-12</v>
      </c>
      <c r="AX117" s="23">
        <f t="shared" si="60"/>
        <v>0.24473739328826552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5.3205440053716299E-14</v>
      </c>
      <c r="BF117" s="14">
        <f t="shared" si="91"/>
        <v>8.602146238565607E-13</v>
      </c>
      <c r="BG117" s="22">
        <f t="shared" si="61"/>
        <v>1.590873277977066E-12</v>
      </c>
      <c r="BH117" s="62">
        <f t="shared" si="62"/>
        <v>293.33333333333491</v>
      </c>
      <c r="BI117" s="62">
        <f ca="1">AVERAGE(OFFSET($BH$3,0,0,'Données projet'!$E$11+1,1))-AVERAGE(OFFSET($H$3,0,0,'Données projet'!$E$11+1,1))</f>
        <v>259.74478933784656</v>
      </c>
      <c r="BJ117" s="62">
        <f t="shared" si="92"/>
        <v>223.74038909289646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3.8</v>
      </c>
      <c r="BY117" s="13">
        <f>IF('Données projet'!$A$114&gt;35,BY116+BX117-CG116,IF(A117&lt;'Données projet'!$A$114,$BV$205^A117,IF(A117='Données projet'!$A$114,'Données projet'!$B$114,BY116+BX117-CG116)))</f>
        <v>279.20000000000005</v>
      </c>
      <c r="BZ117" s="14">
        <f>BY117*VLOOKUP('Données projet'!$B$12,Paramètres!$A$1:$I$89,3,0)*VLOOKUP('Données projet'!$B$12,Paramètres!$A$1:$I$89,5,0)</f>
        <v>283.10880000000009</v>
      </c>
      <c r="CA117" s="14">
        <f t="shared" si="93"/>
        <v>67.623564901653864</v>
      </c>
      <c r="CB117" s="22">
        <f t="shared" si="64"/>
        <v>610.85886887038066</v>
      </c>
      <c r="CC117" s="62">
        <f t="shared" si="65"/>
        <v>904.19220220371403</v>
      </c>
      <c r="CD117" s="62">
        <f ca="1">AVERAGE(OFFSET($CC$3,0,0,'Données projet'!$E$12+1,1))-AVERAGE(OFFSET($H$3,0,0,'Données projet'!$E$12+1,1))</f>
        <v>411.75894069172358</v>
      </c>
      <c r="CE117" s="62">
        <f t="shared" si="94"/>
        <v>256.4377087753457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0.2945913067326778</v>
      </c>
      <c r="CM117" s="23">
        <f>EXP(-LN(2)/2)*CM116+(1-EXP(-LN(2)/2))/(LN(2)/2)*CG117*CJ117*VLOOKUP('Données projet'!$B$12,Paramètres!$A$1:$I$89,3,0)*0.475*44/12</f>
        <v>3.1977887110144813E-12</v>
      </c>
      <c r="CN117" s="24">
        <f t="shared" si="66"/>
        <v>0.29459130673587558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283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283.00000000000006</v>
      </c>
      <c r="O118" s="14">
        <f>N118*VLOOKUP('Données projet'!$B$9,Paramètres!$A$1:$I$89,3,0)*VLOOKUP('Données projet'!$B$9,Paramètres!$A$1:$I$89,5,0)</f>
        <v>256.05840000000001</v>
      </c>
      <c r="P118" s="14">
        <f t="shared" si="87"/>
        <v>61.881442594256484</v>
      </c>
      <c r="Q118" s="22">
        <f t="shared" si="107"/>
        <v>553.74522585166335</v>
      </c>
      <c r="R118" s="62">
        <f t="shared" si="55"/>
        <v>847.07855918499672</v>
      </c>
      <c r="S118" s="62">
        <f ca="1">AVERAGE(OFFSET($R$3,0,0,'Données projet'!$E$9+1,1))-AVERAGE(OFFSET($H$3,0,0,'Données projet'!$E$9+1,1))</f>
        <v>371.75294069149942</v>
      </c>
      <c r="T118" s="62">
        <f t="shared" si="88"/>
        <v>233.32640143610547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0.25567800205499946</v>
      </c>
      <c r="AB118" s="23">
        <f>EXP(-LN(2)/2)*AB117+(1-EXP(-LN(2)/2))/(LN(2)/2)*V118*Y118*VLOOKUP('Données projet'!$B$9,Paramètres!$A$1:$I$89,3,0)*0.475*44/12</f>
        <v>2.0176665965674992E-12</v>
      </c>
      <c r="AC118" s="24">
        <f t="shared" si="57"/>
        <v>0.25567800205701713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283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283.00000000000006</v>
      </c>
      <c r="AJ118" s="14">
        <f>AI118*VLOOKUP('Données projet'!$B$10,Paramètres!$A$1:$I$89,3,0)*VLOOKUP('Données projet'!$B$10,Paramètres!$A$1:$I$89,5,0)</f>
        <v>238.39920000000009</v>
      </c>
      <c r="AK118" s="14">
        <f t="shared" si="89"/>
        <v>58.094976529303409</v>
      </c>
      <c r="AL118" s="22">
        <f t="shared" si="58"/>
        <v>516.39402412187019</v>
      </c>
      <c r="AM118" s="62">
        <f t="shared" si="59"/>
        <v>809.72735745520345</v>
      </c>
      <c r="AN118" s="62">
        <f ca="1">AVERAGE(OFFSET($AM$3,0,0,'Données projet'!$E$10+1,1))-AVERAGE(OFFSET($H$3,0,0,'Données projet'!$E$10+1,1))</f>
        <v>348.84749506659495</v>
      </c>
      <c r="AO118" s="62">
        <f t="shared" si="90"/>
        <v>220.09202639602199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0.23804503639603375</v>
      </c>
      <c r="AW118" s="23">
        <f>EXP(-LN(2)/2)*AW117+(1-EXP(-LN(2)/2))/(LN(2)/2)*AQ118*AT118*VLOOKUP('Données projet'!$B$10,Paramètres!$A$1:$I$89,3,0)*0.475*44/12</f>
        <v>1.8785171761145689E-12</v>
      </c>
      <c r="AX118" s="23">
        <f t="shared" si="60"/>
        <v>0.23804503639791227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5.3205440053716299E-14</v>
      </c>
      <c r="BF118" s="14">
        <f t="shared" si="91"/>
        <v>8.602146238565607E-13</v>
      </c>
      <c r="BG118" s="22">
        <f t="shared" si="61"/>
        <v>1.590873277977066E-12</v>
      </c>
      <c r="BH118" s="62">
        <f t="shared" si="62"/>
        <v>293.33333333333491</v>
      </c>
      <c r="BI118" s="62">
        <f ca="1">AVERAGE(OFFSET($BH$3,0,0,'Données projet'!$E$11+1,1))-AVERAGE(OFFSET($H$3,0,0,'Données projet'!$E$11+1,1))</f>
        <v>259.74478933784656</v>
      </c>
      <c r="BJ118" s="62">
        <f t="shared" si="92"/>
        <v>223.74038909289646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283</v>
      </c>
      <c r="BW118" s="13">
        <f>VLOOKUP(A118,'Données projet'!$A$113:$I$133,9,0)</f>
        <v>3.8</v>
      </c>
      <c r="BX118" s="13">
        <f t="array" ref="BX118">INDEX(BW:BW,MIN(IF(ISNUMBER(BW118:BW314),ROW(BW118:BW314),"")))</f>
        <v>3.8</v>
      </c>
      <c r="BY118" s="13">
        <f>IF('Données projet'!$A$114&gt;35,BY117+BX118-CG117,IF(A118&lt;'Données projet'!$A$114,$BV$205^A118,IF(A118='Données projet'!$A$114,'Données projet'!$B$114,BY117+BX118-CG117)))</f>
        <v>283.00000000000006</v>
      </c>
      <c r="BZ118" s="14">
        <f>BY118*VLOOKUP('Données projet'!$B$12,Paramètres!$A$1:$I$89,3,0)*VLOOKUP('Données projet'!$B$12,Paramètres!$A$1:$I$89,5,0)</f>
        <v>286.9620000000001</v>
      </c>
      <c r="CA118" s="14">
        <f t="shared" si="93"/>
        <v>68.436169981717924</v>
      </c>
      <c r="CB118" s="22">
        <f t="shared" si="64"/>
        <v>618.98514605149205</v>
      </c>
      <c r="CC118" s="62">
        <f t="shared" si="65"/>
        <v>912.31847938482542</v>
      </c>
      <c r="CD118" s="62">
        <f ca="1">AVERAGE(OFFSET($CC$3,0,0,'Données projet'!$E$12+1,1))-AVERAGE(OFFSET($H$3,0,0,'Données projet'!$E$12+1,1))</f>
        <v>411.75894069172358</v>
      </c>
      <c r="CE118" s="62">
        <f t="shared" si="94"/>
        <v>256.4377087753457</v>
      </c>
      <c r="CF118" s="16">
        <f>IF(ISNA(VLOOKUP(A118,'Données projet'!$A$113:$I$133,3,0)),0,VLOOKUP(A118,'Données projet'!$A$113:$I$133,3,0))</f>
        <v>19</v>
      </c>
      <c r="CG118" s="16">
        <f>IF(ISNA(VLOOKUP(A118,'Données projet'!$A$113:$I$133,4,0)),0,VLOOKUP(A118,'Données projet'!$A$113:$I$133,4,0))</f>
        <v>18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0.28653569195818923</v>
      </c>
      <c r="CM118" s="23">
        <f>EXP(-LN(2)/2)*CM117+(1-EXP(-LN(2)/2))/(LN(2)/2)*CG118*CJ118*VLOOKUP('Données projet'!$B$12,Paramètres!$A$1:$I$89,3,0)*0.475*44/12</f>
        <v>2.2611780823601287E-12</v>
      </c>
      <c r="CN118" s="24">
        <f t="shared" si="66"/>
        <v>0.28653569196045042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268.60000000000008</v>
      </c>
      <c r="O119" s="14">
        <f>N119*VLOOKUP('Données projet'!$B$9,Paramètres!$A$1:$I$89,3,0)*VLOOKUP('Données projet'!$B$9,Paramètres!$A$1:$I$89,5,0)</f>
        <v>243.02928000000006</v>
      </c>
      <c r="P119" s="14">
        <f t="shared" si="87"/>
        <v>59.090818278663519</v>
      </c>
      <c r="Q119" s="22">
        <f t="shared" si="107"/>
        <v>526.1925045020057</v>
      </c>
      <c r="R119" s="62">
        <f t="shared" si="55"/>
        <v>819.52583783533896</v>
      </c>
      <c r="S119" s="62">
        <f ca="1">AVERAGE(OFFSET($R$3,0,0,'Données projet'!$E$9+1,1))-AVERAGE(OFFSET($H$3,0,0,'Données projet'!$E$9+1,1))</f>
        <v>371.75294069149942</v>
      </c>
      <c r="T119" s="62">
        <f t="shared" si="88"/>
        <v>233.32640143610547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0.24868647364328372</v>
      </c>
      <c r="AB119" s="23">
        <f>EXP(-LN(2)/2)*AB118+(1-EXP(-LN(2)/2))/(LN(2)/2)*V119*Y119*VLOOKUP('Données projet'!$B$9,Paramètres!$A$1:$I$89,3,0)*0.475*44/12</f>
        <v>1.4267057326064607E-12</v>
      </c>
      <c r="AC119" s="24">
        <f t="shared" si="57"/>
        <v>0.24868647364471042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268.60000000000008</v>
      </c>
      <c r="AJ119" s="14">
        <f>AI119*VLOOKUP('Données projet'!$B$10,Paramètres!$A$1:$I$89,3,0)*VLOOKUP('Données projet'!$B$10,Paramètres!$A$1:$I$89,5,0)</f>
        <v>226.26864000000006</v>
      </c>
      <c r="AK119" s="14">
        <f t="shared" si="89"/>
        <v>55.475107836527862</v>
      </c>
      <c r="AL119" s="22">
        <f t="shared" si="58"/>
        <v>490.70369414861938</v>
      </c>
      <c r="AM119" s="62">
        <f t="shared" si="59"/>
        <v>784.03702748195269</v>
      </c>
      <c r="AN119" s="62">
        <f ca="1">AVERAGE(OFFSET($AM$3,0,0,'Données projet'!$E$10+1,1))-AVERAGE(OFFSET($H$3,0,0,'Données projet'!$E$10+1,1))</f>
        <v>348.84749506659495</v>
      </c>
      <c r="AO119" s="62">
        <f t="shared" si="90"/>
        <v>220.09202639602199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0.2315356823575398</v>
      </c>
      <c r="AW119" s="23">
        <f>EXP(-LN(2)/2)*AW118+(1-EXP(-LN(2)/2))/(LN(2)/2)*AQ119*AT119*VLOOKUP('Données projet'!$B$10,Paramètres!$A$1:$I$89,3,0)*0.475*44/12</f>
        <v>1.3283122338060157E-12</v>
      </c>
      <c r="AX119" s="23">
        <f t="shared" si="60"/>
        <v>0.23153568235886809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5.3205440053716299E-14</v>
      </c>
      <c r="BF119" s="14">
        <f t="shared" si="91"/>
        <v>8.602146238565607E-13</v>
      </c>
      <c r="BG119" s="22">
        <f t="shared" si="61"/>
        <v>1.590873277977066E-12</v>
      </c>
      <c r="BH119" s="62">
        <f t="shared" si="62"/>
        <v>293.33333333333491</v>
      </c>
      <c r="BI119" s="62">
        <f ca="1">AVERAGE(OFFSET($BH$3,0,0,'Données projet'!$E$11+1,1))-AVERAGE(OFFSET($H$3,0,0,'Données projet'!$E$11+1,1))</f>
        <v>259.74478933784656</v>
      </c>
      <c r="BJ119" s="62">
        <f t="shared" si="92"/>
        <v>223.74038909289646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3.6</v>
      </c>
      <c r="BY119" s="13">
        <f>IF('Données projet'!$A$114&gt;35,BY118+BX119-CG118,IF(A119&lt;'Données projet'!$A$114,$BV$205^A119,IF(A119='Données projet'!$A$114,'Données projet'!$B$114,BY118+BX119-CG118)))</f>
        <v>268.60000000000008</v>
      </c>
      <c r="BZ119" s="14">
        <f>BY119*VLOOKUP('Données projet'!$B$12,Paramètres!$A$1:$I$89,3,0)*VLOOKUP('Données projet'!$B$12,Paramètres!$A$1:$I$89,5,0)</f>
        <v>272.36040000000008</v>
      </c>
      <c r="CA119" s="14">
        <f t="shared" si="93"/>
        <v>65.349951690569654</v>
      </c>
      <c r="CB119" s="22">
        <f t="shared" si="64"/>
        <v>588.17886252774224</v>
      </c>
      <c r="CC119" s="62">
        <f t="shared" si="65"/>
        <v>881.5121958610755</v>
      </c>
      <c r="CD119" s="62">
        <f ca="1">AVERAGE(OFFSET($CC$3,0,0,'Données projet'!$E$12+1,1))-AVERAGE(OFFSET($H$3,0,0,'Données projet'!$E$12+1,1))</f>
        <v>411.75894069172358</v>
      </c>
      <c r="CE119" s="62">
        <f t="shared" si="94"/>
        <v>256.4377087753457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0.2787003583933354</v>
      </c>
      <c r="CM119" s="23">
        <f>EXP(-LN(2)/2)*CM118+(1-EXP(-LN(2)/2))/(LN(2)/2)*CG119*CJ119*VLOOKUP('Données projet'!$B$12,Paramètres!$A$1:$I$89,3,0)*0.475*44/12</f>
        <v>1.5988943555072406E-12</v>
      </c>
      <c r="CN119" s="24">
        <f t="shared" si="66"/>
        <v>0.27870035839493429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272.2000000000001</v>
      </c>
      <c r="O120" s="14">
        <f>N120*VLOOKUP('Données projet'!$B$9,Paramètres!$A$1:$I$89,3,0)*VLOOKUP('Données projet'!$B$9,Paramètres!$A$1:$I$89,5,0)</f>
        <v>246.28656000000009</v>
      </c>
      <c r="P120" s="14">
        <f t="shared" si="87"/>
        <v>59.790072314231324</v>
      </c>
      <c r="Q120" s="22">
        <f t="shared" si="107"/>
        <v>533.08346794728629</v>
      </c>
      <c r="R120" s="62">
        <f t="shared" si="55"/>
        <v>826.41680128061967</v>
      </c>
      <c r="S120" s="62">
        <f ca="1">AVERAGE(OFFSET($R$3,0,0,'Données projet'!$E$9+1,1))-AVERAGE(OFFSET($H$3,0,0,'Données projet'!$E$9+1,1))</f>
        <v>371.75294069149942</v>
      </c>
      <c r="T120" s="62">
        <f t="shared" si="88"/>
        <v>233.32640143610547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0.24188612894365485</v>
      </c>
      <c r="AB120" s="23">
        <f>EXP(-LN(2)/2)*AB119+(1-EXP(-LN(2)/2))/(LN(2)/2)*V120*Y120*VLOOKUP('Données projet'!$B$9,Paramètres!$A$1:$I$89,3,0)*0.475*44/12</f>
        <v>1.0088332982837496E-12</v>
      </c>
      <c r="AC120" s="24">
        <f t="shared" si="57"/>
        <v>0.24188612894466369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272.2000000000001</v>
      </c>
      <c r="AJ120" s="14">
        <f>AI120*VLOOKUP('Données projet'!$B$10,Paramètres!$A$1:$I$89,3,0)*VLOOKUP('Données projet'!$B$10,Paramètres!$A$1:$I$89,5,0)</f>
        <v>229.30128000000011</v>
      </c>
      <c r="AK120" s="14">
        <f t="shared" si="89"/>
        <v>56.131575188956809</v>
      </c>
      <c r="AL120" s="22">
        <f t="shared" si="58"/>
        <v>497.12888945410003</v>
      </c>
      <c r="AM120" s="62">
        <f t="shared" si="59"/>
        <v>790.46222278743335</v>
      </c>
      <c r="AN120" s="62">
        <f ca="1">AVERAGE(OFFSET($AM$3,0,0,'Données projet'!$E$10+1,1))-AVERAGE(OFFSET($H$3,0,0,'Données projet'!$E$10+1,1))</f>
        <v>348.84749506659495</v>
      </c>
      <c r="AO120" s="62">
        <f t="shared" si="90"/>
        <v>220.09202639602199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0.22520432694754053</v>
      </c>
      <c r="AW120" s="23">
        <f>EXP(-LN(2)/2)*AW119+(1-EXP(-LN(2)/2))/(LN(2)/2)*AQ120*AT120*VLOOKUP('Données projet'!$B$10,Paramètres!$A$1:$I$89,3,0)*0.475*44/12</f>
        <v>9.3925858805728443E-13</v>
      </c>
      <c r="AX120" s="23">
        <f t="shared" si="60"/>
        <v>0.22520432694847978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5.3205440053716299E-14</v>
      </c>
      <c r="BF120" s="14">
        <f t="shared" si="91"/>
        <v>8.602146238565607E-13</v>
      </c>
      <c r="BG120" s="22">
        <f t="shared" si="61"/>
        <v>1.590873277977066E-12</v>
      </c>
      <c r="BH120" s="62">
        <f t="shared" si="62"/>
        <v>293.33333333333491</v>
      </c>
      <c r="BI120" s="62">
        <f ca="1">AVERAGE(OFFSET($BH$3,0,0,'Données projet'!$E$11+1,1))-AVERAGE(OFFSET($H$3,0,0,'Données projet'!$E$11+1,1))</f>
        <v>259.74478933784656</v>
      </c>
      <c r="BJ120" s="62">
        <f t="shared" si="92"/>
        <v>223.74038909289646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3.6</v>
      </c>
      <c r="BY120" s="13">
        <f>IF('Données projet'!$A$114&gt;35,BY119+BX120-CG119,IF(A120&lt;'Données projet'!$A$114,$BV$205^A120,IF(A120='Données projet'!$A$114,'Données projet'!$B$114,BY119+BX120-CG119)))</f>
        <v>272.2000000000001</v>
      </c>
      <c r="BZ120" s="14">
        <f>BY120*VLOOKUP('Données projet'!$B$12,Paramètres!$A$1:$I$89,3,0)*VLOOKUP('Données projet'!$B$12,Paramètres!$A$1:$I$89,5,0)</f>
        <v>276.01080000000013</v>
      </c>
      <c r="CA120" s="14">
        <f t="shared" si="93"/>
        <v>66.123273481923022</v>
      </c>
      <c r="CB120" s="22">
        <f t="shared" si="64"/>
        <v>595.88351131434945</v>
      </c>
      <c r="CC120" s="62">
        <f t="shared" si="65"/>
        <v>889.21684464768282</v>
      </c>
      <c r="CD120" s="62">
        <f ca="1">AVERAGE(OFFSET($CC$3,0,0,'Données projet'!$E$12+1,1))-AVERAGE(OFFSET($H$3,0,0,'Données projet'!$E$12+1,1))</f>
        <v>411.75894069172358</v>
      </c>
      <c r="CE120" s="62">
        <f t="shared" si="94"/>
        <v>256.4377087753457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0.27107928243685475</v>
      </c>
      <c r="CM120" s="23">
        <f>EXP(-LN(2)/2)*CM119+(1-EXP(-LN(2)/2))/(LN(2)/2)*CG120*CJ120*VLOOKUP('Données projet'!$B$12,Paramètres!$A$1:$I$89,3,0)*0.475*44/12</f>
        <v>1.1305890411800643E-12</v>
      </c>
      <c r="CN120" s="24">
        <f t="shared" si="66"/>
        <v>0.27107928243798535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275.80000000000013</v>
      </c>
      <c r="O121" s="14">
        <f>N121*VLOOKUP('Données projet'!$B$9,Paramètres!$A$1:$I$89,3,0)*VLOOKUP('Données projet'!$B$9,Paramètres!$A$1:$I$89,5,0)</f>
        <v>249.5438400000001</v>
      </c>
      <c r="P121" s="14">
        <f t="shared" si="87"/>
        <v>60.488250673786602</v>
      </c>
      <c r="Q121" s="22">
        <f t="shared" si="107"/>
        <v>539.97255792351177</v>
      </c>
      <c r="R121" s="62">
        <f t="shared" si="55"/>
        <v>833.30589125684514</v>
      </c>
      <c r="S121" s="62">
        <f ca="1">AVERAGE(OFFSET($R$3,0,0,'Données projet'!$E$9+1,1))-AVERAGE(OFFSET($H$3,0,0,'Données projet'!$E$9+1,1))</f>
        <v>371.75294069149942</v>
      </c>
      <c r="T121" s="62">
        <f t="shared" si="88"/>
        <v>233.32640143610547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0.23527174002745194</v>
      </c>
      <c r="AB121" s="23">
        <f>EXP(-LN(2)/2)*AB120+(1-EXP(-LN(2)/2))/(LN(2)/2)*V121*Y121*VLOOKUP('Données projet'!$B$9,Paramètres!$A$1:$I$89,3,0)*0.475*44/12</f>
        <v>7.1335286630323037E-13</v>
      </c>
      <c r="AC121" s="24">
        <f t="shared" si="57"/>
        <v>0.23527174002816528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275.80000000000013</v>
      </c>
      <c r="AJ121" s="14">
        <f>AI121*VLOOKUP('Données projet'!$B$10,Paramètres!$A$1:$I$89,3,0)*VLOOKUP('Données projet'!$B$10,Paramètres!$A$1:$I$89,5,0)</f>
        <v>232.33392000000012</v>
      </c>
      <c r="AK121" s="14">
        <f t="shared" si="89"/>
        <v>56.787032684955662</v>
      </c>
      <c r="AL121" s="22">
        <f t="shared" si="58"/>
        <v>503.55232592629801</v>
      </c>
      <c r="AM121" s="62">
        <f t="shared" si="59"/>
        <v>796.88565925963132</v>
      </c>
      <c r="AN121" s="62">
        <f ca="1">AVERAGE(OFFSET($AM$3,0,0,'Données projet'!$E$10+1,1))-AVERAGE(OFFSET($H$3,0,0,'Données projet'!$E$10+1,1))</f>
        <v>348.84749506659495</v>
      </c>
      <c r="AO121" s="62">
        <f t="shared" si="90"/>
        <v>220.09202639602199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0.21904610278417919</v>
      </c>
      <c r="AW121" s="23">
        <f>EXP(-LN(2)/2)*AW120+(1-EXP(-LN(2)/2))/(LN(2)/2)*AQ121*AT121*VLOOKUP('Données projet'!$B$10,Paramètres!$A$1:$I$89,3,0)*0.475*44/12</f>
        <v>6.6415611690300783E-13</v>
      </c>
      <c r="AX121" s="23">
        <f t="shared" si="60"/>
        <v>0.21904610278484335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5.3205440053716299E-14</v>
      </c>
      <c r="BF121" s="14">
        <f t="shared" si="91"/>
        <v>8.602146238565607E-13</v>
      </c>
      <c r="BG121" s="22">
        <f t="shared" si="61"/>
        <v>1.590873277977066E-12</v>
      </c>
      <c r="BH121" s="62">
        <f t="shared" si="62"/>
        <v>293.33333333333491</v>
      </c>
      <c r="BI121" s="62">
        <f ca="1">AVERAGE(OFFSET($BH$3,0,0,'Données projet'!$E$11+1,1))-AVERAGE(OFFSET($H$3,0,0,'Données projet'!$E$11+1,1))</f>
        <v>259.74478933784656</v>
      </c>
      <c r="BJ121" s="62">
        <f t="shared" si="92"/>
        <v>223.74038909289646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3.6</v>
      </c>
      <c r="BY121" s="13">
        <f>IF('Données projet'!$A$114&gt;35,BY120+BX121-CG120,IF(A121&lt;'Données projet'!$A$114,$BV$205^A121,IF(A121='Données projet'!$A$114,'Données projet'!$B$114,BY120+BX121-CG120)))</f>
        <v>275.80000000000013</v>
      </c>
      <c r="BZ121" s="14">
        <f>BY121*VLOOKUP('Données projet'!$B$12,Paramètres!$A$1:$I$89,3,0)*VLOOKUP('Données projet'!$B$12,Paramètres!$A$1:$I$89,5,0)</f>
        <v>279.66120000000018</v>
      </c>
      <c r="CA121" s="14">
        <f t="shared" si="93"/>
        <v>66.895405657401952</v>
      </c>
      <c r="CB121" s="22">
        <f t="shared" si="64"/>
        <v>603.58608818664197</v>
      </c>
      <c r="CC121" s="62">
        <f t="shared" si="65"/>
        <v>896.91942151997523</v>
      </c>
      <c r="CD121" s="62">
        <f ca="1">AVERAGE(OFFSET($CC$3,0,0,'Données projet'!$E$12+1,1))-AVERAGE(OFFSET($H$3,0,0,'Données projet'!$E$12+1,1))</f>
        <v>411.75894069172358</v>
      </c>
      <c r="CE121" s="62">
        <f t="shared" si="94"/>
        <v>256.4377087753457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0.26366660520317903</v>
      </c>
      <c r="CM121" s="23">
        <f>EXP(-LN(2)/2)*CM120+(1-EXP(-LN(2)/2))/(LN(2)/2)*CG121*CJ121*VLOOKUP('Données projet'!$B$12,Paramètres!$A$1:$I$89,3,0)*0.475*44/12</f>
        <v>7.9944717775362032E-13</v>
      </c>
      <c r="CN121" s="24">
        <f t="shared" si="66"/>
        <v>0.2636666052039785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279.40000000000015</v>
      </c>
      <c r="O122" s="14">
        <f>N122*VLOOKUP('Données projet'!$B$9,Paramètres!$A$1:$I$89,3,0)*VLOOKUP('Données projet'!$B$9,Paramètres!$A$1:$I$89,5,0)</f>
        <v>252.80112000000014</v>
      </c>
      <c r="P122" s="14">
        <f t="shared" si="87"/>
        <v>61.185369021394266</v>
      </c>
      <c r="Q122" s="22">
        <f t="shared" si="107"/>
        <v>546.85980171226186</v>
      </c>
      <c r="R122" s="62">
        <f t="shared" si="55"/>
        <v>840.19313504559523</v>
      </c>
      <c r="S122" s="62">
        <f ca="1">AVERAGE(OFFSET($R$3,0,0,'Données projet'!$E$9+1,1))-AVERAGE(OFFSET($H$3,0,0,'Données projet'!$E$9+1,1))</f>
        <v>371.75294069149942</v>
      </c>
      <c r="T122" s="62">
        <f t="shared" si="88"/>
        <v>233.32640143610547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0.22883822192399816</v>
      </c>
      <c r="AB122" s="23">
        <f>EXP(-LN(2)/2)*AB121+(1-EXP(-LN(2)/2))/(LN(2)/2)*V122*Y122*VLOOKUP('Données projet'!$B$9,Paramètres!$A$1:$I$89,3,0)*0.475*44/12</f>
        <v>5.0441664914187481E-13</v>
      </c>
      <c r="AC122" s="24">
        <f t="shared" si="57"/>
        <v>0.22883822192450259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279.40000000000015</v>
      </c>
      <c r="AJ122" s="14">
        <f>AI122*VLOOKUP('Données projet'!$B$10,Paramètres!$A$1:$I$89,3,0)*VLOOKUP('Données projet'!$B$10,Paramètres!$A$1:$I$89,5,0)</f>
        <v>235.36656000000013</v>
      </c>
      <c r="AK122" s="14">
        <f t="shared" si="89"/>
        <v>57.441495030120443</v>
      </c>
      <c r="AL122" s="22">
        <f t="shared" si="58"/>
        <v>509.97402917745995</v>
      </c>
      <c r="AM122" s="62">
        <f t="shared" si="59"/>
        <v>803.30736251079327</v>
      </c>
      <c r="AN122" s="62">
        <f ca="1">AVERAGE(OFFSET($AM$3,0,0,'Données projet'!$E$10+1,1))-AVERAGE(OFFSET($H$3,0,0,'Données projet'!$E$10+1,1))</f>
        <v>348.84749506659495</v>
      </c>
      <c r="AO122" s="62">
        <f t="shared" si="90"/>
        <v>220.09202639602199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0.2130562755844119</v>
      </c>
      <c r="AW122" s="23">
        <f>EXP(-LN(2)/2)*AW121+(1-EXP(-LN(2)/2))/(LN(2)/2)*AQ122*AT122*VLOOKUP('Données projet'!$B$10,Paramètres!$A$1:$I$89,3,0)*0.475*44/12</f>
        <v>4.6962929402864222E-13</v>
      </c>
      <c r="AX122" s="23">
        <f t="shared" si="60"/>
        <v>0.21305627558488152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5.3205440053716299E-14</v>
      </c>
      <c r="BF122" s="14">
        <f t="shared" si="91"/>
        <v>8.602146238565607E-13</v>
      </c>
      <c r="BG122" s="22">
        <f t="shared" si="61"/>
        <v>1.590873277977066E-12</v>
      </c>
      <c r="BH122" s="62">
        <f t="shared" si="62"/>
        <v>293.33333333333491</v>
      </c>
      <c r="BI122" s="62">
        <f ca="1">AVERAGE(OFFSET($BH$3,0,0,'Données projet'!$E$11+1,1))-AVERAGE(OFFSET($H$3,0,0,'Données projet'!$E$11+1,1))</f>
        <v>259.74478933784656</v>
      </c>
      <c r="BJ122" s="62">
        <f t="shared" si="92"/>
        <v>223.74038909289646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3.6</v>
      </c>
      <c r="BY122" s="13">
        <f>IF('Données projet'!$A$114&gt;35,BY121+BX122-CG121,IF(A122&lt;'Données projet'!$A$114,$BV$205^A122,IF(A122='Données projet'!$A$114,'Données projet'!$B$114,BY121+BX122-CG121)))</f>
        <v>279.40000000000015</v>
      </c>
      <c r="BZ122" s="14">
        <f>BY122*VLOOKUP('Données projet'!$B$12,Paramètres!$A$1:$I$89,3,0)*VLOOKUP('Données projet'!$B$12,Paramètres!$A$1:$I$89,5,0)</f>
        <v>283.31160000000017</v>
      </c>
      <c r="CA122" s="14">
        <f t="shared" si="93"/>
        <v>67.666365540271329</v>
      </c>
      <c r="CB122" s="22">
        <f t="shared" si="64"/>
        <v>611.28662331597286</v>
      </c>
      <c r="CC122" s="62">
        <f t="shared" si="65"/>
        <v>904.61995664930623</v>
      </c>
      <c r="CD122" s="62">
        <f ca="1">AVERAGE(OFFSET($CC$3,0,0,'Données projet'!$E$12+1,1))-AVERAGE(OFFSET($H$3,0,0,'Données projet'!$E$12+1,1))</f>
        <v>411.75894069172358</v>
      </c>
      <c r="CE122" s="62">
        <f t="shared" si="94"/>
        <v>256.4377087753457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0.25645662801827396</v>
      </c>
      <c r="CM122" s="23">
        <f>EXP(-LN(2)/2)*CM121+(1-EXP(-LN(2)/2))/(LN(2)/2)*CG122*CJ122*VLOOKUP('Données projet'!$B$12,Paramètres!$A$1:$I$89,3,0)*0.475*44/12</f>
        <v>5.6529452059003216E-13</v>
      </c>
      <c r="CN122" s="24">
        <f t="shared" si="66"/>
        <v>0.25645662801883923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283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283.00000000000017</v>
      </c>
      <c r="O123" s="14">
        <f>N123*VLOOKUP('Données projet'!$B$9,Paramètres!$A$1:$I$89,3,0)*VLOOKUP('Données projet'!$B$9,Paramètres!$A$1:$I$89,5,0)</f>
        <v>256.05840000000018</v>
      </c>
      <c r="P123" s="14">
        <f t="shared" si="87"/>
        <v>61.881442594256541</v>
      </c>
      <c r="Q123" s="22">
        <f t="shared" si="107"/>
        <v>553.7452258516638</v>
      </c>
      <c r="R123" s="62">
        <f t="shared" si="55"/>
        <v>847.07855918499718</v>
      </c>
      <c r="S123" s="62">
        <f ca="1">AVERAGE(OFFSET($R$3,0,0,'Données projet'!$E$9+1,1))-AVERAGE(OFFSET($H$3,0,0,'Données projet'!$E$9+1,1))</f>
        <v>371.75294069149942</v>
      </c>
      <c r="T123" s="62">
        <f t="shared" si="88"/>
        <v>233.32640143610547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283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0.22258062871140735</v>
      </c>
      <c r="AB123" s="23">
        <f>EXP(-LN(2)/2)*AB122+(1-EXP(-LN(2)/2))/(LN(2)/2)*V123*Y123*VLOOKUP('Données projet'!$B$9,Paramètres!$A$1:$I$89,3,0)*0.475*44/12</f>
        <v>3.5667643315161518E-13</v>
      </c>
      <c r="AC123" s="24">
        <f t="shared" si="57"/>
        <v>0.22258062871176404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283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283.00000000000017</v>
      </c>
      <c r="AJ123" s="14">
        <f>AI123*VLOOKUP('Données projet'!$B$10,Paramètres!$A$1:$I$89,3,0)*VLOOKUP('Données projet'!$B$10,Paramètres!$A$1:$I$89,5,0)</f>
        <v>238.39920000000018</v>
      </c>
      <c r="AK123" s="14">
        <f t="shared" si="89"/>
        <v>58.094976529303459</v>
      </c>
      <c r="AL123" s="22">
        <f t="shared" si="58"/>
        <v>516.39402412187042</v>
      </c>
      <c r="AM123" s="62">
        <f t="shared" si="59"/>
        <v>809.72735745520367</v>
      </c>
      <c r="AN123" s="62">
        <f ca="1">AVERAGE(OFFSET($AM$3,0,0,'Données projet'!$E$10+1,1))-AVERAGE(OFFSET($H$3,0,0,'Données projet'!$E$10+1,1))</f>
        <v>348.84749506659495</v>
      </c>
      <c r="AO123" s="62">
        <f t="shared" si="90"/>
        <v>220.09202639602199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283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0.20723024052441358</v>
      </c>
      <c r="AW123" s="23">
        <f>EXP(-LN(2)/2)*AW122+(1-EXP(-LN(2)/2))/(LN(2)/2)*AQ123*AT123*VLOOKUP('Données projet'!$B$10,Paramètres!$A$1:$I$89,3,0)*0.475*44/12</f>
        <v>3.3207805845150391E-13</v>
      </c>
      <c r="AX123" s="23">
        <f t="shared" si="60"/>
        <v>0.20723024052474565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5.3205440053716299E-14</v>
      </c>
      <c r="BF123" s="14">
        <f t="shared" si="91"/>
        <v>8.602146238565607E-13</v>
      </c>
      <c r="BG123" s="22">
        <f t="shared" si="61"/>
        <v>1.590873277977066E-12</v>
      </c>
      <c r="BH123" s="62">
        <f t="shared" si="62"/>
        <v>293.33333333333491</v>
      </c>
      <c r="BI123" s="62">
        <f ca="1">AVERAGE(OFFSET($BH$3,0,0,'Données projet'!$E$11+1,1))-AVERAGE(OFFSET($H$3,0,0,'Données projet'!$E$11+1,1))</f>
        <v>259.74478933784656</v>
      </c>
      <c r="BJ123" s="62">
        <f t="shared" si="92"/>
        <v>223.74038909289646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283</v>
      </c>
      <c r="BW123" s="13">
        <f>VLOOKUP(A123,'Données projet'!$A$113:$I$133,9,0)</f>
        <v>3.6</v>
      </c>
      <c r="BX123" s="13">
        <f t="array" ref="BX123">INDEX(BW:BW,MIN(IF(ISNUMBER(BW123:BW319),ROW(BW123:BW319),"")))</f>
        <v>3.6</v>
      </c>
      <c r="BY123" s="13">
        <f>IF('Données projet'!$A$114&gt;35,BY122+BX123-CG122,IF(A123&lt;'Données projet'!$A$114,$BV$205^A123,IF(A123='Données projet'!$A$114,'Données projet'!$B$114,BY122+BX123-CG122)))</f>
        <v>283.00000000000017</v>
      </c>
      <c r="BZ123" s="14">
        <f>BY123*VLOOKUP('Données projet'!$B$12,Paramètres!$A$1:$I$89,3,0)*VLOOKUP('Données projet'!$B$12,Paramètres!$A$1:$I$89,5,0)</f>
        <v>286.96200000000022</v>
      </c>
      <c r="CA123" s="14">
        <f t="shared" si="93"/>
        <v>68.436169981717924</v>
      </c>
      <c r="CB123" s="22">
        <f t="shared" si="64"/>
        <v>618.98514605149228</v>
      </c>
      <c r="CC123" s="62">
        <f t="shared" si="65"/>
        <v>912.31847938482565</v>
      </c>
      <c r="CD123" s="62">
        <f ca="1">AVERAGE(OFFSET($CC$3,0,0,'Données projet'!$E$12+1,1))-AVERAGE(OFFSET($H$3,0,0,'Données projet'!$E$12+1,1))</f>
        <v>411.75894069172358</v>
      </c>
      <c r="CE123" s="62">
        <f t="shared" si="94"/>
        <v>256.4377087753457</v>
      </c>
      <c r="CF123" s="16">
        <f>IF(ISNA(VLOOKUP(A123,'Données projet'!$A$113:$I$133,3,0)),0,VLOOKUP(A123,'Données projet'!$A$113:$I$133,3,0))</f>
        <v>20</v>
      </c>
      <c r="CG123" s="16">
        <f>IF(ISNA(VLOOKUP(A123,'Données projet'!$A$113:$I$133,4,0)),0,VLOOKUP(A123,'Données projet'!$A$113:$I$133,4,0))</f>
        <v>283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0.24944380803864633</v>
      </c>
      <c r="CM123" s="23">
        <f>EXP(-LN(2)/2)*CM122+(1-EXP(-LN(2)/2))/(LN(2)/2)*CG123*CJ123*VLOOKUP('Données projet'!$B$12,Paramètres!$A$1:$I$89,3,0)*0.475*44/12</f>
        <v>3.9972358887681016E-13</v>
      </c>
      <c r="CN123" s="24">
        <f t="shared" si="66"/>
        <v>0.24944380803904606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1.7053025658242404E-13</v>
      </c>
      <c r="O124" s="14">
        <f>N124*VLOOKUP('Données projet'!$B$9,Paramètres!$A$1:$I$89,3,0)*VLOOKUP('Données projet'!$B$9,Paramètres!$A$1:$I$89,5,0)</f>
        <v>1.5429577615577727E-13</v>
      </c>
      <c r="P124" s="14">
        <f t="shared" si="87"/>
        <v>2.2038482767263348E-12</v>
      </c>
      <c r="Q124" s="22">
        <f t="shared" si="107"/>
        <v>4.107100892103012E-12</v>
      </c>
      <c r="R124" s="62">
        <f t="shared" si="55"/>
        <v>293.33333333333741</v>
      </c>
      <c r="S124" s="62">
        <f ca="1">AVERAGE(OFFSET($R$3,0,0,'Données projet'!$E$9+1,1))-AVERAGE(OFFSET($H$3,0,0,'Données projet'!$E$9+1,1))</f>
        <v>371.75294069149942</v>
      </c>
      <c r="T124" s="62">
        <f t="shared" si="88"/>
        <v>233.32640143610547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0.21649414971428738</v>
      </c>
      <c r="AB124" s="23">
        <f>EXP(-LN(2)/2)*AB123+(1-EXP(-LN(2)/2))/(LN(2)/2)*V124*Y124*VLOOKUP('Données projet'!$B$9,Paramètres!$A$1:$I$89,3,0)*0.475*44/12</f>
        <v>2.522083245709374E-13</v>
      </c>
      <c r="AC124" s="24">
        <f t="shared" si="57"/>
        <v>0.21649414971453959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1.7053025658242404E-13</v>
      </c>
      <c r="AJ124" s="14">
        <f>AI124*VLOOKUP('Données projet'!$B$10,Paramètres!$A$1:$I$89,3,0)*VLOOKUP('Données projet'!$B$10,Paramètres!$A$1:$I$89,5,0)</f>
        <v>1.4365468814503402E-13</v>
      </c>
      <c r="AK124" s="14">
        <f t="shared" si="89"/>
        <v>2.0689969164106979E-12</v>
      </c>
      <c r="AL124" s="22">
        <f t="shared" si="58"/>
        <v>3.853701544601233E-12</v>
      </c>
      <c r="AM124" s="62">
        <f t="shared" si="59"/>
        <v>293.33333333333718</v>
      </c>
      <c r="AN124" s="62">
        <f ca="1">AVERAGE(OFFSET($AM$3,0,0,'Données projet'!$E$10+1,1))-AVERAGE(OFFSET($H$3,0,0,'Données projet'!$E$10+1,1))</f>
        <v>348.84749506659495</v>
      </c>
      <c r="AO124" s="62">
        <f t="shared" si="90"/>
        <v>220.09202639602199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0.20156351869950878</v>
      </c>
      <c r="AW124" s="23">
        <f>EXP(-LN(2)/2)*AW123+(1-EXP(-LN(2)/2))/(LN(2)/2)*AQ124*AT124*VLOOKUP('Données projet'!$B$10,Paramètres!$A$1:$I$89,3,0)*0.475*44/12</f>
        <v>2.3481464701432111E-13</v>
      </c>
      <c r="AX124" s="23">
        <f t="shared" si="60"/>
        <v>0.20156351869974359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5.3205440053716299E-14</v>
      </c>
      <c r="BF124" s="14">
        <f t="shared" si="91"/>
        <v>8.602146238565607E-13</v>
      </c>
      <c r="BG124" s="22">
        <f t="shared" si="61"/>
        <v>1.590873277977066E-12</v>
      </c>
      <c r="BH124" s="62">
        <f t="shared" si="62"/>
        <v>293.33333333333491</v>
      </c>
      <c r="BI124" s="62">
        <f ca="1">AVERAGE(OFFSET($BH$3,0,0,'Données projet'!$E$11+1,1))-AVERAGE(OFFSET($H$3,0,0,'Données projet'!$E$11+1,1))</f>
        <v>259.74478933784656</v>
      </c>
      <c r="BJ124" s="62">
        <f t="shared" si="92"/>
        <v>223.74038909289646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1.7053025658242404E-13</v>
      </c>
      <c r="BZ124" s="14">
        <f>BY124*VLOOKUP('Données projet'!$B$12,Paramètres!$A$1:$I$89,3,0)*VLOOKUP('Données projet'!$B$12,Paramètres!$A$1:$I$89,5,0)</f>
        <v>1.72917680174578E-13</v>
      </c>
      <c r="CA124" s="14">
        <f t="shared" si="93"/>
        <v>2.4372886112056825E-12</v>
      </c>
      <c r="CB124" s="22">
        <f t="shared" si="64"/>
        <v>4.5461092908206203E-12</v>
      </c>
      <c r="CC124" s="62">
        <f t="shared" si="65"/>
        <v>293.33333333333786</v>
      </c>
      <c r="CD124" s="62">
        <f ca="1">AVERAGE(OFFSET($CC$3,0,0,'Données projet'!$E$12+1,1))-AVERAGE(OFFSET($H$3,0,0,'Données projet'!$E$12+1,1))</f>
        <v>411.75894069172358</v>
      </c>
      <c r="CE124" s="62">
        <f t="shared" si="94"/>
        <v>256.4377087753457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0.24262275399014979</v>
      </c>
      <c r="CM124" s="23">
        <f>EXP(-LN(2)/2)*CM123+(1-EXP(-LN(2)/2))/(LN(2)/2)*CG124*CJ124*VLOOKUP('Données projet'!$B$12,Paramètres!$A$1:$I$89,3,0)*0.475*44/12</f>
        <v>2.8264726029501608E-13</v>
      </c>
      <c r="CN124" s="24">
        <f t="shared" si="66"/>
        <v>0.24262275399043243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1.7053025658242404E-13</v>
      </c>
      <c r="O125" s="14">
        <f>N125*VLOOKUP('Données projet'!$B$9,Paramètres!$A$1:$I$89,3,0)*VLOOKUP('Données projet'!$B$9,Paramètres!$A$1:$I$89,5,0)</f>
        <v>1.5429577615577727E-13</v>
      </c>
      <c r="P125" s="14">
        <f t="shared" si="87"/>
        <v>2.2038482767263348E-12</v>
      </c>
      <c r="Q125" s="22">
        <f t="shared" si="107"/>
        <v>4.107100892103012E-12</v>
      </c>
      <c r="R125" s="62">
        <f t="shared" si="55"/>
        <v>293.33333333333741</v>
      </c>
      <c r="S125" s="62">
        <f ca="1">AVERAGE(OFFSET($R$3,0,0,'Données projet'!$E$9+1,1))-AVERAGE(OFFSET($H$3,0,0,'Données projet'!$E$9+1,1))</f>
        <v>371.75294069149942</v>
      </c>
      <c r="T125" s="62">
        <f t="shared" si="88"/>
        <v>233.32640143610547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0.21057410580541766</v>
      </c>
      <c r="AB125" s="23">
        <f>EXP(-LN(2)/2)*AB124+(1-EXP(-LN(2)/2))/(LN(2)/2)*V125*Y125*VLOOKUP('Données projet'!$B$9,Paramètres!$A$1:$I$89,3,0)*0.475*44/12</f>
        <v>1.7833821657580759E-13</v>
      </c>
      <c r="AC125" s="24">
        <f t="shared" si="57"/>
        <v>0.21057410580559599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1.7053025658242404E-13</v>
      </c>
      <c r="AJ125" s="14">
        <f>AI125*VLOOKUP('Données projet'!$B$10,Paramètres!$A$1:$I$89,3,0)*VLOOKUP('Données projet'!$B$10,Paramètres!$A$1:$I$89,5,0)</f>
        <v>1.4365468814503402E-13</v>
      </c>
      <c r="AK125" s="14">
        <f t="shared" si="89"/>
        <v>2.0689969164106979E-12</v>
      </c>
      <c r="AL125" s="22">
        <f t="shared" si="58"/>
        <v>3.853701544601233E-12</v>
      </c>
      <c r="AM125" s="62">
        <f t="shared" si="59"/>
        <v>293.33333333333718</v>
      </c>
      <c r="AN125" s="62">
        <f ca="1">AVERAGE(OFFSET($AM$3,0,0,'Données projet'!$E$10+1,1))-AVERAGE(OFFSET($H$3,0,0,'Données projet'!$E$10+1,1))</f>
        <v>348.84749506659495</v>
      </c>
      <c r="AO125" s="62">
        <f t="shared" si="90"/>
        <v>220.09202639602199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0.19605175368090594</v>
      </c>
      <c r="AW125" s="23">
        <f>EXP(-LN(2)/2)*AW124+(1-EXP(-LN(2)/2))/(LN(2)/2)*AQ125*AT125*VLOOKUP('Données projet'!$B$10,Paramètres!$A$1:$I$89,3,0)*0.475*44/12</f>
        <v>1.6603902922575196E-13</v>
      </c>
      <c r="AX125" s="23">
        <f t="shared" si="60"/>
        <v>0.19605175368107197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5.3205440053716299E-14</v>
      </c>
      <c r="BF125" s="14">
        <f t="shared" si="91"/>
        <v>8.602146238565607E-13</v>
      </c>
      <c r="BG125" s="22">
        <f t="shared" si="61"/>
        <v>1.590873277977066E-12</v>
      </c>
      <c r="BH125" s="62">
        <f t="shared" si="62"/>
        <v>293.33333333333491</v>
      </c>
      <c r="BI125" s="62">
        <f ca="1">AVERAGE(OFFSET($BH$3,0,0,'Données projet'!$E$11+1,1))-AVERAGE(OFFSET($H$3,0,0,'Données projet'!$E$11+1,1))</f>
        <v>259.74478933784656</v>
      </c>
      <c r="BJ125" s="62">
        <f t="shared" si="92"/>
        <v>223.74038909289646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1.7053025658242404E-13</v>
      </c>
      <c r="BZ125" s="14">
        <f>BY125*VLOOKUP('Données projet'!$B$12,Paramètres!$A$1:$I$89,3,0)*VLOOKUP('Données projet'!$B$12,Paramètres!$A$1:$I$89,5,0)</f>
        <v>1.72917680174578E-13</v>
      </c>
      <c r="CA125" s="14">
        <f t="shared" si="93"/>
        <v>2.4372886112056825E-12</v>
      </c>
      <c r="CB125" s="22">
        <f t="shared" si="64"/>
        <v>4.5461092908206203E-12</v>
      </c>
      <c r="CC125" s="62">
        <f t="shared" si="65"/>
        <v>293.33333333333786</v>
      </c>
      <c r="CD125" s="62">
        <f ca="1">AVERAGE(OFFSET($CC$3,0,0,'Données projet'!$E$12+1,1))-AVERAGE(OFFSET($H$3,0,0,'Données projet'!$E$12+1,1))</f>
        <v>411.75894069172358</v>
      </c>
      <c r="CE125" s="62">
        <f t="shared" si="94"/>
        <v>256.4377087753457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0.23598822202331304</v>
      </c>
      <c r="CM125" s="23">
        <f>EXP(-LN(2)/2)*CM124+(1-EXP(-LN(2)/2))/(LN(2)/2)*CG125*CJ125*VLOOKUP('Données projet'!$B$12,Paramètres!$A$1:$I$89,3,0)*0.475*44/12</f>
        <v>1.9986179443840508E-13</v>
      </c>
      <c r="CN125" s="24">
        <f t="shared" si="66"/>
        <v>0.23598822202351291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1.7053025658242404E-13</v>
      </c>
      <c r="O126" s="14">
        <f>N126*VLOOKUP('Données projet'!$B$9,Paramètres!$A$1:$I$89,3,0)*VLOOKUP('Données projet'!$B$9,Paramètres!$A$1:$I$89,5,0)</f>
        <v>1.5429577615577727E-13</v>
      </c>
      <c r="P126" s="14">
        <f t="shared" si="87"/>
        <v>2.2038482767263348E-12</v>
      </c>
      <c r="Q126" s="22">
        <f t="shared" si="107"/>
        <v>4.107100892103012E-12</v>
      </c>
      <c r="R126" s="62">
        <f t="shared" si="55"/>
        <v>293.33333333333741</v>
      </c>
      <c r="S126" s="62">
        <f ca="1">AVERAGE(OFFSET($R$3,0,0,'Données projet'!$E$9+1,1))-AVERAGE(OFFSET($H$3,0,0,'Données projet'!$E$9+1,1))</f>
        <v>371.75294069149942</v>
      </c>
      <c r="T126" s="62">
        <f t="shared" si="88"/>
        <v>233.32640143610547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0.20481594580855755</v>
      </c>
      <c r="AB126" s="23">
        <f>EXP(-LN(2)/2)*AB125+(1-EXP(-LN(2)/2))/(LN(2)/2)*V126*Y126*VLOOKUP('Données projet'!$B$9,Paramètres!$A$1:$I$89,3,0)*0.475*44/12</f>
        <v>1.261041622854687E-13</v>
      </c>
      <c r="AC126" s="24">
        <f t="shared" si="57"/>
        <v>0.20481594580868365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1.7053025658242404E-13</v>
      </c>
      <c r="AJ126" s="14">
        <f>AI126*VLOOKUP('Données projet'!$B$10,Paramètres!$A$1:$I$89,3,0)*VLOOKUP('Données projet'!$B$10,Paramètres!$A$1:$I$89,5,0)</f>
        <v>1.4365468814503402E-13</v>
      </c>
      <c r="AK126" s="14">
        <f t="shared" si="89"/>
        <v>2.0689969164106979E-12</v>
      </c>
      <c r="AL126" s="22">
        <f t="shared" si="58"/>
        <v>3.853701544601233E-12</v>
      </c>
      <c r="AM126" s="62">
        <f t="shared" si="59"/>
        <v>293.33333333333718</v>
      </c>
      <c r="AN126" s="62">
        <f ca="1">AVERAGE(OFFSET($AM$3,0,0,'Données projet'!$E$10+1,1))-AVERAGE(OFFSET($H$3,0,0,'Données projet'!$E$10+1,1))</f>
        <v>348.84749506659495</v>
      </c>
      <c r="AO126" s="62">
        <f t="shared" si="90"/>
        <v>220.09202639602199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0.19069070816658792</v>
      </c>
      <c r="AW126" s="23">
        <f>EXP(-LN(2)/2)*AW125+(1-EXP(-LN(2)/2))/(LN(2)/2)*AQ126*AT126*VLOOKUP('Données projet'!$B$10,Paramètres!$A$1:$I$89,3,0)*0.475*44/12</f>
        <v>1.1740732350716055E-13</v>
      </c>
      <c r="AX126" s="23">
        <f t="shared" si="60"/>
        <v>0.19069070816670533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5.3205440053716299E-14</v>
      </c>
      <c r="BF126" s="14">
        <f t="shared" si="91"/>
        <v>8.602146238565607E-13</v>
      </c>
      <c r="BG126" s="22">
        <f t="shared" si="61"/>
        <v>1.590873277977066E-12</v>
      </c>
      <c r="BH126" s="62">
        <f t="shared" si="62"/>
        <v>293.33333333333491</v>
      </c>
      <c r="BI126" s="62">
        <f ca="1">AVERAGE(OFFSET($BH$3,0,0,'Données projet'!$E$11+1,1))-AVERAGE(OFFSET($H$3,0,0,'Données projet'!$E$11+1,1))</f>
        <v>259.74478933784656</v>
      </c>
      <c r="BJ126" s="62">
        <f t="shared" si="92"/>
        <v>223.74038909289646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1.7053025658242404E-13</v>
      </c>
      <c r="BZ126" s="14">
        <f>BY126*VLOOKUP('Données projet'!$B$12,Paramètres!$A$1:$I$89,3,0)*VLOOKUP('Données projet'!$B$12,Paramètres!$A$1:$I$89,5,0)</f>
        <v>1.72917680174578E-13</v>
      </c>
      <c r="CA126" s="14">
        <f t="shared" si="93"/>
        <v>2.4372886112056825E-12</v>
      </c>
      <c r="CB126" s="22">
        <f t="shared" si="64"/>
        <v>4.5461092908206203E-12</v>
      </c>
      <c r="CC126" s="62">
        <f t="shared" si="65"/>
        <v>293.33333333333786</v>
      </c>
      <c r="CD126" s="62">
        <f ca="1">AVERAGE(OFFSET($CC$3,0,0,'Données projet'!$E$12+1,1))-AVERAGE(OFFSET($H$3,0,0,'Données projet'!$E$12+1,1))</f>
        <v>411.75894069172358</v>
      </c>
      <c r="CE126" s="62">
        <f t="shared" si="94"/>
        <v>256.4377087753457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0.2295351116820043</v>
      </c>
      <c r="CM126" s="23">
        <f>EXP(-LN(2)/2)*CM125+(1-EXP(-LN(2)/2))/(LN(2)/2)*CG126*CJ126*VLOOKUP('Données projet'!$B$12,Paramètres!$A$1:$I$89,3,0)*0.475*44/12</f>
        <v>1.4132363014750804E-13</v>
      </c>
      <c r="CN126" s="24">
        <f t="shared" si="66"/>
        <v>0.22953511168214563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1.7053025658242404E-13</v>
      </c>
      <c r="O127" s="14">
        <f>N127*VLOOKUP('Données projet'!$B$9,Paramètres!$A$1:$I$89,3,0)*VLOOKUP('Données projet'!$B$9,Paramètres!$A$1:$I$89,5,0)</f>
        <v>1.5429577615577727E-13</v>
      </c>
      <c r="P127" s="14">
        <f t="shared" si="87"/>
        <v>2.2038482767263348E-12</v>
      </c>
      <c r="Q127" s="22">
        <f t="shared" si="107"/>
        <v>4.107100892103012E-12</v>
      </c>
      <c r="R127" s="62">
        <f t="shared" si="55"/>
        <v>293.33333333333741</v>
      </c>
      <c r="S127" s="62">
        <f ca="1">AVERAGE(OFFSET($R$3,0,0,'Données projet'!$E$9+1,1))-AVERAGE(OFFSET($H$3,0,0,'Données projet'!$E$9+1,1))</f>
        <v>371.75294069149942</v>
      </c>
      <c r="T127" s="62">
        <f t="shared" si="88"/>
        <v>233.32640143610547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0.19921524299962007</v>
      </c>
      <c r="AB127" s="23">
        <f>EXP(-LN(2)/2)*AB126+(1-EXP(-LN(2)/2))/(LN(2)/2)*V127*Y127*VLOOKUP('Données projet'!$B$9,Paramètres!$A$1:$I$89,3,0)*0.475*44/12</f>
        <v>8.9169108287903796E-14</v>
      </c>
      <c r="AC127" s="24">
        <f t="shared" si="57"/>
        <v>0.19921524299970925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1.7053025658242404E-13</v>
      </c>
      <c r="AJ127" s="14">
        <f>AI127*VLOOKUP('Données projet'!$B$10,Paramètres!$A$1:$I$89,3,0)*VLOOKUP('Données projet'!$B$10,Paramètres!$A$1:$I$89,5,0)</f>
        <v>1.4365468814503402E-13</v>
      </c>
      <c r="AK127" s="14">
        <f t="shared" si="89"/>
        <v>2.0689969164106979E-12</v>
      </c>
      <c r="AL127" s="22">
        <f t="shared" si="58"/>
        <v>3.853701544601233E-12</v>
      </c>
      <c r="AM127" s="62">
        <f t="shared" si="59"/>
        <v>293.33333333333718</v>
      </c>
      <c r="AN127" s="62">
        <f ca="1">AVERAGE(OFFSET($AM$3,0,0,'Données projet'!$E$10+1,1))-AVERAGE(OFFSET($H$3,0,0,'Données projet'!$E$10+1,1))</f>
        <v>348.84749506659495</v>
      </c>
      <c r="AO127" s="62">
        <f t="shared" si="90"/>
        <v>220.09202639602199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0.18547626072378406</v>
      </c>
      <c r="AW127" s="23">
        <f>EXP(-LN(2)/2)*AW126+(1-EXP(-LN(2)/2))/(LN(2)/2)*AQ127*AT127*VLOOKUP('Données projet'!$B$10,Paramètres!$A$1:$I$89,3,0)*0.475*44/12</f>
        <v>8.3019514612875978E-14</v>
      </c>
      <c r="AX127" s="23">
        <f t="shared" si="60"/>
        <v>0.18547626072386708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5.3205440053716299E-14</v>
      </c>
      <c r="BF127" s="14">
        <f t="shared" si="91"/>
        <v>8.602146238565607E-13</v>
      </c>
      <c r="BG127" s="22">
        <f t="shared" si="61"/>
        <v>1.590873277977066E-12</v>
      </c>
      <c r="BH127" s="62">
        <f t="shared" si="62"/>
        <v>293.33333333333491</v>
      </c>
      <c r="BI127" s="62">
        <f ca="1">AVERAGE(OFFSET($BH$3,0,0,'Données projet'!$E$11+1,1))-AVERAGE(OFFSET($H$3,0,0,'Données projet'!$E$11+1,1))</f>
        <v>259.74478933784656</v>
      </c>
      <c r="BJ127" s="62">
        <f t="shared" si="92"/>
        <v>223.74038909289646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1.7053025658242404E-13</v>
      </c>
      <c r="BZ127" s="14">
        <f>BY127*VLOOKUP('Données projet'!$B$12,Paramètres!$A$1:$I$89,3,0)*VLOOKUP('Données projet'!$B$12,Paramètres!$A$1:$I$89,5,0)</f>
        <v>1.72917680174578E-13</v>
      </c>
      <c r="CA127" s="14">
        <f t="shared" si="93"/>
        <v>2.4372886112056825E-12</v>
      </c>
      <c r="CB127" s="22">
        <f t="shared" si="64"/>
        <v>4.5461092908206203E-12</v>
      </c>
      <c r="CC127" s="62">
        <f t="shared" si="65"/>
        <v>293.33333333333786</v>
      </c>
      <c r="CD127" s="62">
        <f ca="1">AVERAGE(OFFSET($CC$3,0,0,'Données projet'!$E$12+1,1))-AVERAGE(OFFSET($H$3,0,0,'Données projet'!$E$12+1,1))</f>
        <v>411.75894069172358</v>
      </c>
      <c r="CE127" s="62">
        <f t="shared" si="94"/>
        <v>256.4377087753457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0.22325846198233298</v>
      </c>
      <c r="CM127" s="23">
        <f>EXP(-LN(2)/2)*CM126+(1-EXP(-LN(2)/2))/(LN(2)/2)*CG127*CJ127*VLOOKUP('Données projet'!$B$12,Paramètres!$A$1:$I$89,3,0)*0.475*44/12</f>
        <v>9.993089721920254E-14</v>
      </c>
      <c r="CN127" s="24">
        <f t="shared" si="66"/>
        <v>0.2232584619824329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1.7053025658242404E-13</v>
      </c>
      <c r="O128" s="14">
        <f>N128*VLOOKUP('Données projet'!$B$9,Paramètres!$A$1:$I$89,3,0)*VLOOKUP('Données projet'!$B$9,Paramètres!$A$1:$I$89,5,0)</f>
        <v>1.5429577615577727E-13</v>
      </c>
      <c r="P128" s="14">
        <f t="shared" si="87"/>
        <v>2.2038482767263348E-12</v>
      </c>
      <c r="Q128" s="22">
        <f t="shared" si="107"/>
        <v>4.107100892103012E-12</v>
      </c>
      <c r="R128" s="62">
        <f t="shared" si="55"/>
        <v>293.33333333333741</v>
      </c>
      <c r="S128" s="62">
        <f ca="1">AVERAGE(OFFSET($R$3,0,0,'Données projet'!$E$9+1,1))-AVERAGE(OFFSET($H$3,0,0,'Données projet'!$E$9+1,1))</f>
        <v>371.75294069149942</v>
      </c>
      <c r="T128" s="62">
        <f t="shared" si="88"/>
        <v>233.32640143610547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0.19376769170352115</v>
      </c>
      <c r="AB128" s="23">
        <f>EXP(-LN(2)/2)*AB127+(1-EXP(-LN(2)/2))/(LN(2)/2)*V128*Y128*VLOOKUP('Données projet'!$B$9,Paramètres!$A$1:$I$89,3,0)*0.475*44/12</f>
        <v>6.3052081142734351E-14</v>
      </c>
      <c r="AC128" s="24">
        <f t="shared" si="57"/>
        <v>0.19376769170358421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1.7053025658242404E-13</v>
      </c>
      <c r="AJ128" s="14">
        <f>AI128*VLOOKUP('Données projet'!$B$10,Paramètres!$A$1:$I$89,3,0)*VLOOKUP('Données projet'!$B$10,Paramètres!$A$1:$I$89,5,0)</f>
        <v>1.4365468814503402E-13</v>
      </c>
      <c r="AK128" s="14">
        <f t="shared" si="89"/>
        <v>2.0689969164106979E-12</v>
      </c>
      <c r="AL128" s="22">
        <f t="shared" si="58"/>
        <v>3.853701544601233E-12</v>
      </c>
      <c r="AM128" s="62">
        <f t="shared" si="59"/>
        <v>293.33333333333718</v>
      </c>
      <c r="AN128" s="62">
        <f ca="1">AVERAGE(OFFSET($AM$3,0,0,'Données projet'!$E$10+1,1))-AVERAGE(OFFSET($H$3,0,0,'Données projet'!$E$10+1,1))</f>
        <v>348.84749506659495</v>
      </c>
      <c r="AO128" s="62">
        <f t="shared" si="90"/>
        <v>220.09202639602199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0.18040440262051954</v>
      </c>
      <c r="AW128" s="23">
        <f>EXP(-LN(2)/2)*AW127+(1-EXP(-LN(2)/2))/(LN(2)/2)*AQ128*AT128*VLOOKUP('Données projet'!$B$10,Paramètres!$A$1:$I$89,3,0)*0.475*44/12</f>
        <v>5.8703661753580277E-14</v>
      </c>
      <c r="AX128" s="23">
        <f t="shared" si="60"/>
        <v>0.18040440262057825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5.3205440053716299E-14</v>
      </c>
      <c r="BF128" s="14">
        <f t="shared" si="91"/>
        <v>8.602146238565607E-13</v>
      </c>
      <c r="BG128" s="22">
        <f t="shared" si="61"/>
        <v>1.590873277977066E-12</v>
      </c>
      <c r="BH128" s="62">
        <f t="shared" si="62"/>
        <v>293.33333333333491</v>
      </c>
      <c r="BI128" s="62">
        <f ca="1">AVERAGE(OFFSET($BH$3,0,0,'Données projet'!$E$11+1,1))-AVERAGE(OFFSET($H$3,0,0,'Données projet'!$E$11+1,1))</f>
        <v>259.74478933784656</v>
      </c>
      <c r="BJ128" s="62">
        <f t="shared" si="92"/>
        <v>223.74038909289646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1.7053025658242404E-13</v>
      </c>
      <c r="BZ128" s="14">
        <f>BY128*VLOOKUP('Données projet'!$B$12,Paramètres!$A$1:$I$89,3,0)*VLOOKUP('Données projet'!$B$12,Paramètres!$A$1:$I$89,5,0)</f>
        <v>1.72917680174578E-13</v>
      </c>
      <c r="CA128" s="14">
        <f t="shared" si="93"/>
        <v>2.4372886112056825E-12</v>
      </c>
      <c r="CB128" s="22">
        <f t="shared" si="64"/>
        <v>4.5461092908206203E-12</v>
      </c>
      <c r="CC128" s="62">
        <f t="shared" si="65"/>
        <v>293.33333333333786</v>
      </c>
      <c r="CD128" s="62">
        <f ca="1">AVERAGE(OFFSET($CC$3,0,0,'Données projet'!$E$12+1,1))-AVERAGE(OFFSET($H$3,0,0,'Données projet'!$E$12+1,1))</f>
        <v>411.75894069172358</v>
      </c>
      <c r="CE128" s="62">
        <f t="shared" si="94"/>
        <v>256.4377087753457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0.21715344759877384</v>
      </c>
      <c r="CM128" s="23">
        <f>EXP(-LN(2)/2)*CM127+(1-EXP(-LN(2)/2))/(LN(2)/2)*CG128*CJ128*VLOOKUP('Données projet'!$B$12,Paramètres!$A$1:$I$89,3,0)*0.475*44/12</f>
        <v>7.066181507375402E-14</v>
      </c>
      <c r="CN128" s="24">
        <f t="shared" si="66"/>
        <v>0.2171534475988445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1.7053025658242404E-13</v>
      </c>
      <c r="O129" s="14">
        <f>N129*VLOOKUP('Données projet'!$B$9,Paramètres!$A$1:$I$89,3,0)*VLOOKUP('Données projet'!$B$9,Paramètres!$A$1:$I$89,5,0)</f>
        <v>1.5429577615577727E-13</v>
      </c>
      <c r="P129" s="14">
        <f t="shared" si="87"/>
        <v>2.2038482767263348E-12</v>
      </c>
      <c r="Q129" s="22">
        <f t="shared" si="107"/>
        <v>4.107100892103012E-12</v>
      </c>
      <c r="R129" s="62">
        <f t="shared" si="55"/>
        <v>293.33333333333741</v>
      </c>
      <c r="S129" s="62">
        <f ca="1">AVERAGE(OFFSET($R$3,0,0,'Données projet'!$E$9+1,1))-AVERAGE(OFFSET($H$3,0,0,'Données projet'!$E$9+1,1))</f>
        <v>371.75294069149942</v>
      </c>
      <c r="T129" s="62">
        <f t="shared" si="88"/>
        <v>233.32640143610547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0.18846910398408831</v>
      </c>
      <c r="AB129" s="23">
        <f>EXP(-LN(2)/2)*AB128+(1-EXP(-LN(2)/2))/(LN(2)/2)*V129*Y129*VLOOKUP('Données projet'!$B$9,Paramètres!$A$1:$I$89,3,0)*0.475*44/12</f>
        <v>4.4584554143951898E-14</v>
      </c>
      <c r="AC129" s="24">
        <f t="shared" si="57"/>
        <v>0.18846910398413289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1.7053025658242404E-13</v>
      </c>
      <c r="AJ129" s="14">
        <f>AI129*VLOOKUP('Données projet'!$B$10,Paramètres!$A$1:$I$89,3,0)*VLOOKUP('Données projet'!$B$10,Paramètres!$A$1:$I$89,5,0)</f>
        <v>1.4365468814503402E-13</v>
      </c>
      <c r="AK129" s="14">
        <f t="shared" si="89"/>
        <v>2.0689969164106979E-12</v>
      </c>
      <c r="AL129" s="22">
        <f t="shared" si="58"/>
        <v>3.853701544601233E-12</v>
      </c>
      <c r="AM129" s="62">
        <f t="shared" si="59"/>
        <v>293.33333333333718</v>
      </c>
      <c r="AN129" s="62">
        <f ca="1">AVERAGE(OFFSET($AM$3,0,0,'Données projet'!$E$10+1,1))-AVERAGE(OFFSET($H$3,0,0,'Données projet'!$E$10+1,1))</f>
        <v>348.84749506659495</v>
      </c>
      <c r="AO129" s="62">
        <f t="shared" si="90"/>
        <v>220.09202639602199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0.17547123474380621</v>
      </c>
      <c r="AW129" s="23">
        <f>EXP(-LN(2)/2)*AW128+(1-EXP(-LN(2)/2))/(LN(2)/2)*AQ129*AT129*VLOOKUP('Données projet'!$B$10,Paramètres!$A$1:$I$89,3,0)*0.475*44/12</f>
        <v>4.1509757306437989E-14</v>
      </c>
      <c r="AX129" s="23">
        <f t="shared" si="60"/>
        <v>0.17547123474384774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5.3205440053716299E-14</v>
      </c>
      <c r="BF129" s="14">
        <f t="shared" si="91"/>
        <v>8.602146238565607E-13</v>
      </c>
      <c r="BG129" s="22">
        <f t="shared" si="61"/>
        <v>1.590873277977066E-12</v>
      </c>
      <c r="BH129" s="62">
        <f t="shared" si="62"/>
        <v>293.33333333333491</v>
      </c>
      <c r="BI129" s="62">
        <f ca="1">AVERAGE(OFFSET($BH$3,0,0,'Données projet'!$E$11+1,1))-AVERAGE(OFFSET($H$3,0,0,'Données projet'!$E$11+1,1))</f>
        <v>259.74478933784656</v>
      </c>
      <c r="BJ129" s="62">
        <f t="shared" si="92"/>
        <v>223.74038909289646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1.7053025658242404E-13</v>
      </c>
      <c r="BZ129" s="14">
        <f>BY129*VLOOKUP('Données projet'!$B$12,Paramètres!$A$1:$I$89,3,0)*VLOOKUP('Données projet'!$B$12,Paramètres!$A$1:$I$89,5,0)</f>
        <v>1.72917680174578E-13</v>
      </c>
      <c r="CA129" s="14">
        <f t="shared" si="93"/>
        <v>2.4372886112056825E-12</v>
      </c>
      <c r="CB129" s="22">
        <f t="shared" si="64"/>
        <v>4.5461092908206203E-12</v>
      </c>
      <c r="CC129" s="62">
        <f t="shared" si="65"/>
        <v>293.33333333333786</v>
      </c>
      <c r="CD129" s="62">
        <f ca="1">AVERAGE(OFFSET($CC$3,0,0,'Données projet'!$E$12+1,1))-AVERAGE(OFFSET($H$3,0,0,'Données projet'!$E$12+1,1))</f>
        <v>411.75894069172358</v>
      </c>
      <c r="CE129" s="62">
        <f t="shared" si="94"/>
        <v>256.4377087753457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0.21121537515458186</v>
      </c>
      <c r="CM129" s="23">
        <f>EXP(-LN(2)/2)*CM128+(1-EXP(-LN(2)/2))/(LN(2)/2)*CG129*CJ129*VLOOKUP('Données projet'!$B$12,Paramètres!$A$1:$I$89,3,0)*0.475*44/12</f>
        <v>4.996544860960127E-14</v>
      </c>
      <c r="CN129" s="24">
        <f t="shared" si="66"/>
        <v>0.21121537515463182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1.7053025658242404E-13</v>
      </c>
      <c r="O130" s="14">
        <f>N130*VLOOKUP('Données projet'!$B$9,Paramètres!$A$1:$I$89,3,0)*VLOOKUP('Données projet'!$B$9,Paramètres!$A$1:$I$89,5,0)</f>
        <v>1.5429577615577727E-13</v>
      </c>
      <c r="P130" s="14">
        <f t="shared" si="87"/>
        <v>2.2038482767263348E-12</v>
      </c>
      <c r="Q130" s="22">
        <f t="shared" si="107"/>
        <v>4.107100892103012E-12</v>
      </c>
      <c r="R130" s="62">
        <f t="shared" si="55"/>
        <v>293.33333333333741</v>
      </c>
      <c r="S130" s="62">
        <f ca="1">AVERAGE(OFFSET($R$3,0,0,'Données projet'!$E$9+1,1))-AVERAGE(OFFSET($H$3,0,0,'Données projet'!$E$9+1,1))</f>
        <v>371.75294069149942</v>
      </c>
      <c r="T130" s="62">
        <f t="shared" si="88"/>
        <v>233.32640143610547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0.18331540642448399</v>
      </c>
      <c r="AB130" s="23">
        <f>EXP(-LN(2)/2)*AB129+(1-EXP(-LN(2)/2))/(LN(2)/2)*V130*Y130*VLOOKUP('Données projet'!$B$9,Paramètres!$A$1:$I$89,3,0)*0.475*44/12</f>
        <v>3.1526040571367175E-14</v>
      </c>
      <c r="AC130" s="24">
        <f t="shared" si="57"/>
        <v>0.18331540642451552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1.7053025658242404E-13</v>
      </c>
      <c r="AJ130" s="14">
        <f>AI130*VLOOKUP('Données projet'!$B$10,Paramètres!$A$1:$I$89,3,0)*VLOOKUP('Données projet'!$B$10,Paramètres!$A$1:$I$89,5,0)</f>
        <v>1.4365468814503402E-13</v>
      </c>
      <c r="AK130" s="14">
        <f t="shared" si="89"/>
        <v>2.0689969164106979E-12</v>
      </c>
      <c r="AL130" s="22">
        <f t="shared" si="58"/>
        <v>3.853701544601233E-12</v>
      </c>
      <c r="AM130" s="62">
        <f t="shared" si="59"/>
        <v>293.33333333333718</v>
      </c>
      <c r="AN130" s="62">
        <f ca="1">AVERAGE(OFFSET($AM$3,0,0,'Données projet'!$E$10+1,1))-AVERAGE(OFFSET($H$3,0,0,'Données projet'!$E$10+1,1))</f>
        <v>348.84749506659495</v>
      </c>
      <c r="AO130" s="62">
        <f t="shared" si="90"/>
        <v>220.09202639602199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0.17067296460210565</v>
      </c>
      <c r="AW130" s="23">
        <f>EXP(-LN(2)/2)*AW129+(1-EXP(-LN(2)/2))/(LN(2)/2)*AQ130*AT130*VLOOKUP('Données projet'!$B$10,Paramètres!$A$1:$I$89,3,0)*0.475*44/12</f>
        <v>2.9351830876790139E-14</v>
      </c>
      <c r="AX130" s="23">
        <f t="shared" si="60"/>
        <v>0.17067296460213502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5.3205440053716299E-14</v>
      </c>
      <c r="BF130" s="14">
        <f t="shared" si="91"/>
        <v>8.602146238565607E-13</v>
      </c>
      <c r="BG130" s="22">
        <f t="shared" si="61"/>
        <v>1.590873277977066E-12</v>
      </c>
      <c r="BH130" s="62">
        <f t="shared" si="62"/>
        <v>293.33333333333491</v>
      </c>
      <c r="BI130" s="62">
        <f ca="1">AVERAGE(OFFSET($BH$3,0,0,'Données projet'!$E$11+1,1))-AVERAGE(OFFSET($H$3,0,0,'Données projet'!$E$11+1,1))</f>
        <v>259.74478933784656</v>
      </c>
      <c r="BJ130" s="62">
        <f t="shared" si="92"/>
        <v>223.74038909289646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1.7053025658242404E-13</v>
      </c>
      <c r="BZ130" s="14">
        <f>BY130*VLOOKUP('Données projet'!$B$12,Paramètres!$A$1:$I$89,3,0)*VLOOKUP('Données projet'!$B$12,Paramètres!$A$1:$I$89,5,0)</f>
        <v>1.72917680174578E-13</v>
      </c>
      <c r="CA130" s="14">
        <f t="shared" si="93"/>
        <v>2.4372886112056825E-12</v>
      </c>
      <c r="CB130" s="22">
        <f t="shared" si="64"/>
        <v>4.5461092908206203E-12</v>
      </c>
      <c r="CC130" s="62">
        <f t="shared" si="65"/>
        <v>293.33333333333786</v>
      </c>
      <c r="CD130" s="62">
        <f ca="1">AVERAGE(OFFSET($CC$3,0,0,'Données projet'!$E$12+1,1))-AVERAGE(OFFSET($H$3,0,0,'Données projet'!$E$12+1,1))</f>
        <v>411.75894069172358</v>
      </c>
      <c r="CE130" s="62">
        <f t="shared" si="94"/>
        <v>256.4377087753457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0.20543967961364598</v>
      </c>
      <c r="CM130" s="23">
        <f>EXP(-LN(2)/2)*CM129+(1-EXP(-LN(2)/2))/(LN(2)/2)*CG130*CJ130*VLOOKUP('Données projet'!$B$12,Paramètres!$A$1:$I$89,3,0)*0.475*44/12</f>
        <v>3.533090753687701E-14</v>
      </c>
      <c r="CN130" s="24">
        <f t="shared" si="66"/>
        <v>0.20543967961368131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1.7053025658242404E-13</v>
      </c>
      <c r="O131" s="14">
        <f>N131*VLOOKUP('Données projet'!$B$9,Paramètres!$A$1:$I$89,3,0)*VLOOKUP('Données projet'!$B$9,Paramètres!$A$1:$I$89,5,0)</f>
        <v>1.5429577615577727E-13</v>
      </c>
      <c r="P131" s="14">
        <f t="shared" si="87"/>
        <v>2.2038482767263348E-12</v>
      </c>
      <c r="Q131" s="22">
        <f t="shared" ref="Q131:Q153" si="108">(O131+P131)*0.475*44/12</f>
        <v>4.107100892103012E-12</v>
      </c>
      <c r="R131" s="62">
        <f t="shared" ref="R131:R194" si="109">Q131+(I131+J131)*44/12</f>
        <v>293.33333333333741</v>
      </c>
      <c r="S131" s="62">
        <f ca="1">AVERAGE(OFFSET($R$3,0,0,'Données projet'!$E$9+1,1))-AVERAGE(OFFSET($H$3,0,0,'Données projet'!$E$9+1,1))</f>
        <v>371.75294069149942</v>
      </c>
      <c r="T131" s="62">
        <f t="shared" si="88"/>
        <v>233.32640143610547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0.17830263699566823</v>
      </c>
      <c r="AB131" s="23">
        <f>EXP(-LN(2)/2)*AB130+(1-EXP(-LN(2)/2))/(LN(2)/2)*V131*Y131*VLOOKUP('Données projet'!$B$9,Paramètres!$A$1:$I$89,3,0)*0.475*44/12</f>
        <v>2.2292277071975949E-14</v>
      </c>
      <c r="AC131" s="24">
        <f t="shared" si="57"/>
        <v>0.17830263699569052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1.7053025658242404E-13</v>
      </c>
      <c r="AJ131" s="14">
        <f>AI131*VLOOKUP('Données projet'!$B$10,Paramètres!$A$1:$I$89,3,0)*VLOOKUP('Données projet'!$B$10,Paramètres!$A$1:$I$89,5,0)</f>
        <v>1.4365468814503402E-13</v>
      </c>
      <c r="AK131" s="14">
        <f t="shared" si="89"/>
        <v>2.0689969164106979E-12</v>
      </c>
      <c r="AL131" s="22">
        <f t="shared" si="58"/>
        <v>3.853701544601233E-12</v>
      </c>
      <c r="AM131" s="62">
        <f t="shared" si="59"/>
        <v>293.33333333333718</v>
      </c>
      <c r="AN131" s="62">
        <f ca="1">AVERAGE(OFFSET($AM$3,0,0,'Données projet'!$E$10+1,1))-AVERAGE(OFFSET($H$3,0,0,'Données projet'!$E$10+1,1))</f>
        <v>348.84749506659495</v>
      </c>
      <c r="AO131" s="62">
        <f t="shared" si="90"/>
        <v>220.09202639602199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0.16600590340975993</v>
      </c>
      <c r="AW131" s="23">
        <f>EXP(-LN(2)/2)*AW130+(1-EXP(-LN(2)/2))/(LN(2)/2)*AQ131*AT131*VLOOKUP('Données projet'!$B$10,Paramètres!$A$1:$I$89,3,0)*0.475*44/12</f>
        <v>2.0754878653218995E-14</v>
      </c>
      <c r="AX131" s="23">
        <f t="shared" si="60"/>
        <v>0.16600590340978069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5.3205440053716299E-14</v>
      </c>
      <c r="BF131" s="14">
        <f t="shared" si="91"/>
        <v>8.602146238565607E-13</v>
      </c>
      <c r="BG131" s="22">
        <f t="shared" si="61"/>
        <v>1.590873277977066E-12</v>
      </c>
      <c r="BH131" s="62">
        <f t="shared" si="62"/>
        <v>293.33333333333491</v>
      </c>
      <c r="BI131" s="62">
        <f ca="1">AVERAGE(OFFSET($BH$3,0,0,'Données projet'!$E$11+1,1))-AVERAGE(OFFSET($H$3,0,0,'Données projet'!$E$11+1,1))</f>
        <v>259.74478933784656</v>
      </c>
      <c r="BJ131" s="62">
        <f t="shared" si="92"/>
        <v>223.74038909289646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1.7053025658242404E-13</v>
      </c>
      <c r="BZ131" s="14">
        <f>BY131*VLOOKUP('Données projet'!$B$12,Paramètres!$A$1:$I$89,3,0)*VLOOKUP('Données projet'!$B$12,Paramètres!$A$1:$I$89,5,0)</f>
        <v>1.72917680174578E-13</v>
      </c>
      <c r="CA131" s="14">
        <f t="shared" si="93"/>
        <v>2.4372886112056825E-12</v>
      </c>
      <c r="CB131" s="22">
        <f t="shared" si="64"/>
        <v>4.5461092908206203E-12</v>
      </c>
      <c r="CC131" s="62">
        <f t="shared" si="65"/>
        <v>293.33333333333786</v>
      </c>
      <c r="CD131" s="62">
        <f ca="1">AVERAGE(OFFSET($CC$3,0,0,'Données projet'!$E$12+1,1))-AVERAGE(OFFSET($H$3,0,0,'Données projet'!$E$12+1,1))</f>
        <v>411.75894069172358</v>
      </c>
      <c r="CE131" s="62">
        <f t="shared" si="94"/>
        <v>256.4377087753457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0.19982192077100763</v>
      </c>
      <c r="CM131" s="23">
        <f>EXP(-LN(2)/2)*CM130+(1-EXP(-LN(2)/2))/(LN(2)/2)*CG131*CJ131*VLOOKUP('Données projet'!$B$12,Paramètres!$A$1:$I$89,3,0)*0.475*44/12</f>
        <v>2.4982724304800635E-14</v>
      </c>
      <c r="CN131" s="24">
        <f t="shared" si="66"/>
        <v>0.19982192077103261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1.7053025658242404E-13</v>
      </c>
      <c r="O132" s="14">
        <f>N132*VLOOKUP('Données projet'!$B$9,Paramètres!$A$1:$I$89,3,0)*VLOOKUP('Données projet'!$B$9,Paramètres!$A$1:$I$89,5,0)</f>
        <v>1.5429577615577727E-13</v>
      </c>
      <c r="P132" s="14">
        <f t="shared" si="87"/>
        <v>2.2038482767263348E-12</v>
      </c>
      <c r="Q132" s="22">
        <f t="shared" si="108"/>
        <v>4.107100892103012E-12</v>
      </c>
      <c r="R132" s="62">
        <f t="shared" si="109"/>
        <v>293.33333333333741</v>
      </c>
      <c r="S132" s="62">
        <f ca="1">AVERAGE(OFFSET($R$3,0,0,'Données projet'!$E$9+1,1))-AVERAGE(OFFSET($H$3,0,0,'Données projet'!$E$9+1,1))</f>
        <v>371.75294069149942</v>
      </c>
      <c r="T132" s="62">
        <f t="shared" si="88"/>
        <v>233.32640143610547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0.17342694201049352</v>
      </c>
      <c r="AB132" s="23">
        <f>EXP(-LN(2)/2)*AB131+(1-EXP(-LN(2)/2))/(LN(2)/2)*V132*Y132*VLOOKUP('Données projet'!$B$9,Paramètres!$A$1:$I$89,3,0)*0.475*44/12</f>
        <v>1.5763020285683588E-14</v>
      </c>
      <c r="AC132" s="24">
        <f t="shared" ref="AC132:AC153" si="111">SUM(Z132:AB132)</f>
        <v>0.17342694201050929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1.7053025658242404E-13</v>
      </c>
      <c r="AJ132" s="14">
        <f>AI132*VLOOKUP('Données projet'!$B$10,Paramètres!$A$1:$I$89,3,0)*VLOOKUP('Données projet'!$B$10,Paramètres!$A$1:$I$89,5,0)</f>
        <v>1.4365468814503402E-13</v>
      </c>
      <c r="AK132" s="14">
        <f t="shared" si="89"/>
        <v>2.0689969164106979E-12</v>
      </c>
      <c r="AL132" s="22">
        <f t="shared" ref="AL132:AL153" si="112">(AJ132+AK132)*0.475*44/12</f>
        <v>3.853701544601233E-12</v>
      </c>
      <c r="AM132" s="62">
        <f t="shared" ref="AM132:AM195" si="113">AL132+(AD132+AE132)*44/12</f>
        <v>293.33333333333718</v>
      </c>
      <c r="AN132" s="62">
        <f ca="1">AVERAGE(OFFSET($AM$3,0,0,'Données projet'!$E$10+1,1))-AVERAGE(OFFSET($H$3,0,0,'Données projet'!$E$10+1,1))</f>
        <v>348.84749506659495</v>
      </c>
      <c r="AO132" s="62">
        <f t="shared" si="90"/>
        <v>220.09202639602199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0.161466463251149</v>
      </c>
      <c r="AW132" s="23">
        <f>EXP(-LN(2)/2)*AW131+(1-EXP(-LN(2)/2))/(LN(2)/2)*AQ132*AT132*VLOOKUP('Données projet'!$B$10,Paramètres!$A$1:$I$89,3,0)*0.475*44/12</f>
        <v>1.4675915438395069E-14</v>
      </c>
      <c r="AX132" s="23">
        <f t="shared" ref="AX132:AX153" si="114">SUM(AU132:AW132)</f>
        <v>0.16146646325116368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5.3205440053716299E-14</v>
      </c>
      <c r="BF132" s="14">
        <f t="shared" si="91"/>
        <v>8.602146238565607E-13</v>
      </c>
      <c r="BG132" s="22">
        <f t="shared" ref="BG132:BG153" si="115">(BE132+BF132)*0.475*44/12</f>
        <v>1.590873277977066E-12</v>
      </c>
      <c r="BH132" s="62">
        <f t="shared" ref="BH132:BH195" si="116">BG132+(AY132+AZ132)*44/12</f>
        <v>293.33333333333491</v>
      </c>
      <c r="BI132" s="62">
        <f ca="1">AVERAGE(OFFSET($BH$3,0,0,'Données projet'!$E$11+1,1))-AVERAGE(OFFSET($H$3,0,0,'Données projet'!$E$11+1,1))</f>
        <v>259.74478933784656</v>
      </c>
      <c r="BJ132" s="62">
        <f t="shared" si="92"/>
        <v>223.74038909289646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1.7053025658242404E-13</v>
      </c>
      <c r="BZ132" s="14">
        <f>BY132*VLOOKUP('Données projet'!$B$12,Paramètres!$A$1:$I$89,3,0)*VLOOKUP('Données projet'!$B$12,Paramètres!$A$1:$I$89,5,0)</f>
        <v>1.72917680174578E-13</v>
      </c>
      <c r="CA132" s="14">
        <f t="shared" si="93"/>
        <v>2.4372886112056825E-12</v>
      </c>
      <c r="CB132" s="22">
        <f t="shared" ref="CB132:CB153" si="118">(BZ132+CA132)*0.475*44/12</f>
        <v>4.5461092908206203E-12</v>
      </c>
      <c r="CC132" s="62">
        <f t="shared" ref="CC132:CC195" si="119">CB132+(BT132+BU132)*44/12</f>
        <v>293.33333333333786</v>
      </c>
      <c r="CD132" s="62">
        <f ca="1">AVERAGE(OFFSET($CC$3,0,0,'Données projet'!$E$12+1,1))-AVERAGE(OFFSET($H$3,0,0,'Données projet'!$E$12+1,1))</f>
        <v>411.75894069172358</v>
      </c>
      <c r="CE132" s="62">
        <f t="shared" si="94"/>
        <v>256.4377087753457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0.19435777983934632</v>
      </c>
      <c r="CM132" s="23">
        <f>EXP(-LN(2)/2)*CM131+(1-EXP(-LN(2)/2))/(LN(2)/2)*CG132*CJ132*VLOOKUP('Données projet'!$B$12,Paramètres!$A$1:$I$89,3,0)*0.475*44/12</f>
        <v>1.7665453768438505E-14</v>
      </c>
      <c r="CN132" s="24">
        <f t="shared" ref="CN132:CN153" si="120">SUM(CK132:CM132)</f>
        <v>0.19435777983936398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1.7053025658242404E-13</v>
      </c>
      <c r="O133" s="14">
        <f>N133*VLOOKUP('Données projet'!$B$9,Paramètres!$A$1:$I$89,3,0)*VLOOKUP('Données projet'!$B$9,Paramètres!$A$1:$I$89,5,0)</f>
        <v>1.5429577615577727E-13</v>
      </c>
      <c r="P133" s="14">
        <f t="shared" ref="P133:P196" si="141">EXP(-1.0587+0.8836*LN(O133)+0.284)</f>
        <v>2.2038482767263348E-12</v>
      </c>
      <c r="Q133" s="22">
        <f t="shared" si="108"/>
        <v>4.107100892103012E-12</v>
      </c>
      <c r="R133" s="62">
        <f t="shared" si="109"/>
        <v>293.33333333333741</v>
      </c>
      <c r="S133" s="62">
        <f ca="1">AVERAGE(OFFSET($R$3,0,0,'Données projet'!$E$9+1,1))-AVERAGE(OFFSET($H$3,0,0,'Données projet'!$E$9+1,1))</f>
        <v>371.75294069149942</v>
      </c>
      <c r="T133" s="62">
        <f t="shared" ref="T133:T196" si="142">$T$3</f>
        <v>233.32640143610547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0.16868457316109006</v>
      </c>
      <c r="AB133" s="23">
        <f>EXP(-LN(2)/2)*AB132+(1-EXP(-LN(2)/2))/(LN(2)/2)*V133*Y133*VLOOKUP('Données projet'!$B$9,Paramètres!$A$1:$I$89,3,0)*0.475*44/12</f>
        <v>1.1146138535987975E-14</v>
      </c>
      <c r="AC133" s="24">
        <f t="shared" si="111"/>
        <v>0.16868457316110122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1.7053025658242404E-13</v>
      </c>
      <c r="AJ133" s="14">
        <f>AI133*VLOOKUP('Données projet'!$B$10,Paramètres!$A$1:$I$89,3,0)*VLOOKUP('Données projet'!$B$10,Paramètres!$A$1:$I$89,5,0)</f>
        <v>1.4365468814503402E-13</v>
      </c>
      <c r="AK133" s="14">
        <f t="shared" ref="AK133:AK153" si="143">EXP(-1.0587+0.8836*LN(AJ133)+0.284)</f>
        <v>2.0689969164106979E-12</v>
      </c>
      <c r="AL133" s="22">
        <f t="shared" si="112"/>
        <v>3.853701544601233E-12</v>
      </c>
      <c r="AM133" s="62">
        <f t="shared" si="113"/>
        <v>293.33333333333718</v>
      </c>
      <c r="AN133" s="62">
        <f ca="1">AVERAGE(OFFSET($AM$3,0,0,'Données projet'!$E$10+1,1))-AVERAGE(OFFSET($H$3,0,0,'Données projet'!$E$10+1,1))</f>
        <v>348.84749506659495</v>
      </c>
      <c r="AO133" s="62">
        <f t="shared" ref="AO133:AO196" si="144">$AO$3</f>
        <v>220.09202639602199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0.15705115432239405</v>
      </c>
      <c r="AW133" s="23">
        <f>EXP(-LN(2)/2)*AW132+(1-EXP(-LN(2)/2))/(LN(2)/2)*AQ133*AT133*VLOOKUP('Données projet'!$B$10,Paramètres!$A$1:$I$89,3,0)*0.475*44/12</f>
        <v>1.0377439326609497E-14</v>
      </c>
      <c r="AX133" s="23">
        <f t="shared" si="114"/>
        <v>0.15705115432240443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5.3205440053716299E-14</v>
      </c>
      <c r="BF133" s="14">
        <f t="shared" ref="BF133:BF153" si="145">EXP(-1.0587+0.8836*LN(BE133)+0.284)</f>
        <v>8.602146238565607E-13</v>
      </c>
      <c r="BG133" s="22">
        <f t="shared" si="115"/>
        <v>1.590873277977066E-12</v>
      </c>
      <c r="BH133" s="62">
        <f t="shared" si="116"/>
        <v>293.33333333333491</v>
      </c>
      <c r="BI133" s="62">
        <f ca="1">AVERAGE(OFFSET($BH$3,0,0,'Données projet'!$E$11+1,1))-AVERAGE(OFFSET($H$3,0,0,'Données projet'!$E$11+1,1))</f>
        <v>259.74478933784656</v>
      </c>
      <c r="BJ133" s="62">
        <f t="shared" ref="BJ133:BJ196" si="146">$BJ$3</f>
        <v>223.74038909289646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1.7053025658242404E-13</v>
      </c>
      <c r="BZ133" s="14">
        <f>BY133*VLOOKUP('Données projet'!$B$12,Paramètres!$A$1:$I$89,3,0)*VLOOKUP('Données projet'!$B$12,Paramètres!$A$1:$I$89,5,0)</f>
        <v>1.72917680174578E-13</v>
      </c>
      <c r="CA133" s="14">
        <f t="shared" ref="CA133:CA153" si="147">EXP(-1.0587+0.8836*LN(BZ133)+0.284)</f>
        <v>2.4372886112056825E-12</v>
      </c>
      <c r="CB133" s="22">
        <f t="shared" si="118"/>
        <v>4.5461092908206203E-12</v>
      </c>
      <c r="CC133" s="62">
        <f t="shared" si="119"/>
        <v>293.33333333333786</v>
      </c>
      <c r="CD133" s="62">
        <f ca="1">AVERAGE(OFFSET($CC$3,0,0,'Données projet'!$E$12+1,1))-AVERAGE(OFFSET($H$3,0,0,'Données projet'!$E$12+1,1))</f>
        <v>411.75894069172358</v>
      </c>
      <c r="CE133" s="62">
        <f t="shared" ref="CE133:CE196" si="148">$CE$3</f>
        <v>256.4377087753457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0.18904305612880798</v>
      </c>
      <c r="CM133" s="23">
        <f>EXP(-LN(2)/2)*CM132+(1-EXP(-LN(2)/2))/(LN(2)/2)*CG133*CJ133*VLOOKUP('Données projet'!$B$12,Paramètres!$A$1:$I$89,3,0)*0.475*44/12</f>
        <v>1.2491362152400317E-14</v>
      </c>
      <c r="CN133" s="24">
        <f t="shared" si="120"/>
        <v>0.18904305612882047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1.7053025658242404E-13</v>
      </c>
      <c r="O134" s="14">
        <f>N134*VLOOKUP('Données projet'!$B$9,Paramètres!$A$1:$I$89,3,0)*VLOOKUP('Données projet'!$B$9,Paramètres!$A$1:$I$89,5,0)</f>
        <v>1.5429577615577727E-13</v>
      </c>
      <c r="P134" s="14">
        <f t="shared" si="141"/>
        <v>2.2038482767263348E-12</v>
      </c>
      <c r="Q134" s="22">
        <f t="shared" si="108"/>
        <v>4.107100892103012E-12</v>
      </c>
      <c r="R134" s="62">
        <f t="shared" si="109"/>
        <v>293.33333333333741</v>
      </c>
      <c r="S134" s="62">
        <f ca="1">AVERAGE(OFFSET($R$3,0,0,'Données projet'!$E$9+1,1))-AVERAGE(OFFSET($H$3,0,0,'Données projet'!$E$9+1,1))</f>
        <v>371.75294069149942</v>
      </c>
      <c r="T134" s="62">
        <f t="shared" si="142"/>
        <v>233.32640143610547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0.16407188463726388</v>
      </c>
      <c r="AB134" s="23">
        <f>EXP(-LN(2)/2)*AB133+(1-EXP(-LN(2)/2))/(LN(2)/2)*V134*Y134*VLOOKUP('Données projet'!$B$9,Paramètres!$A$1:$I$89,3,0)*0.475*44/12</f>
        <v>7.8815101428417938E-15</v>
      </c>
      <c r="AC134" s="24">
        <f t="shared" si="111"/>
        <v>0.16407188463727176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1.7053025658242404E-13</v>
      </c>
      <c r="AJ134" s="14">
        <f>AI134*VLOOKUP('Données projet'!$B$10,Paramètres!$A$1:$I$89,3,0)*VLOOKUP('Données projet'!$B$10,Paramètres!$A$1:$I$89,5,0)</f>
        <v>1.4365468814503402E-13</v>
      </c>
      <c r="AK134" s="14">
        <f t="shared" si="143"/>
        <v>2.0689969164106979E-12</v>
      </c>
      <c r="AL134" s="22">
        <f t="shared" si="112"/>
        <v>3.853701544601233E-12</v>
      </c>
      <c r="AM134" s="62">
        <f t="shared" si="113"/>
        <v>293.33333333333718</v>
      </c>
      <c r="AN134" s="62">
        <f ca="1">AVERAGE(OFFSET($AM$3,0,0,'Données projet'!$E$10+1,1))-AVERAGE(OFFSET($H$3,0,0,'Données projet'!$E$10+1,1))</f>
        <v>348.84749506659495</v>
      </c>
      <c r="AO134" s="62">
        <f t="shared" si="144"/>
        <v>220.09202639602199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0.15275658224848693</v>
      </c>
      <c r="AW134" s="23">
        <f>EXP(-LN(2)/2)*AW133+(1-EXP(-LN(2)/2))/(LN(2)/2)*AQ134*AT134*VLOOKUP('Données projet'!$B$10,Paramètres!$A$1:$I$89,3,0)*0.475*44/12</f>
        <v>7.3379577191975346E-15</v>
      </c>
      <c r="AX134" s="23">
        <f t="shared" si="114"/>
        <v>0.15275658224849425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5.3205440053716299E-14</v>
      </c>
      <c r="BF134" s="14">
        <f t="shared" si="145"/>
        <v>8.602146238565607E-13</v>
      </c>
      <c r="BG134" s="22">
        <f t="shared" si="115"/>
        <v>1.590873277977066E-12</v>
      </c>
      <c r="BH134" s="62">
        <f t="shared" si="116"/>
        <v>293.33333333333491</v>
      </c>
      <c r="BI134" s="62">
        <f ca="1">AVERAGE(OFFSET($BH$3,0,0,'Données projet'!$E$11+1,1))-AVERAGE(OFFSET($H$3,0,0,'Données projet'!$E$11+1,1))</f>
        <v>259.74478933784656</v>
      </c>
      <c r="BJ134" s="62">
        <f t="shared" si="146"/>
        <v>223.74038909289646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1.7053025658242404E-13</v>
      </c>
      <c r="BZ134" s="14">
        <f>BY134*VLOOKUP('Données projet'!$B$12,Paramètres!$A$1:$I$89,3,0)*VLOOKUP('Données projet'!$B$12,Paramètres!$A$1:$I$89,5,0)</f>
        <v>1.72917680174578E-13</v>
      </c>
      <c r="CA134" s="14">
        <f t="shared" si="147"/>
        <v>2.4372886112056825E-12</v>
      </c>
      <c r="CB134" s="22">
        <f t="shared" si="118"/>
        <v>4.5461092908206203E-12</v>
      </c>
      <c r="CC134" s="62">
        <f t="shared" si="119"/>
        <v>293.33333333333786</v>
      </c>
      <c r="CD134" s="62">
        <f ca="1">AVERAGE(OFFSET($CC$3,0,0,'Données projet'!$E$12+1,1))-AVERAGE(OFFSET($H$3,0,0,'Données projet'!$E$12+1,1))</f>
        <v>411.75894069172358</v>
      </c>
      <c r="CE134" s="62">
        <f t="shared" si="148"/>
        <v>256.4377087753457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0.18387366381762346</v>
      </c>
      <c r="CM134" s="23">
        <f>EXP(-LN(2)/2)*CM133+(1-EXP(-LN(2)/2))/(LN(2)/2)*CG134*CJ134*VLOOKUP('Données projet'!$B$12,Paramètres!$A$1:$I$89,3,0)*0.475*44/12</f>
        <v>8.8327268842192526E-15</v>
      </c>
      <c r="CN134" s="24">
        <f t="shared" si="120"/>
        <v>0.18387366381763229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1.7053025658242404E-13</v>
      </c>
      <c r="O135" s="14">
        <f>N135*VLOOKUP('Données projet'!$B$9,Paramètres!$A$1:$I$89,3,0)*VLOOKUP('Données projet'!$B$9,Paramètres!$A$1:$I$89,5,0)</f>
        <v>1.5429577615577727E-13</v>
      </c>
      <c r="P135" s="14">
        <f t="shared" si="141"/>
        <v>2.2038482767263348E-12</v>
      </c>
      <c r="Q135" s="22">
        <f t="shared" si="108"/>
        <v>4.107100892103012E-12</v>
      </c>
      <c r="R135" s="62">
        <f t="shared" si="109"/>
        <v>293.33333333333741</v>
      </c>
      <c r="S135" s="62">
        <f ca="1">AVERAGE(OFFSET($R$3,0,0,'Données projet'!$E$9+1,1))-AVERAGE(OFFSET($H$3,0,0,'Données projet'!$E$9+1,1))</f>
        <v>371.75294069149942</v>
      </c>
      <c r="T135" s="62">
        <f t="shared" si="142"/>
        <v>233.32640143610547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0.15958533032369249</v>
      </c>
      <c r="AB135" s="23">
        <f>EXP(-LN(2)/2)*AB134+(1-EXP(-LN(2)/2))/(LN(2)/2)*V135*Y135*VLOOKUP('Données projet'!$B$9,Paramètres!$A$1:$I$89,3,0)*0.475*44/12</f>
        <v>5.5730692679939873E-15</v>
      </c>
      <c r="AC135" s="24">
        <f t="shared" si="111"/>
        <v>0.15958533032369807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1.7053025658242404E-13</v>
      </c>
      <c r="AJ135" s="14">
        <f>AI135*VLOOKUP('Données projet'!$B$10,Paramètres!$A$1:$I$89,3,0)*VLOOKUP('Données projet'!$B$10,Paramètres!$A$1:$I$89,5,0)</f>
        <v>1.4365468814503402E-13</v>
      </c>
      <c r="AK135" s="14">
        <f t="shared" si="143"/>
        <v>2.0689969164106979E-12</v>
      </c>
      <c r="AL135" s="22">
        <f t="shared" si="112"/>
        <v>3.853701544601233E-12</v>
      </c>
      <c r="AM135" s="62">
        <f t="shared" si="113"/>
        <v>293.33333333333718</v>
      </c>
      <c r="AN135" s="62">
        <f ca="1">AVERAGE(OFFSET($AM$3,0,0,'Données projet'!$E$10+1,1))-AVERAGE(OFFSET($H$3,0,0,'Données projet'!$E$10+1,1))</f>
        <v>348.84749506659495</v>
      </c>
      <c r="AO135" s="62">
        <f t="shared" si="144"/>
        <v>220.09202639602199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0.14857944547378252</v>
      </c>
      <c r="AW135" s="23">
        <f>EXP(-LN(2)/2)*AW134+(1-EXP(-LN(2)/2))/(LN(2)/2)*AQ135*AT135*VLOOKUP('Données projet'!$B$10,Paramètres!$A$1:$I$89,3,0)*0.475*44/12</f>
        <v>5.1887196633047487E-15</v>
      </c>
      <c r="AX135" s="23">
        <f t="shared" si="114"/>
        <v>0.14857944547378771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5.3205440053716299E-14</v>
      </c>
      <c r="BF135" s="14">
        <f t="shared" si="145"/>
        <v>8.602146238565607E-13</v>
      </c>
      <c r="BG135" s="22">
        <f t="shared" si="115"/>
        <v>1.590873277977066E-12</v>
      </c>
      <c r="BH135" s="62">
        <f t="shared" si="116"/>
        <v>293.33333333333491</v>
      </c>
      <c r="BI135" s="62">
        <f ca="1">AVERAGE(OFFSET($BH$3,0,0,'Données projet'!$E$11+1,1))-AVERAGE(OFFSET($H$3,0,0,'Données projet'!$E$11+1,1))</f>
        <v>259.74478933784656</v>
      </c>
      <c r="BJ135" s="62">
        <f t="shared" si="146"/>
        <v>223.74038909289646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1.7053025658242404E-13</v>
      </c>
      <c r="BZ135" s="14">
        <f>BY135*VLOOKUP('Données projet'!$B$12,Paramètres!$A$1:$I$89,3,0)*VLOOKUP('Données projet'!$B$12,Paramètres!$A$1:$I$89,5,0)</f>
        <v>1.72917680174578E-13</v>
      </c>
      <c r="CA135" s="14">
        <f t="shared" si="147"/>
        <v>2.4372886112056825E-12</v>
      </c>
      <c r="CB135" s="22">
        <f t="shared" si="118"/>
        <v>4.5461092908206203E-12</v>
      </c>
      <c r="CC135" s="62">
        <f t="shared" si="119"/>
        <v>293.33333333333786</v>
      </c>
      <c r="CD135" s="62">
        <f ca="1">AVERAGE(OFFSET($CC$3,0,0,'Données projet'!$E$12+1,1))-AVERAGE(OFFSET($H$3,0,0,'Données projet'!$E$12+1,1))</f>
        <v>411.75894069172358</v>
      </c>
      <c r="CE135" s="62">
        <f t="shared" si="148"/>
        <v>256.4377087753457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0.17884562881103483</v>
      </c>
      <c r="CM135" s="23">
        <f>EXP(-LN(2)/2)*CM134+(1-EXP(-LN(2)/2))/(LN(2)/2)*CG135*CJ135*VLOOKUP('Données projet'!$B$12,Paramètres!$A$1:$I$89,3,0)*0.475*44/12</f>
        <v>6.2456810762001587E-15</v>
      </c>
      <c r="CN135" s="24">
        <f t="shared" si="120"/>
        <v>0.17884562881104107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1.7053025658242404E-13</v>
      </c>
      <c r="O136" s="14">
        <f>N136*VLOOKUP('Données projet'!$B$9,Paramètres!$A$1:$I$89,3,0)*VLOOKUP('Données projet'!$B$9,Paramètres!$A$1:$I$89,5,0)</f>
        <v>1.5429577615577727E-13</v>
      </c>
      <c r="P136" s="14">
        <f t="shared" si="141"/>
        <v>2.2038482767263348E-12</v>
      </c>
      <c r="Q136" s="22">
        <f t="shared" si="108"/>
        <v>4.107100892103012E-12</v>
      </c>
      <c r="R136" s="62">
        <f t="shared" si="109"/>
        <v>293.33333333333741</v>
      </c>
      <c r="S136" s="62">
        <f ca="1">AVERAGE(OFFSET($R$3,0,0,'Données projet'!$E$9+1,1))-AVERAGE(OFFSET($H$3,0,0,'Données projet'!$E$9+1,1))</f>
        <v>371.75294069149942</v>
      </c>
      <c r="T136" s="62">
        <f t="shared" si="142"/>
        <v>233.32640143610547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0.15522146107376333</v>
      </c>
      <c r="AB136" s="23">
        <f>EXP(-LN(2)/2)*AB135+(1-EXP(-LN(2)/2))/(LN(2)/2)*V136*Y136*VLOOKUP('Données projet'!$B$9,Paramètres!$A$1:$I$89,3,0)*0.475*44/12</f>
        <v>3.9407550714208969E-15</v>
      </c>
      <c r="AC136" s="24">
        <f t="shared" si="111"/>
        <v>0.15522146107376728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1.7053025658242404E-13</v>
      </c>
      <c r="AJ136" s="14">
        <f>AI136*VLOOKUP('Données projet'!$B$10,Paramètres!$A$1:$I$89,3,0)*VLOOKUP('Données projet'!$B$10,Paramètres!$A$1:$I$89,5,0)</f>
        <v>1.4365468814503402E-13</v>
      </c>
      <c r="AK136" s="14">
        <f t="shared" si="143"/>
        <v>2.0689969164106979E-12</v>
      </c>
      <c r="AL136" s="22">
        <f t="shared" si="112"/>
        <v>3.853701544601233E-12</v>
      </c>
      <c r="AM136" s="62">
        <f t="shared" si="113"/>
        <v>293.33333333333718</v>
      </c>
      <c r="AN136" s="62">
        <f ca="1">AVERAGE(OFFSET($AM$3,0,0,'Données projet'!$E$10+1,1))-AVERAGE(OFFSET($H$3,0,0,'Données projet'!$E$10+1,1))</f>
        <v>348.84749506659495</v>
      </c>
      <c r="AO136" s="62">
        <f t="shared" si="144"/>
        <v>220.09202639602199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0.14451653272384848</v>
      </c>
      <c r="AW136" s="23">
        <f>EXP(-LN(2)/2)*AW135+(1-EXP(-LN(2)/2))/(LN(2)/2)*AQ136*AT136*VLOOKUP('Données projet'!$B$10,Paramètres!$A$1:$I$89,3,0)*0.475*44/12</f>
        <v>3.6689788595987673E-15</v>
      </c>
      <c r="AX136" s="23">
        <f t="shared" si="114"/>
        <v>0.14451653272385215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5.3205440053716299E-14</v>
      </c>
      <c r="BF136" s="14">
        <f t="shared" si="145"/>
        <v>8.602146238565607E-13</v>
      </c>
      <c r="BG136" s="22">
        <f t="shared" si="115"/>
        <v>1.590873277977066E-12</v>
      </c>
      <c r="BH136" s="62">
        <f t="shared" si="116"/>
        <v>293.33333333333491</v>
      </c>
      <c r="BI136" s="62">
        <f ca="1">AVERAGE(OFFSET($BH$3,0,0,'Données projet'!$E$11+1,1))-AVERAGE(OFFSET($H$3,0,0,'Données projet'!$E$11+1,1))</f>
        <v>259.74478933784656</v>
      </c>
      <c r="BJ136" s="62">
        <f t="shared" si="146"/>
        <v>223.74038909289646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1.7053025658242404E-13</v>
      </c>
      <c r="BZ136" s="14">
        <f>BY136*VLOOKUP('Données projet'!$B$12,Paramètres!$A$1:$I$89,3,0)*VLOOKUP('Données projet'!$B$12,Paramètres!$A$1:$I$89,5,0)</f>
        <v>1.72917680174578E-13</v>
      </c>
      <c r="CA136" s="14">
        <f t="shared" si="147"/>
        <v>2.4372886112056825E-12</v>
      </c>
      <c r="CB136" s="22">
        <f t="shared" si="118"/>
        <v>4.5461092908206203E-12</v>
      </c>
      <c r="CC136" s="62">
        <f t="shared" si="119"/>
        <v>293.33333333333786</v>
      </c>
      <c r="CD136" s="62">
        <f ca="1">AVERAGE(OFFSET($CC$3,0,0,'Données projet'!$E$12+1,1))-AVERAGE(OFFSET($H$3,0,0,'Données projet'!$E$12+1,1))</f>
        <v>411.75894069172358</v>
      </c>
      <c r="CE136" s="62">
        <f t="shared" si="148"/>
        <v>256.4377087753457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0.17395508568611423</v>
      </c>
      <c r="CM136" s="23">
        <f>EXP(-LN(2)/2)*CM135+(1-EXP(-LN(2)/2))/(LN(2)/2)*CG136*CJ136*VLOOKUP('Données projet'!$B$12,Paramètres!$A$1:$I$89,3,0)*0.475*44/12</f>
        <v>4.4163634421096263E-15</v>
      </c>
      <c r="CN136" s="24">
        <f t="shared" si="120"/>
        <v>0.17395508568611864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1.7053025658242404E-13</v>
      </c>
      <c r="O137" s="14">
        <f>N137*VLOOKUP('Données projet'!$B$9,Paramètres!$A$1:$I$89,3,0)*VLOOKUP('Données projet'!$B$9,Paramètres!$A$1:$I$89,5,0)</f>
        <v>1.5429577615577727E-13</v>
      </c>
      <c r="P137" s="14">
        <f t="shared" si="141"/>
        <v>2.2038482767263348E-12</v>
      </c>
      <c r="Q137" s="22">
        <f t="shared" si="108"/>
        <v>4.107100892103012E-12</v>
      </c>
      <c r="R137" s="62">
        <f t="shared" si="109"/>
        <v>293.33333333333741</v>
      </c>
      <c r="S137" s="62">
        <f ca="1">AVERAGE(OFFSET($R$3,0,0,'Données projet'!$E$9+1,1))-AVERAGE(OFFSET($H$3,0,0,'Données projet'!$E$9+1,1))</f>
        <v>371.75294069149942</v>
      </c>
      <c r="T137" s="62">
        <f t="shared" si="142"/>
        <v>233.32640143610547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0.1509769220579594</v>
      </c>
      <c r="AB137" s="23">
        <f>EXP(-LN(2)/2)*AB136+(1-EXP(-LN(2)/2))/(LN(2)/2)*V137*Y137*VLOOKUP('Données projet'!$B$9,Paramètres!$A$1:$I$89,3,0)*0.475*44/12</f>
        <v>2.7865346339969936E-15</v>
      </c>
      <c r="AC137" s="24">
        <f t="shared" si="111"/>
        <v>0.15097692205796218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1.7053025658242404E-13</v>
      </c>
      <c r="AJ137" s="14">
        <f>AI137*VLOOKUP('Données projet'!$B$10,Paramètres!$A$1:$I$89,3,0)*VLOOKUP('Données projet'!$B$10,Paramètres!$A$1:$I$89,5,0)</f>
        <v>1.4365468814503402E-13</v>
      </c>
      <c r="AK137" s="14">
        <f t="shared" si="143"/>
        <v>2.0689969164106979E-12</v>
      </c>
      <c r="AL137" s="22">
        <f t="shared" si="112"/>
        <v>3.853701544601233E-12</v>
      </c>
      <c r="AM137" s="62">
        <f t="shared" si="113"/>
        <v>293.33333333333718</v>
      </c>
      <c r="AN137" s="62">
        <f ca="1">AVERAGE(OFFSET($AM$3,0,0,'Données projet'!$E$10+1,1))-AVERAGE(OFFSET($H$3,0,0,'Données projet'!$E$10+1,1))</f>
        <v>348.84749506659495</v>
      </c>
      <c r="AO137" s="62">
        <f t="shared" si="144"/>
        <v>220.09202639602199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0.1405647205367207</v>
      </c>
      <c r="AW137" s="23">
        <f>EXP(-LN(2)/2)*AW136+(1-EXP(-LN(2)/2))/(LN(2)/2)*AQ137*AT137*VLOOKUP('Données projet'!$B$10,Paramètres!$A$1:$I$89,3,0)*0.475*44/12</f>
        <v>2.5943598316523743E-15</v>
      </c>
      <c r="AX137" s="23">
        <f t="shared" si="114"/>
        <v>0.14056472053672328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5.3205440053716299E-14</v>
      </c>
      <c r="BF137" s="14">
        <f t="shared" si="145"/>
        <v>8.602146238565607E-13</v>
      </c>
      <c r="BG137" s="22">
        <f t="shared" si="115"/>
        <v>1.590873277977066E-12</v>
      </c>
      <c r="BH137" s="62">
        <f t="shared" si="116"/>
        <v>293.33333333333491</v>
      </c>
      <c r="BI137" s="62">
        <f ca="1">AVERAGE(OFFSET($BH$3,0,0,'Données projet'!$E$11+1,1))-AVERAGE(OFFSET($H$3,0,0,'Données projet'!$E$11+1,1))</f>
        <v>259.74478933784656</v>
      </c>
      <c r="BJ137" s="62">
        <f t="shared" si="146"/>
        <v>223.74038909289646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1.7053025658242404E-13</v>
      </c>
      <c r="BZ137" s="14">
        <f>BY137*VLOOKUP('Données projet'!$B$12,Paramètres!$A$1:$I$89,3,0)*VLOOKUP('Données projet'!$B$12,Paramètres!$A$1:$I$89,5,0)</f>
        <v>1.72917680174578E-13</v>
      </c>
      <c r="CA137" s="14">
        <f t="shared" si="147"/>
        <v>2.4372886112056825E-12</v>
      </c>
      <c r="CB137" s="22">
        <f t="shared" si="118"/>
        <v>4.5461092908206203E-12</v>
      </c>
      <c r="CC137" s="62">
        <f t="shared" si="119"/>
        <v>293.33333333333786</v>
      </c>
      <c r="CD137" s="62">
        <f ca="1">AVERAGE(OFFSET($CC$3,0,0,'Données projet'!$E$12+1,1))-AVERAGE(OFFSET($H$3,0,0,'Données projet'!$E$12+1,1))</f>
        <v>411.75894069172358</v>
      </c>
      <c r="CE137" s="62">
        <f t="shared" si="148"/>
        <v>256.4377087753457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0.16919827472012705</v>
      </c>
      <c r="CM137" s="23">
        <f>EXP(-LN(2)/2)*CM136+(1-EXP(-LN(2)/2))/(LN(2)/2)*CG137*CJ137*VLOOKUP('Données projet'!$B$12,Paramètres!$A$1:$I$89,3,0)*0.475*44/12</f>
        <v>3.1228405381000794E-15</v>
      </c>
      <c r="CN137" s="24">
        <f t="shared" si="120"/>
        <v>0.16919827472013019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1.7053025658242404E-13</v>
      </c>
      <c r="O138" s="14">
        <f>N138*VLOOKUP('Données projet'!$B$9,Paramètres!$A$1:$I$89,3,0)*VLOOKUP('Données projet'!$B$9,Paramètres!$A$1:$I$89,5,0)</f>
        <v>1.5429577615577727E-13</v>
      </c>
      <c r="P138" s="14">
        <f t="shared" si="141"/>
        <v>2.2038482767263348E-12</v>
      </c>
      <c r="Q138" s="22">
        <f t="shared" si="108"/>
        <v>4.107100892103012E-12</v>
      </c>
      <c r="R138" s="62">
        <f t="shared" si="109"/>
        <v>293.33333333333741</v>
      </c>
      <c r="S138" s="62">
        <f ca="1">AVERAGE(OFFSET($R$3,0,0,'Données projet'!$E$9+1,1))-AVERAGE(OFFSET($H$3,0,0,'Données projet'!$E$9+1,1))</f>
        <v>371.75294069149942</v>
      </c>
      <c r="T138" s="62">
        <f t="shared" si="142"/>
        <v>233.32640143610547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0.14684845018475323</v>
      </c>
      <c r="AB138" s="23">
        <f>EXP(-LN(2)/2)*AB137+(1-EXP(-LN(2)/2))/(LN(2)/2)*V138*Y138*VLOOKUP('Données projet'!$B$9,Paramètres!$A$1:$I$89,3,0)*0.475*44/12</f>
        <v>1.9703775357104485E-15</v>
      </c>
      <c r="AC138" s="24">
        <f t="shared" si="111"/>
        <v>0.1468484501847552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1.7053025658242404E-13</v>
      </c>
      <c r="AJ138" s="14">
        <f>AI138*VLOOKUP('Données projet'!$B$10,Paramètres!$A$1:$I$89,3,0)*VLOOKUP('Données projet'!$B$10,Paramètres!$A$1:$I$89,5,0)</f>
        <v>1.4365468814503402E-13</v>
      </c>
      <c r="AK138" s="14">
        <f t="shared" si="143"/>
        <v>2.0689969164106979E-12</v>
      </c>
      <c r="AL138" s="22">
        <f t="shared" si="112"/>
        <v>3.853701544601233E-12</v>
      </c>
      <c r="AM138" s="62">
        <f t="shared" si="113"/>
        <v>293.33333333333718</v>
      </c>
      <c r="AN138" s="62">
        <f ca="1">AVERAGE(OFFSET($AM$3,0,0,'Données projet'!$E$10+1,1))-AVERAGE(OFFSET($H$3,0,0,'Données projet'!$E$10+1,1))</f>
        <v>348.84749506659495</v>
      </c>
      <c r="AO138" s="62">
        <f t="shared" si="144"/>
        <v>220.09202639602199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0.13672097086166668</v>
      </c>
      <c r="AW138" s="23">
        <f>EXP(-LN(2)/2)*AW137+(1-EXP(-LN(2)/2))/(LN(2)/2)*AQ138*AT138*VLOOKUP('Données projet'!$B$10,Paramètres!$A$1:$I$89,3,0)*0.475*44/12</f>
        <v>1.8344894297993837E-15</v>
      </c>
      <c r="AX138" s="23">
        <f t="shared" si="114"/>
        <v>0.13672097086166851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5.3205440053716299E-14</v>
      </c>
      <c r="BF138" s="14">
        <f t="shared" si="145"/>
        <v>8.602146238565607E-13</v>
      </c>
      <c r="BG138" s="22">
        <f t="shared" si="115"/>
        <v>1.590873277977066E-12</v>
      </c>
      <c r="BH138" s="62">
        <f t="shared" si="116"/>
        <v>293.33333333333491</v>
      </c>
      <c r="BI138" s="62">
        <f ca="1">AVERAGE(OFFSET($BH$3,0,0,'Données projet'!$E$11+1,1))-AVERAGE(OFFSET($H$3,0,0,'Données projet'!$E$11+1,1))</f>
        <v>259.74478933784656</v>
      </c>
      <c r="BJ138" s="62">
        <f t="shared" si="146"/>
        <v>223.74038909289646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1.7053025658242404E-13</v>
      </c>
      <c r="BZ138" s="14">
        <f>BY138*VLOOKUP('Données projet'!$B$12,Paramètres!$A$1:$I$89,3,0)*VLOOKUP('Données projet'!$B$12,Paramètres!$A$1:$I$89,5,0)</f>
        <v>1.72917680174578E-13</v>
      </c>
      <c r="CA138" s="14">
        <f t="shared" si="147"/>
        <v>2.4372886112056825E-12</v>
      </c>
      <c r="CB138" s="22">
        <f t="shared" si="118"/>
        <v>4.5461092908206203E-12</v>
      </c>
      <c r="CC138" s="62">
        <f t="shared" si="119"/>
        <v>293.33333333333786</v>
      </c>
      <c r="CD138" s="62">
        <f ca="1">AVERAGE(OFFSET($CC$3,0,0,'Données projet'!$E$12+1,1))-AVERAGE(OFFSET($H$3,0,0,'Données projet'!$E$12+1,1))</f>
        <v>411.75894069172358</v>
      </c>
      <c r="CE138" s="62">
        <f t="shared" si="148"/>
        <v>256.4377087753457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0.16457153900015462</v>
      </c>
      <c r="CM138" s="23">
        <f>EXP(-LN(2)/2)*CM137+(1-EXP(-LN(2)/2))/(LN(2)/2)*CG138*CJ138*VLOOKUP('Données projet'!$B$12,Paramètres!$A$1:$I$89,3,0)*0.475*44/12</f>
        <v>2.2081817210548131E-15</v>
      </c>
      <c r="CN138" s="24">
        <f t="shared" si="120"/>
        <v>0.16457153900015684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1.7053025658242404E-13</v>
      </c>
      <c r="O139" s="14">
        <f>N139*VLOOKUP('Données projet'!$B$9,Paramètres!$A$1:$I$89,3,0)*VLOOKUP('Données projet'!$B$9,Paramètres!$A$1:$I$89,5,0)</f>
        <v>1.5429577615577727E-13</v>
      </c>
      <c r="P139" s="14">
        <f t="shared" si="141"/>
        <v>2.2038482767263348E-12</v>
      </c>
      <c r="Q139" s="22">
        <f t="shared" si="108"/>
        <v>4.107100892103012E-12</v>
      </c>
      <c r="R139" s="62">
        <f t="shared" si="109"/>
        <v>293.33333333333741</v>
      </c>
      <c r="S139" s="62">
        <f ca="1">AVERAGE(OFFSET($R$3,0,0,'Données projet'!$E$9+1,1))-AVERAGE(OFFSET($H$3,0,0,'Données projet'!$E$9+1,1))</f>
        <v>371.75294069149942</v>
      </c>
      <c r="T139" s="62">
        <f t="shared" si="142"/>
        <v>233.32640143610547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0.14283287159202679</v>
      </c>
      <c r="AB139" s="23">
        <f>EXP(-LN(2)/2)*AB138+(1-EXP(-LN(2)/2))/(LN(2)/2)*V139*Y139*VLOOKUP('Données projet'!$B$9,Paramètres!$A$1:$I$89,3,0)*0.475*44/12</f>
        <v>1.3932673169984968E-15</v>
      </c>
      <c r="AC139" s="24">
        <f t="shared" si="111"/>
        <v>0.14283287159202818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1.7053025658242404E-13</v>
      </c>
      <c r="AJ139" s="14">
        <f>AI139*VLOOKUP('Données projet'!$B$10,Paramètres!$A$1:$I$89,3,0)*VLOOKUP('Données projet'!$B$10,Paramètres!$A$1:$I$89,5,0)</f>
        <v>1.4365468814503402E-13</v>
      </c>
      <c r="AK139" s="14">
        <f t="shared" si="143"/>
        <v>2.0689969164106979E-12</v>
      </c>
      <c r="AL139" s="22">
        <f t="shared" si="112"/>
        <v>3.853701544601233E-12</v>
      </c>
      <c r="AM139" s="62">
        <f t="shared" si="113"/>
        <v>293.33333333333718</v>
      </c>
      <c r="AN139" s="62">
        <f ca="1">AVERAGE(OFFSET($AM$3,0,0,'Données projet'!$E$10+1,1))-AVERAGE(OFFSET($H$3,0,0,'Données projet'!$E$10+1,1))</f>
        <v>348.84749506659495</v>
      </c>
      <c r="AO139" s="62">
        <f t="shared" si="144"/>
        <v>220.09202639602199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0.13298232872361102</v>
      </c>
      <c r="AW139" s="23">
        <f>EXP(-LN(2)/2)*AW138+(1-EXP(-LN(2)/2))/(LN(2)/2)*AQ139*AT139*VLOOKUP('Données projet'!$B$10,Paramètres!$A$1:$I$89,3,0)*0.475*44/12</f>
        <v>1.2971799158261872E-15</v>
      </c>
      <c r="AX139" s="23">
        <f t="shared" si="114"/>
        <v>0.13298232872361232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5.3205440053716299E-14</v>
      </c>
      <c r="BF139" s="14">
        <f t="shared" si="145"/>
        <v>8.602146238565607E-13</v>
      </c>
      <c r="BG139" s="22">
        <f t="shared" si="115"/>
        <v>1.590873277977066E-12</v>
      </c>
      <c r="BH139" s="62">
        <f t="shared" si="116"/>
        <v>293.33333333333491</v>
      </c>
      <c r="BI139" s="62">
        <f ca="1">AVERAGE(OFFSET($BH$3,0,0,'Données projet'!$E$11+1,1))-AVERAGE(OFFSET($H$3,0,0,'Données projet'!$E$11+1,1))</f>
        <v>259.74478933784656</v>
      </c>
      <c r="BJ139" s="62">
        <f t="shared" si="146"/>
        <v>223.74038909289646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1.7053025658242404E-13</v>
      </c>
      <c r="BZ139" s="14">
        <f>BY139*VLOOKUP('Données projet'!$B$12,Paramètres!$A$1:$I$89,3,0)*VLOOKUP('Données projet'!$B$12,Paramètres!$A$1:$I$89,5,0)</f>
        <v>1.72917680174578E-13</v>
      </c>
      <c r="CA139" s="14">
        <f t="shared" si="147"/>
        <v>2.4372886112056825E-12</v>
      </c>
      <c r="CB139" s="22">
        <f t="shared" si="118"/>
        <v>4.5461092908206203E-12</v>
      </c>
      <c r="CC139" s="62">
        <f t="shared" si="119"/>
        <v>293.33333333333786</v>
      </c>
      <c r="CD139" s="62">
        <f ca="1">AVERAGE(OFFSET($CC$3,0,0,'Données projet'!$E$12+1,1))-AVERAGE(OFFSET($H$3,0,0,'Données projet'!$E$12+1,1))</f>
        <v>411.75894069172358</v>
      </c>
      <c r="CE139" s="62">
        <f t="shared" si="148"/>
        <v>256.4377087753457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0.16007132161175427</v>
      </c>
      <c r="CM139" s="23">
        <f>EXP(-LN(2)/2)*CM138+(1-EXP(-LN(2)/2))/(LN(2)/2)*CG139*CJ139*VLOOKUP('Données projet'!$B$12,Paramètres!$A$1:$I$89,3,0)*0.475*44/12</f>
        <v>1.5614202690500397E-15</v>
      </c>
      <c r="CN139" s="24">
        <f t="shared" si="120"/>
        <v>0.16007132161175583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1.7053025658242404E-13</v>
      </c>
      <c r="O140" s="14">
        <f>N140*VLOOKUP('Données projet'!$B$9,Paramètres!$A$1:$I$89,3,0)*VLOOKUP('Données projet'!$B$9,Paramètres!$A$1:$I$89,5,0)</f>
        <v>1.5429577615577727E-13</v>
      </c>
      <c r="P140" s="14">
        <f t="shared" si="141"/>
        <v>2.2038482767263348E-12</v>
      </c>
      <c r="Q140" s="22">
        <f t="shared" si="108"/>
        <v>4.107100892103012E-12</v>
      </c>
      <c r="R140" s="62">
        <f t="shared" si="109"/>
        <v>293.33333333333741</v>
      </c>
      <c r="S140" s="62">
        <f ca="1">AVERAGE(OFFSET($R$3,0,0,'Données projet'!$E$9+1,1))-AVERAGE(OFFSET($H$3,0,0,'Données projet'!$E$9+1,1))</f>
        <v>371.75294069149942</v>
      </c>
      <c r="T140" s="62">
        <f t="shared" si="142"/>
        <v>233.32640143610547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0.13892709920708854</v>
      </c>
      <c r="AB140" s="23">
        <f>EXP(-LN(2)/2)*AB139+(1-EXP(-LN(2)/2))/(LN(2)/2)*V140*Y140*VLOOKUP('Données projet'!$B$9,Paramètres!$A$1:$I$89,3,0)*0.475*44/12</f>
        <v>9.8518876785522423E-16</v>
      </c>
      <c r="AC140" s="24">
        <f t="shared" si="111"/>
        <v>0.13892709920708951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1.7053025658242404E-13</v>
      </c>
      <c r="AJ140" s="14">
        <f>AI140*VLOOKUP('Données projet'!$B$10,Paramètres!$A$1:$I$89,3,0)*VLOOKUP('Données projet'!$B$10,Paramètres!$A$1:$I$89,5,0)</f>
        <v>1.4365468814503402E-13</v>
      </c>
      <c r="AK140" s="14">
        <f t="shared" si="143"/>
        <v>2.0689969164106979E-12</v>
      </c>
      <c r="AL140" s="22">
        <f t="shared" si="112"/>
        <v>3.853701544601233E-12</v>
      </c>
      <c r="AM140" s="62">
        <f t="shared" si="113"/>
        <v>293.33333333333718</v>
      </c>
      <c r="AN140" s="62">
        <f ca="1">AVERAGE(OFFSET($AM$3,0,0,'Données projet'!$E$10+1,1))-AVERAGE(OFFSET($H$3,0,0,'Données projet'!$E$10+1,1))</f>
        <v>348.84749506659495</v>
      </c>
      <c r="AO140" s="62">
        <f t="shared" si="144"/>
        <v>220.09202639602199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0.12934591995142714</v>
      </c>
      <c r="AW140" s="23">
        <f>EXP(-LN(2)/2)*AW139+(1-EXP(-LN(2)/2))/(LN(2)/2)*AQ140*AT140*VLOOKUP('Données projet'!$B$10,Paramètres!$A$1:$I$89,3,0)*0.475*44/12</f>
        <v>9.1724471489969183E-16</v>
      </c>
      <c r="AX140" s="23">
        <f t="shared" si="114"/>
        <v>0.12934591995142805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5.3205440053716299E-14</v>
      </c>
      <c r="BF140" s="14">
        <f t="shared" si="145"/>
        <v>8.602146238565607E-13</v>
      </c>
      <c r="BG140" s="22">
        <f t="shared" si="115"/>
        <v>1.590873277977066E-12</v>
      </c>
      <c r="BH140" s="62">
        <f t="shared" si="116"/>
        <v>293.33333333333491</v>
      </c>
      <c r="BI140" s="62">
        <f ca="1">AVERAGE(OFFSET($BH$3,0,0,'Données projet'!$E$11+1,1))-AVERAGE(OFFSET($H$3,0,0,'Données projet'!$E$11+1,1))</f>
        <v>259.74478933784656</v>
      </c>
      <c r="BJ140" s="62">
        <f t="shared" si="146"/>
        <v>223.74038909289646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1.7053025658242404E-13</v>
      </c>
      <c r="BZ140" s="14">
        <f>BY140*VLOOKUP('Données projet'!$B$12,Paramètres!$A$1:$I$89,3,0)*VLOOKUP('Données projet'!$B$12,Paramètres!$A$1:$I$89,5,0)</f>
        <v>1.72917680174578E-13</v>
      </c>
      <c r="CA140" s="14">
        <f t="shared" si="147"/>
        <v>2.4372886112056825E-12</v>
      </c>
      <c r="CB140" s="22">
        <f t="shared" si="118"/>
        <v>4.5461092908206203E-12</v>
      </c>
      <c r="CC140" s="62">
        <f t="shared" si="119"/>
        <v>293.33333333333786</v>
      </c>
      <c r="CD140" s="62">
        <f ca="1">AVERAGE(OFFSET($CC$3,0,0,'Données projet'!$E$12+1,1))-AVERAGE(OFFSET($H$3,0,0,'Données projet'!$E$12+1,1))</f>
        <v>411.75894069172358</v>
      </c>
      <c r="CE140" s="62">
        <f t="shared" si="148"/>
        <v>256.4377087753457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0.15569416290449589</v>
      </c>
      <c r="CM140" s="23">
        <f>EXP(-LN(2)/2)*CM139+(1-EXP(-LN(2)/2))/(LN(2)/2)*CG140*CJ140*VLOOKUP('Données projet'!$B$12,Paramètres!$A$1:$I$89,3,0)*0.475*44/12</f>
        <v>1.1040908605274066E-15</v>
      </c>
      <c r="CN140" s="24">
        <f t="shared" si="120"/>
        <v>0.155694162904497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1.7053025658242404E-13</v>
      </c>
      <c r="O141" s="14">
        <f>N141*VLOOKUP('Données projet'!$B$9,Paramètres!$A$1:$I$89,3,0)*VLOOKUP('Données projet'!$B$9,Paramètres!$A$1:$I$89,5,0)</f>
        <v>1.5429577615577727E-13</v>
      </c>
      <c r="P141" s="14">
        <f t="shared" si="141"/>
        <v>2.2038482767263348E-12</v>
      </c>
      <c r="Q141" s="22">
        <f t="shared" si="108"/>
        <v>4.107100892103012E-12</v>
      </c>
      <c r="R141" s="62">
        <f t="shared" si="109"/>
        <v>293.33333333333741</v>
      </c>
      <c r="S141" s="62">
        <f ca="1">AVERAGE(OFFSET($R$3,0,0,'Données projet'!$E$9+1,1))-AVERAGE(OFFSET($H$3,0,0,'Données projet'!$E$9+1,1))</f>
        <v>371.75294069149942</v>
      </c>
      <c r="T141" s="62">
        <f t="shared" si="142"/>
        <v>233.32640143610547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0.13512813037341206</v>
      </c>
      <c r="AB141" s="23">
        <f>EXP(-LN(2)/2)*AB140+(1-EXP(-LN(2)/2))/(LN(2)/2)*V141*Y141*VLOOKUP('Données projet'!$B$9,Paramètres!$A$1:$I$89,3,0)*0.475*44/12</f>
        <v>6.9663365849924841E-16</v>
      </c>
      <c r="AC141" s="24">
        <f t="shared" si="111"/>
        <v>0.13512813037341276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1.7053025658242404E-13</v>
      </c>
      <c r="AJ141" s="14">
        <f>AI141*VLOOKUP('Données projet'!$B$10,Paramètres!$A$1:$I$89,3,0)*VLOOKUP('Données projet'!$B$10,Paramètres!$A$1:$I$89,5,0)</f>
        <v>1.4365468814503402E-13</v>
      </c>
      <c r="AK141" s="14">
        <f t="shared" si="143"/>
        <v>2.0689969164106979E-12</v>
      </c>
      <c r="AL141" s="22">
        <f t="shared" si="112"/>
        <v>3.853701544601233E-12</v>
      </c>
      <c r="AM141" s="62">
        <f t="shared" si="113"/>
        <v>293.33333333333718</v>
      </c>
      <c r="AN141" s="62">
        <f ca="1">AVERAGE(OFFSET($AM$3,0,0,'Données projet'!$E$10+1,1))-AVERAGE(OFFSET($H$3,0,0,'Données projet'!$E$10+1,1))</f>
        <v>348.84749506659495</v>
      </c>
      <c r="AO141" s="62">
        <f t="shared" si="144"/>
        <v>220.09202639602199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0.12580894896834904</v>
      </c>
      <c r="AW141" s="23">
        <f>EXP(-LN(2)/2)*AW140+(1-EXP(-LN(2)/2))/(LN(2)/2)*AQ141*AT141*VLOOKUP('Données projet'!$B$10,Paramètres!$A$1:$I$89,3,0)*0.475*44/12</f>
        <v>6.4858995791309358E-16</v>
      </c>
      <c r="AX141" s="23">
        <f t="shared" si="114"/>
        <v>0.12580894896834968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5.3205440053716299E-14</v>
      </c>
      <c r="BF141" s="14">
        <f t="shared" si="145"/>
        <v>8.602146238565607E-13</v>
      </c>
      <c r="BG141" s="22">
        <f t="shared" si="115"/>
        <v>1.590873277977066E-12</v>
      </c>
      <c r="BH141" s="62">
        <f t="shared" si="116"/>
        <v>293.33333333333491</v>
      </c>
      <c r="BI141" s="62">
        <f ca="1">AVERAGE(OFFSET($BH$3,0,0,'Données projet'!$E$11+1,1))-AVERAGE(OFFSET($H$3,0,0,'Données projet'!$E$11+1,1))</f>
        <v>259.74478933784656</v>
      </c>
      <c r="BJ141" s="62">
        <f t="shared" si="146"/>
        <v>223.74038909289646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1.7053025658242404E-13</v>
      </c>
      <c r="BZ141" s="14">
        <f>BY141*VLOOKUP('Données projet'!$B$12,Paramètres!$A$1:$I$89,3,0)*VLOOKUP('Données projet'!$B$12,Paramètres!$A$1:$I$89,5,0)</f>
        <v>1.72917680174578E-13</v>
      </c>
      <c r="CA141" s="14">
        <f t="shared" si="147"/>
        <v>2.4372886112056825E-12</v>
      </c>
      <c r="CB141" s="22">
        <f t="shared" si="118"/>
        <v>4.5461092908206203E-12</v>
      </c>
      <c r="CC141" s="62">
        <f t="shared" si="119"/>
        <v>293.33333333333786</v>
      </c>
      <c r="CD141" s="62">
        <f ca="1">AVERAGE(OFFSET($CC$3,0,0,'Données projet'!$E$12+1,1))-AVERAGE(OFFSET($H$3,0,0,'Données projet'!$E$12+1,1))</f>
        <v>411.75894069172358</v>
      </c>
      <c r="CE141" s="62">
        <f t="shared" si="148"/>
        <v>256.4377087753457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0.15143669783227226</v>
      </c>
      <c r="CM141" s="23">
        <f>EXP(-LN(2)/2)*CM140+(1-EXP(-LN(2)/2))/(LN(2)/2)*CG141*CJ141*VLOOKUP('Données projet'!$B$12,Paramètres!$A$1:$I$89,3,0)*0.475*44/12</f>
        <v>7.8071013452501984E-16</v>
      </c>
      <c r="CN141" s="24">
        <f t="shared" si="120"/>
        <v>0.15143669783227304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1.7053025658242404E-13</v>
      </c>
      <c r="O142" s="14">
        <f>N142*VLOOKUP('Données projet'!$B$9,Paramètres!$A$1:$I$89,3,0)*VLOOKUP('Données projet'!$B$9,Paramètres!$A$1:$I$89,5,0)</f>
        <v>1.5429577615577727E-13</v>
      </c>
      <c r="P142" s="14">
        <f t="shared" si="141"/>
        <v>2.2038482767263348E-12</v>
      </c>
      <c r="Q142" s="22">
        <f t="shared" si="108"/>
        <v>4.107100892103012E-12</v>
      </c>
      <c r="R142" s="62">
        <f t="shared" si="109"/>
        <v>293.33333333333741</v>
      </c>
      <c r="S142" s="62">
        <f ca="1">AVERAGE(OFFSET($R$3,0,0,'Données projet'!$E$9+1,1))-AVERAGE(OFFSET($H$3,0,0,'Données projet'!$E$9+1,1))</f>
        <v>371.75294069149942</v>
      </c>
      <c r="T142" s="62">
        <f t="shared" si="142"/>
        <v>233.32640143610547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0.13143304454227159</v>
      </c>
      <c r="AB142" s="23">
        <f>EXP(-LN(2)/2)*AB141+(1-EXP(-LN(2)/2))/(LN(2)/2)*V142*Y142*VLOOKUP('Données projet'!$B$9,Paramètres!$A$1:$I$89,3,0)*0.475*44/12</f>
        <v>4.9259438392761211E-16</v>
      </c>
      <c r="AC142" s="24">
        <f t="shared" si="111"/>
        <v>0.13143304454227209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1.7053025658242404E-13</v>
      </c>
      <c r="AJ142" s="14">
        <f>AI142*VLOOKUP('Données projet'!$B$10,Paramètres!$A$1:$I$89,3,0)*VLOOKUP('Données projet'!$B$10,Paramètres!$A$1:$I$89,5,0)</f>
        <v>1.4365468814503402E-13</v>
      </c>
      <c r="AK142" s="14">
        <f t="shared" si="143"/>
        <v>2.0689969164106979E-12</v>
      </c>
      <c r="AL142" s="22">
        <f t="shared" si="112"/>
        <v>3.853701544601233E-12</v>
      </c>
      <c r="AM142" s="62">
        <f t="shared" si="113"/>
        <v>293.33333333333718</v>
      </c>
      <c r="AN142" s="62">
        <f ca="1">AVERAGE(OFFSET($AM$3,0,0,'Données projet'!$E$10+1,1))-AVERAGE(OFFSET($H$3,0,0,'Données projet'!$E$10+1,1))</f>
        <v>348.84749506659495</v>
      </c>
      <c r="AO142" s="62">
        <f t="shared" si="144"/>
        <v>220.09202639602199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0.12236869664280445</v>
      </c>
      <c r="AW142" s="23">
        <f>EXP(-LN(2)/2)*AW141+(1-EXP(-LN(2)/2))/(LN(2)/2)*AQ142*AT142*VLOOKUP('Données projet'!$B$10,Paramètres!$A$1:$I$89,3,0)*0.475*44/12</f>
        <v>4.5862235744984591E-16</v>
      </c>
      <c r="AX142" s="23">
        <f t="shared" si="114"/>
        <v>0.12236869664280491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5.3205440053716299E-14</v>
      </c>
      <c r="BF142" s="14">
        <f t="shared" si="145"/>
        <v>8.602146238565607E-13</v>
      </c>
      <c r="BG142" s="22">
        <f t="shared" si="115"/>
        <v>1.590873277977066E-12</v>
      </c>
      <c r="BH142" s="62">
        <f t="shared" si="116"/>
        <v>293.33333333333491</v>
      </c>
      <c r="BI142" s="62">
        <f ca="1">AVERAGE(OFFSET($BH$3,0,0,'Données projet'!$E$11+1,1))-AVERAGE(OFFSET($H$3,0,0,'Données projet'!$E$11+1,1))</f>
        <v>259.74478933784656</v>
      </c>
      <c r="BJ142" s="62">
        <f t="shared" si="146"/>
        <v>223.74038909289646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1.7053025658242404E-13</v>
      </c>
      <c r="BZ142" s="14">
        <f>BY142*VLOOKUP('Données projet'!$B$12,Paramètres!$A$1:$I$89,3,0)*VLOOKUP('Données projet'!$B$12,Paramètres!$A$1:$I$89,5,0)</f>
        <v>1.72917680174578E-13</v>
      </c>
      <c r="CA142" s="14">
        <f t="shared" si="147"/>
        <v>2.4372886112056825E-12</v>
      </c>
      <c r="CB142" s="22">
        <f t="shared" si="118"/>
        <v>4.5461092908206203E-12</v>
      </c>
      <c r="CC142" s="62">
        <f t="shared" si="119"/>
        <v>293.33333333333786</v>
      </c>
      <c r="CD142" s="62">
        <f ca="1">AVERAGE(OFFSET($CC$3,0,0,'Données projet'!$E$12+1,1))-AVERAGE(OFFSET($H$3,0,0,'Données projet'!$E$12+1,1))</f>
        <v>411.75894069172358</v>
      </c>
      <c r="CE142" s="62">
        <f t="shared" si="148"/>
        <v>256.4377087753457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0.14729565336633896</v>
      </c>
      <c r="CM142" s="23">
        <f>EXP(-LN(2)/2)*CM141+(1-EXP(-LN(2)/2))/(LN(2)/2)*CG142*CJ142*VLOOKUP('Données projet'!$B$12,Paramètres!$A$1:$I$89,3,0)*0.475*44/12</f>
        <v>5.5204543026370328E-16</v>
      </c>
      <c r="CN142" s="24">
        <f t="shared" si="120"/>
        <v>0.14729565336633951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1.7053025658242404E-13</v>
      </c>
      <c r="O143" s="14">
        <f>N143*VLOOKUP('Données projet'!$B$9,Paramètres!$A$1:$I$89,3,0)*VLOOKUP('Données projet'!$B$9,Paramètres!$A$1:$I$89,5,0)</f>
        <v>1.5429577615577727E-13</v>
      </c>
      <c r="P143" s="14">
        <f t="shared" si="141"/>
        <v>2.2038482767263348E-12</v>
      </c>
      <c r="Q143" s="22">
        <f t="shared" si="108"/>
        <v>4.107100892103012E-12</v>
      </c>
      <c r="R143" s="62">
        <f t="shared" si="109"/>
        <v>293.33333333333741</v>
      </c>
      <c r="S143" s="62">
        <f ca="1">AVERAGE(OFFSET($R$3,0,0,'Données projet'!$E$9+1,1))-AVERAGE(OFFSET($H$3,0,0,'Données projet'!$E$9+1,1))</f>
        <v>371.75294069149942</v>
      </c>
      <c r="T143" s="62">
        <f t="shared" si="142"/>
        <v>233.32640143610547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0.12783900102749976</v>
      </c>
      <c r="AB143" s="23">
        <f>EXP(-LN(2)/2)*AB142+(1-EXP(-LN(2)/2))/(LN(2)/2)*V143*Y143*VLOOKUP('Données projet'!$B$9,Paramètres!$A$1:$I$89,3,0)*0.475*44/12</f>
        <v>3.483168292496242E-16</v>
      </c>
      <c r="AC143" s="24">
        <f t="shared" si="111"/>
        <v>0.12783900102750012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1.7053025658242404E-13</v>
      </c>
      <c r="AJ143" s="14">
        <f>AI143*VLOOKUP('Données projet'!$B$10,Paramètres!$A$1:$I$89,3,0)*VLOOKUP('Données projet'!$B$10,Paramètres!$A$1:$I$89,5,0)</f>
        <v>1.4365468814503402E-13</v>
      </c>
      <c r="AK143" s="14">
        <f t="shared" si="143"/>
        <v>2.0689969164106979E-12</v>
      </c>
      <c r="AL143" s="22">
        <f t="shared" si="112"/>
        <v>3.853701544601233E-12</v>
      </c>
      <c r="AM143" s="62">
        <f t="shared" si="113"/>
        <v>293.33333333333718</v>
      </c>
      <c r="AN143" s="62">
        <f ca="1">AVERAGE(OFFSET($AM$3,0,0,'Données projet'!$E$10+1,1))-AVERAGE(OFFSET($H$3,0,0,'Données projet'!$E$10+1,1))</f>
        <v>348.84749506659495</v>
      </c>
      <c r="AO143" s="62">
        <f t="shared" si="144"/>
        <v>220.09202639602199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0.11902251819801687</v>
      </c>
      <c r="AW143" s="23">
        <f>EXP(-LN(2)/2)*AW142+(1-EXP(-LN(2)/2))/(LN(2)/2)*AQ143*AT143*VLOOKUP('Données projet'!$B$10,Paramètres!$A$1:$I$89,3,0)*0.475*44/12</f>
        <v>3.2429497895654679E-16</v>
      </c>
      <c r="AX143" s="23">
        <f t="shared" si="114"/>
        <v>0.11902251819801719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5.3205440053716299E-14</v>
      </c>
      <c r="BF143" s="14">
        <f t="shared" si="145"/>
        <v>8.602146238565607E-13</v>
      </c>
      <c r="BG143" s="22">
        <f t="shared" si="115"/>
        <v>1.590873277977066E-12</v>
      </c>
      <c r="BH143" s="62">
        <f t="shared" si="116"/>
        <v>293.33333333333491</v>
      </c>
      <c r="BI143" s="62">
        <f ca="1">AVERAGE(OFFSET($BH$3,0,0,'Données projet'!$E$11+1,1))-AVERAGE(OFFSET($H$3,0,0,'Données projet'!$E$11+1,1))</f>
        <v>259.74478933784656</v>
      </c>
      <c r="BJ143" s="62">
        <f t="shared" si="146"/>
        <v>223.74038909289646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1.7053025658242404E-13</v>
      </c>
      <c r="BZ143" s="14">
        <f>BY143*VLOOKUP('Données projet'!$B$12,Paramètres!$A$1:$I$89,3,0)*VLOOKUP('Données projet'!$B$12,Paramètres!$A$1:$I$89,5,0)</f>
        <v>1.72917680174578E-13</v>
      </c>
      <c r="CA143" s="14">
        <f t="shared" si="147"/>
        <v>2.4372886112056825E-12</v>
      </c>
      <c r="CB143" s="22">
        <f t="shared" si="118"/>
        <v>4.5461092908206203E-12</v>
      </c>
      <c r="CC143" s="62">
        <f t="shared" si="119"/>
        <v>293.33333333333786</v>
      </c>
      <c r="CD143" s="62">
        <f ca="1">AVERAGE(OFFSET($CC$3,0,0,'Données projet'!$E$12+1,1))-AVERAGE(OFFSET($H$3,0,0,'Données projet'!$E$12+1,1))</f>
        <v>411.75894069172358</v>
      </c>
      <c r="CE143" s="62">
        <f t="shared" si="148"/>
        <v>256.4377087753457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0.14326784597909464</v>
      </c>
      <c r="CM143" s="23">
        <f>EXP(-LN(2)/2)*CM142+(1-EXP(-LN(2)/2))/(LN(2)/2)*CG143*CJ143*VLOOKUP('Données projet'!$B$12,Paramètres!$A$1:$I$89,3,0)*0.475*44/12</f>
        <v>3.9035506726250992E-16</v>
      </c>
      <c r="CN143" s="24">
        <f t="shared" si="120"/>
        <v>0.14326784597909503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1.7053025658242404E-13</v>
      </c>
      <c r="O144" s="14">
        <f>N144*VLOOKUP('Données projet'!$B$9,Paramètres!$A$1:$I$89,3,0)*VLOOKUP('Données projet'!$B$9,Paramètres!$A$1:$I$89,5,0)</f>
        <v>1.5429577615577727E-13</v>
      </c>
      <c r="P144" s="14">
        <f t="shared" si="141"/>
        <v>2.2038482767263348E-12</v>
      </c>
      <c r="Q144" s="22">
        <f t="shared" si="108"/>
        <v>4.107100892103012E-12</v>
      </c>
      <c r="R144" s="62">
        <f t="shared" si="109"/>
        <v>293.33333333333741</v>
      </c>
      <c r="S144" s="62">
        <f ca="1">AVERAGE(OFFSET($R$3,0,0,'Données projet'!$E$9+1,1))-AVERAGE(OFFSET($H$3,0,0,'Données projet'!$E$9+1,1))</f>
        <v>371.75294069149942</v>
      </c>
      <c r="T144" s="62">
        <f t="shared" si="142"/>
        <v>233.32640143610547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0.12434323682164189</v>
      </c>
      <c r="AB144" s="23">
        <f>EXP(-LN(2)/2)*AB143+(1-EXP(-LN(2)/2))/(LN(2)/2)*V144*Y144*VLOOKUP('Données projet'!$B$9,Paramètres!$A$1:$I$89,3,0)*0.475*44/12</f>
        <v>2.4629719196380606E-16</v>
      </c>
      <c r="AC144" s="24">
        <f t="shared" si="111"/>
        <v>0.12434323682164214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1.7053025658242404E-13</v>
      </c>
      <c r="AJ144" s="14">
        <f>AI144*VLOOKUP('Données projet'!$B$10,Paramètres!$A$1:$I$89,3,0)*VLOOKUP('Données projet'!$B$10,Paramètres!$A$1:$I$89,5,0)</f>
        <v>1.4365468814503402E-13</v>
      </c>
      <c r="AK144" s="14">
        <f t="shared" si="143"/>
        <v>2.0689969164106979E-12</v>
      </c>
      <c r="AL144" s="22">
        <f t="shared" si="112"/>
        <v>3.853701544601233E-12</v>
      </c>
      <c r="AM144" s="62">
        <f t="shared" si="113"/>
        <v>293.33333333333718</v>
      </c>
      <c r="AN144" s="62">
        <f ca="1">AVERAGE(OFFSET($AM$3,0,0,'Données projet'!$E$10+1,1))-AVERAGE(OFFSET($H$3,0,0,'Données projet'!$E$10+1,1))</f>
        <v>348.84749506659495</v>
      </c>
      <c r="AO144" s="62">
        <f t="shared" si="144"/>
        <v>220.09202639602199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0.1157678411787699</v>
      </c>
      <c r="AW144" s="23">
        <f>EXP(-LN(2)/2)*AW143+(1-EXP(-LN(2)/2))/(LN(2)/2)*AQ144*AT144*VLOOKUP('Données projet'!$B$10,Paramètres!$A$1:$I$89,3,0)*0.475*44/12</f>
        <v>2.2931117872492296E-16</v>
      </c>
      <c r="AX144" s="23">
        <f t="shared" si="114"/>
        <v>0.11576784117877013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5.3205440053716299E-14</v>
      </c>
      <c r="BF144" s="14">
        <f t="shared" si="145"/>
        <v>8.602146238565607E-13</v>
      </c>
      <c r="BG144" s="22">
        <f t="shared" si="115"/>
        <v>1.590873277977066E-12</v>
      </c>
      <c r="BH144" s="62">
        <f t="shared" si="116"/>
        <v>293.33333333333491</v>
      </c>
      <c r="BI144" s="62">
        <f ca="1">AVERAGE(OFFSET($BH$3,0,0,'Données projet'!$E$11+1,1))-AVERAGE(OFFSET($H$3,0,0,'Données projet'!$E$11+1,1))</f>
        <v>259.74478933784656</v>
      </c>
      <c r="BJ144" s="62">
        <f t="shared" si="146"/>
        <v>223.74038909289646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1.7053025658242404E-13</v>
      </c>
      <c r="BZ144" s="14">
        <f>BY144*VLOOKUP('Données projet'!$B$12,Paramètres!$A$1:$I$89,3,0)*VLOOKUP('Données projet'!$B$12,Paramètres!$A$1:$I$89,5,0)</f>
        <v>1.72917680174578E-13</v>
      </c>
      <c r="CA144" s="14">
        <f t="shared" si="147"/>
        <v>2.4372886112056825E-12</v>
      </c>
      <c r="CB144" s="22">
        <f t="shared" si="118"/>
        <v>4.5461092908206203E-12</v>
      </c>
      <c r="CC144" s="62">
        <f t="shared" si="119"/>
        <v>293.33333333333786</v>
      </c>
      <c r="CD144" s="62">
        <f ca="1">AVERAGE(OFFSET($CC$3,0,0,'Données projet'!$E$12+1,1))-AVERAGE(OFFSET($H$3,0,0,'Données projet'!$E$12+1,1))</f>
        <v>411.75894069172358</v>
      </c>
      <c r="CE144" s="62">
        <f t="shared" si="148"/>
        <v>256.4377087753457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0.13935017919666773</v>
      </c>
      <c r="CM144" s="23">
        <f>EXP(-LN(2)/2)*CM143+(1-EXP(-LN(2)/2))/(LN(2)/2)*CG144*CJ144*VLOOKUP('Données projet'!$B$12,Paramètres!$A$1:$I$89,3,0)*0.475*44/12</f>
        <v>2.7602271513185164E-16</v>
      </c>
      <c r="CN144" s="24">
        <f t="shared" si="120"/>
        <v>0.13935017919666801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1.7053025658242404E-13</v>
      </c>
      <c r="O145" s="14">
        <f>N145*VLOOKUP('Données projet'!$B$9,Paramètres!$A$1:$I$89,3,0)*VLOOKUP('Données projet'!$B$9,Paramètres!$A$1:$I$89,5,0)</f>
        <v>1.5429577615577727E-13</v>
      </c>
      <c r="P145" s="14">
        <f t="shared" si="141"/>
        <v>2.2038482767263348E-12</v>
      </c>
      <c r="Q145" s="22">
        <f t="shared" si="108"/>
        <v>4.107100892103012E-12</v>
      </c>
      <c r="R145" s="62">
        <f t="shared" si="109"/>
        <v>293.33333333333741</v>
      </c>
      <c r="S145" s="62">
        <f ca="1">AVERAGE(OFFSET($R$3,0,0,'Données projet'!$E$9+1,1))-AVERAGE(OFFSET($H$3,0,0,'Données projet'!$E$9+1,1))</f>
        <v>371.75294069149942</v>
      </c>
      <c r="T145" s="62">
        <f t="shared" si="142"/>
        <v>233.32640143610547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0.12094306447182746</v>
      </c>
      <c r="AB145" s="23">
        <f>EXP(-LN(2)/2)*AB144+(1-EXP(-LN(2)/2))/(LN(2)/2)*V145*Y145*VLOOKUP('Données projet'!$B$9,Paramètres!$A$1:$I$89,3,0)*0.475*44/12</f>
        <v>1.741584146248121E-16</v>
      </c>
      <c r="AC145" s="24">
        <f t="shared" si="111"/>
        <v>0.12094306447182764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1.7053025658242404E-13</v>
      </c>
      <c r="AJ145" s="14">
        <f>AI145*VLOOKUP('Données projet'!$B$10,Paramètres!$A$1:$I$89,3,0)*VLOOKUP('Données projet'!$B$10,Paramètres!$A$1:$I$89,5,0)</f>
        <v>1.4365468814503402E-13</v>
      </c>
      <c r="AK145" s="14">
        <f t="shared" si="143"/>
        <v>2.0689969164106979E-12</v>
      </c>
      <c r="AL145" s="22">
        <f t="shared" si="112"/>
        <v>3.853701544601233E-12</v>
      </c>
      <c r="AM145" s="62">
        <f t="shared" si="113"/>
        <v>293.33333333333718</v>
      </c>
      <c r="AN145" s="62">
        <f ca="1">AVERAGE(OFFSET($AM$3,0,0,'Données projet'!$E$10+1,1))-AVERAGE(OFFSET($H$3,0,0,'Données projet'!$E$10+1,1))</f>
        <v>348.84749506659495</v>
      </c>
      <c r="AO145" s="62">
        <f t="shared" si="144"/>
        <v>220.09202639602199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0.11260216347377026</v>
      </c>
      <c r="AW145" s="23">
        <f>EXP(-LN(2)/2)*AW144+(1-EXP(-LN(2)/2))/(LN(2)/2)*AQ145*AT145*VLOOKUP('Données projet'!$B$10,Paramètres!$A$1:$I$89,3,0)*0.475*44/12</f>
        <v>1.621474894782734E-16</v>
      </c>
      <c r="AX145" s="23">
        <f t="shared" si="114"/>
        <v>0.11260216347377043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5.3205440053716299E-14</v>
      </c>
      <c r="BF145" s="14">
        <f t="shared" si="145"/>
        <v>8.602146238565607E-13</v>
      </c>
      <c r="BG145" s="22">
        <f t="shared" si="115"/>
        <v>1.590873277977066E-12</v>
      </c>
      <c r="BH145" s="62">
        <f t="shared" si="116"/>
        <v>293.33333333333491</v>
      </c>
      <c r="BI145" s="62">
        <f ca="1">AVERAGE(OFFSET($BH$3,0,0,'Données projet'!$E$11+1,1))-AVERAGE(OFFSET($H$3,0,0,'Données projet'!$E$11+1,1))</f>
        <v>259.74478933784656</v>
      </c>
      <c r="BJ145" s="62">
        <f t="shared" si="146"/>
        <v>223.74038909289646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1.7053025658242404E-13</v>
      </c>
      <c r="BZ145" s="14">
        <f>BY145*VLOOKUP('Données projet'!$B$12,Paramètres!$A$1:$I$89,3,0)*VLOOKUP('Données projet'!$B$12,Paramètres!$A$1:$I$89,5,0)</f>
        <v>1.72917680174578E-13</v>
      </c>
      <c r="CA145" s="14">
        <f t="shared" si="147"/>
        <v>2.4372886112056825E-12</v>
      </c>
      <c r="CB145" s="22">
        <f t="shared" si="118"/>
        <v>4.5461092908206203E-12</v>
      </c>
      <c r="CC145" s="62">
        <f t="shared" si="119"/>
        <v>293.33333333333786</v>
      </c>
      <c r="CD145" s="62">
        <f ca="1">AVERAGE(OFFSET($CC$3,0,0,'Données projet'!$E$12+1,1))-AVERAGE(OFFSET($H$3,0,0,'Données projet'!$E$12+1,1))</f>
        <v>411.75894069172358</v>
      </c>
      <c r="CE145" s="62">
        <f t="shared" si="148"/>
        <v>256.4377087753457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0.1355396412184274</v>
      </c>
      <c r="CM145" s="23">
        <f>EXP(-LN(2)/2)*CM144+(1-EXP(-LN(2)/2))/(LN(2)/2)*CG145*CJ145*VLOOKUP('Données projet'!$B$12,Paramètres!$A$1:$I$89,3,0)*0.475*44/12</f>
        <v>1.9517753363125496E-16</v>
      </c>
      <c r="CN145" s="24">
        <f t="shared" si="120"/>
        <v>0.1355396412184276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1.7053025658242404E-13</v>
      </c>
      <c r="O146" s="14">
        <f>N146*VLOOKUP('Données projet'!$B$9,Paramètres!$A$1:$I$89,3,0)*VLOOKUP('Données projet'!$B$9,Paramètres!$A$1:$I$89,5,0)</f>
        <v>1.5429577615577727E-13</v>
      </c>
      <c r="P146" s="14">
        <f t="shared" si="141"/>
        <v>2.2038482767263348E-12</v>
      </c>
      <c r="Q146" s="22">
        <f t="shared" si="108"/>
        <v>4.107100892103012E-12</v>
      </c>
      <c r="R146" s="62">
        <f t="shared" si="109"/>
        <v>293.33333333333741</v>
      </c>
      <c r="S146" s="62">
        <f ca="1">AVERAGE(OFFSET($R$3,0,0,'Données projet'!$E$9+1,1))-AVERAGE(OFFSET($H$3,0,0,'Données projet'!$E$9+1,1))</f>
        <v>371.75294069149942</v>
      </c>
      <c r="T146" s="62">
        <f t="shared" si="142"/>
        <v>233.32640143610547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0.117635870013726</v>
      </c>
      <c r="AB146" s="23">
        <f>EXP(-LN(2)/2)*AB145+(1-EXP(-LN(2)/2))/(LN(2)/2)*V146*Y146*VLOOKUP('Données projet'!$B$9,Paramètres!$A$1:$I$89,3,0)*0.475*44/12</f>
        <v>1.2314859598190303E-16</v>
      </c>
      <c r="AC146" s="24">
        <f t="shared" si="111"/>
        <v>0.11763587001372612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1.7053025658242404E-13</v>
      </c>
      <c r="AJ146" s="14">
        <f>AI146*VLOOKUP('Données projet'!$B$10,Paramètres!$A$1:$I$89,3,0)*VLOOKUP('Données projet'!$B$10,Paramètres!$A$1:$I$89,5,0)</f>
        <v>1.4365468814503402E-13</v>
      </c>
      <c r="AK146" s="14">
        <f t="shared" si="143"/>
        <v>2.0689969164106979E-12</v>
      </c>
      <c r="AL146" s="22">
        <f t="shared" si="112"/>
        <v>3.853701544601233E-12</v>
      </c>
      <c r="AM146" s="62">
        <f t="shared" si="113"/>
        <v>293.33333333333718</v>
      </c>
      <c r="AN146" s="62">
        <f ca="1">AVERAGE(OFFSET($AM$3,0,0,'Données projet'!$E$10+1,1))-AVERAGE(OFFSET($H$3,0,0,'Données projet'!$E$10+1,1))</f>
        <v>348.84749506659495</v>
      </c>
      <c r="AO146" s="62">
        <f t="shared" si="144"/>
        <v>220.09202639602199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0.10952305139208959</v>
      </c>
      <c r="AW146" s="23">
        <f>EXP(-LN(2)/2)*AW145+(1-EXP(-LN(2)/2))/(LN(2)/2)*AQ146*AT146*VLOOKUP('Données projet'!$B$10,Paramètres!$A$1:$I$89,3,0)*0.475*44/12</f>
        <v>1.1465558936246148E-16</v>
      </c>
      <c r="AX146" s="23">
        <f t="shared" si="114"/>
        <v>0.1095230513920897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5.3205440053716299E-14</v>
      </c>
      <c r="BF146" s="14">
        <f t="shared" si="145"/>
        <v>8.602146238565607E-13</v>
      </c>
      <c r="BG146" s="22">
        <f t="shared" si="115"/>
        <v>1.590873277977066E-12</v>
      </c>
      <c r="BH146" s="62">
        <f t="shared" si="116"/>
        <v>293.33333333333491</v>
      </c>
      <c r="BI146" s="62">
        <f ca="1">AVERAGE(OFFSET($BH$3,0,0,'Données projet'!$E$11+1,1))-AVERAGE(OFFSET($H$3,0,0,'Données projet'!$E$11+1,1))</f>
        <v>259.74478933784656</v>
      </c>
      <c r="BJ146" s="62">
        <f t="shared" si="146"/>
        <v>223.74038909289646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1.7053025658242404E-13</v>
      </c>
      <c r="BZ146" s="14">
        <f>BY146*VLOOKUP('Données projet'!$B$12,Paramètres!$A$1:$I$89,3,0)*VLOOKUP('Données projet'!$B$12,Paramètres!$A$1:$I$89,5,0)</f>
        <v>1.72917680174578E-13</v>
      </c>
      <c r="CA146" s="14">
        <f t="shared" si="147"/>
        <v>2.4372886112056825E-12</v>
      </c>
      <c r="CB146" s="22">
        <f t="shared" si="118"/>
        <v>4.5461092908206203E-12</v>
      </c>
      <c r="CC146" s="62">
        <f t="shared" si="119"/>
        <v>293.33333333333786</v>
      </c>
      <c r="CD146" s="62">
        <f ca="1">AVERAGE(OFFSET($CC$3,0,0,'Données projet'!$E$12+1,1))-AVERAGE(OFFSET($H$3,0,0,'Données projet'!$E$12+1,1))</f>
        <v>411.75894069172358</v>
      </c>
      <c r="CE146" s="62">
        <f t="shared" si="148"/>
        <v>256.4377087753457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0.13183330260158954</v>
      </c>
      <c r="CM146" s="23">
        <f>EXP(-LN(2)/2)*CM145+(1-EXP(-LN(2)/2))/(LN(2)/2)*CG146*CJ146*VLOOKUP('Données projet'!$B$12,Paramètres!$A$1:$I$89,3,0)*0.475*44/12</f>
        <v>1.3801135756592582E-16</v>
      </c>
      <c r="CN146" s="24">
        <f t="shared" si="120"/>
        <v>0.13183330260158968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1.7053025658242404E-13</v>
      </c>
      <c r="O147" s="14">
        <f>N147*VLOOKUP('Données projet'!$B$9,Paramètres!$A$1:$I$89,3,0)*VLOOKUP('Données projet'!$B$9,Paramètres!$A$1:$I$89,5,0)</f>
        <v>1.5429577615577727E-13</v>
      </c>
      <c r="P147" s="14">
        <f t="shared" si="141"/>
        <v>2.2038482767263348E-12</v>
      </c>
      <c r="Q147" s="22">
        <f t="shared" si="108"/>
        <v>4.107100892103012E-12</v>
      </c>
      <c r="R147" s="62">
        <f t="shared" si="109"/>
        <v>293.33333333333741</v>
      </c>
      <c r="S147" s="62">
        <f ca="1">AVERAGE(OFFSET($R$3,0,0,'Données projet'!$E$9+1,1))-AVERAGE(OFFSET($H$3,0,0,'Données projet'!$E$9+1,1))</f>
        <v>371.75294069149942</v>
      </c>
      <c r="T147" s="62">
        <f t="shared" si="142"/>
        <v>233.32640143610547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0.11441911096199911</v>
      </c>
      <c r="AB147" s="23">
        <f>EXP(-LN(2)/2)*AB146+(1-EXP(-LN(2)/2))/(LN(2)/2)*V147*Y147*VLOOKUP('Données projet'!$B$9,Paramètres!$A$1:$I$89,3,0)*0.475*44/12</f>
        <v>8.7079207312406051E-17</v>
      </c>
      <c r="AC147" s="24">
        <f t="shared" si="111"/>
        <v>0.11441911096199919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1.7053025658242404E-13</v>
      </c>
      <c r="AJ147" s="14">
        <f>AI147*VLOOKUP('Données projet'!$B$10,Paramètres!$A$1:$I$89,3,0)*VLOOKUP('Données projet'!$B$10,Paramètres!$A$1:$I$89,5,0)</f>
        <v>1.4365468814503402E-13</v>
      </c>
      <c r="AK147" s="14">
        <f t="shared" si="143"/>
        <v>2.0689969164106979E-12</v>
      </c>
      <c r="AL147" s="22">
        <f t="shared" si="112"/>
        <v>3.853701544601233E-12</v>
      </c>
      <c r="AM147" s="62">
        <f t="shared" si="113"/>
        <v>293.33333333333718</v>
      </c>
      <c r="AN147" s="62">
        <f ca="1">AVERAGE(OFFSET($AM$3,0,0,'Données projet'!$E$10+1,1))-AVERAGE(OFFSET($H$3,0,0,'Données projet'!$E$10+1,1))</f>
        <v>348.84749506659495</v>
      </c>
      <c r="AO147" s="62">
        <f t="shared" si="144"/>
        <v>220.09202639602199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0.10652813779220595</v>
      </c>
      <c r="AW147" s="23">
        <f>EXP(-LN(2)/2)*AW146+(1-EXP(-LN(2)/2))/(LN(2)/2)*AQ147*AT147*VLOOKUP('Données projet'!$B$10,Paramètres!$A$1:$I$89,3,0)*0.475*44/12</f>
        <v>8.1073744739136698E-17</v>
      </c>
      <c r="AX147" s="23">
        <f t="shared" si="114"/>
        <v>0.10652813779220603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5.3205440053716299E-14</v>
      </c>
      <c r="BF147" s="14">
        <f t="shared" si="145"/>
        <v>8.602146238565607E-13</v>
      </c>
      <c r="BG147" s="22">
        <f t="shared" si="115"/>
        <v>1.590873277977066E-12</v>
      </c>
      <c r="BH147" s="62">
        <f t="shared" si="116"/>
        <v>293.33333333333491</v>
      </c>
      <c r="BI147" s="62">
        <f ca="1">AVERAGE(OFFSET($BH$3,0,0,'Données projet'!$E$11+1,1))-AVERAGE(OFFSET($H$3,0,0,'Données projet'!$E$11+1,1))</f>
        <v>259.74478933784656</v>
      </c>
      <c r="BJ147" s="62">
        <f t="shared" si="146"/>
        <v>223.74038909289646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1.7053025658242404E-13</v>
      </c>
      <c r="BZ147" s="14">
        <f>BY147*VLOOKUP('Données projet'!$B$12,Paramètres!$A$1:$I$89,3,0)*VLOOKUP('Données projet'!$B$12,Paramètres!$A$1:$I$89,5,0)</f>
        <v>1.72917680174578E-13</v>
      </c>
      <c r="CA147" s="14">
        <f t="shared" si="147"/>
        <v>2.4372886112056825E-12</v>
      </c>
      <c r="CB147" s="22">
        <f t="shared" si="118"/>
        <v>4.5461092908206203E-12</v>
      </c>
      <c r="CC147" s="62">
        <f t="shared" si="119"/>
        <v>293.33333333333786</v>
      </c>
      <c r="CD147" s="62">
        <f ca="1">AVERAGE(OFFSET($CC$3,0,0,'Données projet'!$E$12+1,1))-AVERAGE(OFFSET($H$3,0,0,'Données projet'!$E$12+1,1))</f>
        <v>411.75894069172358</v>
      </c>
      <c r="CE147" s="62">
        <f t="shared" si="148"/>
        <v>256.4377087753457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0.12822831400913701</v>
      </c>
      <c r="CM147" s="23">
        <f>EXP(-LN(2)/2)*CM146+(1-EXP(-LN(2)/2))/(LN(2)/2)*CG147*CJ147*VLOOKUP('Données projet'!$B$12,Paramètres!$A$1:$I$89,3,0)*0.475*44/12</f>
        <v>9.758876681562748E-17</v>
      </c>
      <c r="CN147" s="24">
        <f t="shared" si="120"/>
        <v>0.12822831400913712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1.7053025658242404E-13</v>
      </c>
      <c r="O148" s="14">
        <f>N148*VLOOKUP('Données projet'!$B$9,Paramètres!$A$1:$I$89,3,0)*VLOOKUP('Données projet'!$B$9,Paramètres!$A$1:$I$89,5,0)</f>
        <v>1.5429577615577727E-13</v>
      </c>
      <c r="P148" s="14">
        <f t="shared" si="141"/>
        <v>2.2038482767263348E-12</v>
      </c>
      <c r="Q148" s="22">
        <f t="shared" si="108"/>
        <v>4.107100892103012E-12</v>
      </c>
      <c r="R148" s="62">
        <f t="shared" si="109"/>
        <v>293.33333333333741</v>
      </c>
      <c r="S148" s="62">
        <f ca="1">AVERAGE(OFFSET($R$3,0,0,'Données projet'!$E$9+1,1))-AVERAGE(OFFSET($H$3,0,0,'Données projet'!$E$9+1,1))</f>
        <v>371.75294069149942</v>
      </c>
      <c r="T148" s="62">
        <f t="shared" si="142"/>
        <v>233.32640143610547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0.1112903143557037</v>
      </c>
      <c r="AB148" s="23">
        <f>EXP(-LN(2)/2)*AB147+(1-EXP(-LN(2)/2))/(LN(2)/2)*V148*Y148*VLOOKUP('Données projet'!$B$9,Paramètres!$A$1:$I$89,3,0)*0.475*44/12</f>
        <v>6.1574297990951514E-17</v>
      </c>
      <c r="AC148" s="24">
        <f t="shared" si="111"/>
        <v>0.11129031435570376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1.7053025658242404E-13</v>
      </c>
      <c r="AJ148" s="14">
        <f>AI148*VLOOKUP('Données projet'!$B$10,Paramètres!$A$1:$I$89,3,0)*VLOOKUP('Données projet'!$B$10,Paramètres!$A$1:$I$89,5,0)</f>
        <v>1.4365468814503402E-13</v>
      </c>
      <c r="AK148" s="14">
        <f t="shared" si="143"/>
        <v>2.0689969164106979E-12</v>
      </c>
      <c r="AL148" s="22">
        <f t="shared" si="112"/>
        <v>3.853701544601233E-12</v>
      </c>
      <c r="AM148" s="62">
        <f t="shared" si="113"/>
        <v>293.33333333333718</v>
      </c>
      <c r="AN148" s="62">
        <f ca="1">AVERAGE(OFFSET($AM$3,0,0,'Données projet'!$E$10+1,1))-AVERAGE(OFFSET($H$3,0,0,'Données projet'!$E$10+1,1))</f>
        <v>348.84749506659495</v>
      </c>
      <c r="AO148" s="62">
        <f t="shared" si="144"/>
        <v>220.09202639602199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0.10361512026220679</v>
      </c>
      <c r="AW148" s="23">
        <f>EXP(-LN(2)/2)*AW147+(1-EXP(-LN(2)/2))/(LN(2)/2)*AQ148*AT148*VLOOKUP('Données projet'!$B$10,Paramètres!$A$1:$I$89,3,0)*0.475*44/12</f>
        <v>5.7327794681230739E-17</v>
      </c>
      <c r="AX148" s="23">
        <f t="shared" si="114"/>
        <v>0.10361512026220684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5.3205440053716299E-14</v>
      </c>
      <c r="BF148" s="14">
        <f t="shared" si="145"/>
        <v>8.602146238565607E-13</v>
      </c>
      <c r="BG148" s="22">
        <f t="shared" si="115"/>
        <v>1.590873277977066E-12</v>
      </c>
      <c r="BH148" s="62">
        <f t="shared" si="116"/>
        <v>293.33333333333491</v>
      </c>
      <c r="BI148" s="62">
        <f ca="1">AVERAGE(OFFSET($BH$3,0,0,'Données projet'!$E$11+1,1))-AVERAGE(OFFSET($H$3,0,0,'Données projet'!$E$11+1,1))</f>
        <v>259.74478933784656</v>
      </c>
      <c r="BJ148" s="62">
        <f t="shared" si="146"/>
        <v>223.74038909289646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1.7053025658242404E-13</v>
      </c>
      <c r="BZ148" s="14">
        <f>BY148*VLOOKUP('Données projet'!$B$12,Paramètres!$A$1:$I$89,3,0)*VLOOKUP('Données projet'!$B$12,Paramètres!$A$1:$I$89,5,0)</f>
        <v>1.72917680174578E-13</v>
      </c>
      <c r="CA148" s="14">
        <f t="shared" si="147"/>
        <v>2.4372886112056825E-12</v>
      </c>
      <c r="CB148" s="22">
        <f t="shared" si="118"/>
        <v>4.5461092908206203E-12</v>
      </c>
      <c r="CC148" s="62">
        <f t="shared" si="119"/>
        <v>293.33333333333786</v>
      </c>
      <c r="CD148" s="62">
        <f ca="1">AVERAGE(OFFSET($CC$3,0,0,'Données projet'!$E$12+1,1))-AVERAGE(OFFSET($H$3,0,0,'Données projet'!$E$12+1,1))</f>
        <v>411.75894069172358</v>
      </c>
      <c r="CE148" s="62">
        <f t="shared" si="148"/>
        <v>256.4377087753457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0.12472190401932319</v>
      </c>
      <c r="CM148" s="23">
        <f>EXP(-LN(2)/2)*CM147+(1-EXP(-LN(2)/2))/(LN(2)/2)*CG148*CJ148*VLOOKUP('Données projet'!$B$12,Paramètres!$A$1:$I$89,3,0)*0.475*44/12</f>
        <v>6.9005678782962911E-17</v>
      </c>
      <c r="CN148" s="24">
        <f t="shared" si="120"/>
        <v>0.12472190401932326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1.7053025658242404E-13</v>
      </c>
      <c r="O149" s="14">
        <f>N149*VLOOKUP('Données projet'!$B$9,Paramètres!$A$1:$I$89,3,0)*VLOOKUP('Données projet'!$B$9,Paramètres!$A$1:$I$89,5,0)</f>
        <v>1.5429577615577727E-13</v>
      </c>
      <c r="P149" s="14">
        <f t="shared" si="141"/>
        <v>2.2038482767263348E-12</v>
      </c>
      <c r="Q149" s="22">
        <f t="shared" si="108"/>
        <v>4.107100892103012E-12</v>
      </c>
      <c r="R149" s="62">
        <f t="shared" si="109"/>
        <v>293.33333333333741</v>
      </c>
      <c r="S149" s="62">
        <f ca="1">AVERAGE(OFFSET($R$3,0,0,'Données projet'!$E$9+1,1))-AVERAGE(OFFSET($H$3,0,0,'Données projet'!$E$9+1,1))</f>
        <v>371.75294069149942</v>
      </c>
      <c r="T149" s="62">
        <f t="shared" si="142"/>
        <v>233.32640143610547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0.10824707485714372</v>
      </c>
      <c r="AB149" s="23">
        <f>EXP(-LN(2)/2)*AB148+(1-EXP(-LN(2)/2))/(LN(2)/2)*V149*Y149*VLOOKUP('Données projet'!$B$9,Paramètres!$A$1:$I$89,3,0)*0.475*44/12</f>
        <v>4.3539603656203025E-17</v>
      </c>
      <c r="AC149" s="24">
        <f t="shared" si="111"/>
        <v>0.10824707485714376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1.7053025658242404E-13</v>
      </c>
      <c r="AJ149" s="14">
        <f>AI149*VLOOKUP('Données projet'!$B$10,Paramètres!$A$1:$I$89,3,0)*VLOOKUP('Données projet'!$B$10,Paramètres!$A$1:$I$89,5,0)</f>
        <v>1.4365468814503402E-13</v>
      </c>
      <c r="AK149" s="14">
        <f t="shared" si="143"/>
        <v>2.0689969164106979E-12</v>
      </c>
      <c r="AL149" s="22">
        <f t="shared" si="112"/>
        <v>3.853701544601233E-12</v>
      </c>
      <c r="AM149" s="62">
        <f t="shared" si="113"/>
        <v>293.33333333333718</v>
      </c>
      <c r="AN149" s="62">
        <f ca="1">AVERAGE(OFFSET($AM$3,0,0,'Données projet'!$E$10+1,1))-AVERAGE(OFFSET($H$3,0,0,'Données projet'!$E$10+1,1))</f>
        <v>348.84749506659495</v>
      </c>
      <c r="AO149" s="62">
        <f t="shared" si="144"/>
        <v>220.09202639602199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0.10078175934975439</v>
      </c>
      <c r="AW149" s="23">
        <f>EXP(-LN(2)/2)*AW148+(1-EXP(-LN(2)/2))/(LN(2)/2)*AQ149*AT149*VLOOKUP('Données projet'!$B$10,Paramètres!$A$1:$I$89,3,0)*0.475*44/12</f>
        <v>4.0536872369568349E-17</v>
      </c>
      <c r="AX149" s="23">
        <f t="shared" si="114"/>
        <v>0.10078175934975443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5.3205440053716299E-14</v>
      </c>
      <c r="BF149" s="14">
        <f t="shared" si="145"/>
        <v>8.602146238565607E-13</v>
      </c>
      <c r="BG149" s="22">
        <f t="shared" si="115"/>
        <v>1.590873277977066E-12</v>
      </c>
      <c r="BH149" s="62">
        <f t="shared" si="116"/>
        <v>293.33333333333491</v>
      </c>
      <c r="BI149" s="62">
        <f ca="1">AVERAGE(OFFSET($BH$3,0,0,'Données projet'!$E$11+1,1))-AVERAGE(OFFSET($H$3,0,0,'Données projet'!$E$11+1,1))</f>
        <v>259.74478933784656</v>
      </c>
      <c r="BJ149" s="62">
        <f t="shared" si="146"/>
        <v>223.74038909289646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1.7053025658242404E-13</v>
      </c>
      <c r="BZ149" s="14">
        <f>BY149*VLOOKUP('Données projet'!$B$12,Paramètres!$A$1:$I$89,3,0)*VLOOKUP('Données projet'!$B$12,Paramètres!$A$1:$I$89,5,0)</f>
        <v>1.72917680174578E-13</v>
      </c>
      <c r="CA149" s="14">
        <f t="shared" si="147"/>
        <v>2.4372886112056825E-12</v>
      </c>
      <c r="CB149" s="22">
        <f t="shared" si="118"/>
        <v>4.5461092908206203E-12</v>
      </c>
      <c r="CC149" s="62">
        <f t="shared" si="119"/>
        <v>293.33333333333786</v>
      </c>
      <c r="CD149" s="62">
        <f ca="1">AVERAGE(OFFSET($CC$3,0,0,'Données projet'!$E$12+1,1))-AVERAGE(OFFSET($H$3,0,0,'Données projet'!$E$12+1,1))</f>
        <v>411.75894069172358</v>
      </c>
      <c r="CE149" s="62">
        <f t="shared" si="148"/>
        <v>256.4377087753457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0.12131137699507492</v>
      </c>
      <c r="CM149" s="23">
        <f>EXP(-LN(2)/2)*CM148+(1-EXP(-LN(2)/2))/(LN(2)/2)*CG149*CJ149*VLOOKUP('Données projet'!$B$12,Paramètres!$A$1:$I$89,3,0)*0.475*44/12</f>
        <v>4.879438340781374E-17</v>
      </c>
      <c r="CN149" s="24">
        <f t="shared" si="120"/>
        <v>0.12131137699507498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1.7053025658242404E-13</v>
      </c>
      <c r="O150" s="14">
        <f>N150*VLOOKUP('Données projet'!$B$9,Paramètres!$A$1:$I$89,3,0)*VLOOKUP('Données projet'!$B$9,Paramètres!$A$1:$I$89,5,0)</f>
        <v>1.5429577615577727E-13</v>
      </c>
      <c r="P150" s="14">
        <f t="shared" si="141"/>
        <v>2.2038482767263348E-12</v>
      </c>
      <c r="Q150" s="22">
        <f t="shared" si="108"/>
        <v>4.107100892103012E-12</v>
      </c>
      <c r="R150" s="62">
        <f t="shared" si="109"/>
        <v>293.33333333333741</v>
      </c>
      <c r="S150" s="62">
        <f ca="1">AVERAGE(OFFSET($R$3,0,0,'Données projet'!$E$9+1,1))-AVERAGE(OFFSET($H$3,0,0,'Données projet'!$E$9+1,1))</f>
        <v>371.75294069149942</v>
      </c>
      <c r="T150" s="62">
        <f t="shared" si="142"/>
        <v>233.32640143610547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0.10528705290270886</v>
      </c>
      <c r="AB150" s="23">
        <f>EXP(-LN(2)/2)*AB149+(1-EXP(-LN(2)/2))/(LN(2)/2)*V150*Y150*VLOOKUP('Données projet'!$B$9,Paramètres!$A$1:$I$89,3,0)*0.475*44/12</f>
        <v>3.0787148995475757E-17</v>
      </c>
      <c r="AC150" s="24">
        <f t="shared" si="111"/>
        <v>0.10528705290270889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1.7053025658242404E-13</v>
      </c>
      <c r="AJ150" s="14">
        <f>AI150*VLOOKUP('Données projet'!$B$10,Paramètres!$A$1:$I$89,3,0)*VLOOKUP('Données projet'!$B$10,Paramètres!$A$1:$I$89,5,0)</f>
        <v>1.4365468814503402E-13</v>
      </c>
      <c r="AK150" s="14">
        <f t="shared" si="143"/>
        <v>2.0689969164106979E-12</v>
      </c>
      <c r="AL150" s="22">
        <f t="shared" si="112"/>
        <v>3.853701544601233E-12</v>
      </c>
      <c r="AM150" s="62">
        <f t="shared" si="113"/>
        <v>293.33333333333718</v>
      </c>
      <c r="AN150" s="62">
        <f ca="1">AVERAGE(OFFSET($AM$3,0,0,'Données projet'!$E$10+1,1))-AVERAGE(OFFSET($H$3,0,0,'Données projet'!$E$10+1,1))</f>
        <v>348.84749506659495</v>
      </c>
      <c r="AO150" s="62">
        <f t="shared" si="144"/>
        <v>220.09202639602199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9.8025876840452969E-2</v>
      </c>
      <c r="AW150" s="23">
        <f>EXP(-LN(2)/2)*AW149+(1-EXP(-LN(2)/2))/(LN(2)/2)*AQ150*AT150*VLOOKUP('Données projet'!$B$10,Paramètres!$A$1:$I$89,3,0)*0.475*44/12</f>
        <v>2.866389734061537E-17</v>
      </c>
      <c r="AX150" s="23">
        <f t="shared" si="114"/>
        <v>9.8025876840452997E-2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5.3205440053716299E-14</v>
      </c>
      <c r="BF150" s="14">
        <f t="shared" si="145"/>
        <v>8.602146238565607E-13</v>
      </c>
      <c r="BG150" s="22">
        <f t="shared" si="115"/>
        <v>1.590873277977066E-12</v>
      </c>
      <c r="BH150" s="62">
        <f t="shared" si="116"/>
        <v>293.33333333333491</v>
      </c>
      <c r="BI150" s="62">
        <f ca="1">AVERAGE(OFFSET($BH$3,0,0,'Données projet'!$E$11+1,1))-AVERAGE(OFFSET($H$3,0,0,'Données projet'!$E$11+1,1))</f>
        <v>259.74478933784656</v>
      </c>
      <c r="BJ150" s="62">
        <f t="shared" si="146"/>
        <v>223.74038909289646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1.7053025658242404E-13</v>
      </c>
      <c r="BZ150" s="14">
        <f>BY150*VLOOKUP('Données projet'!$B$12,Paramètres!$A$1:$I$89,3,0)*VLOOKUP('Données projet'!$B$12,Paramètres!$A$1:$I$89,5,0)</f>
        <v>1.72917680174578E-13</v>
      </c>
      <c r="CA150" s="14">
        <f t="shared" si="147"/>
        <v>2.4372886112056825E-12</v>
      </c>
      <c r="CB150" s="22">
        <f t="shared" si="118"/>
        <v>4.5461092908206203E-12</v>
      </c>
      <c r="CC150" s="62">
        <f t="shared" si="119"/>
        <v>293.33333333333786</v>
      </c>
      <c r="CD150" s="62">
        <f ca="1">AVERAGE(OFFSET($CC$3,0,0,'Données projet'!$E$12+1,1))-AVERAGE(OFFSET($H$3,0,0,'Données projet'!$E$12+1,1))</f>
        <v>411.75894069172358</v>
      </c>
      <c r="CE150" s="62">
        <f t="shared" si="148"/>
        <v>256.4377087753457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0.11799411101165655</v>
      </c>
      <c r="CM150" s="23">
        <f>EXP(-LN(2)/2)*CM149+(1-EXP(-LN(2)/2))/(LN(2)/2)*CG150*CJ150*VLOOKUP('Données projet'!$B$12,Paramètres!$A$1:$I$89,3,0)*0.475*44/12</f>
        <v>3.4502839391481455E-17</v>
      </c>
      <c r="CN150" s="24">
        <f t="shared" si="120"/>
        <v>0.11799411101165658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1.7053025658242404E-13</v>
      </c>
      <c r="O151" s="14">
        <f>N151*VLOOKUP('Données projet'!$B$9,Paramètres!$A$1:$I$89,3,0)*VLOOKUP('Données projet'!$B$9,Paramètres!$A$1:$I$89,5,0)</f>
        <v>1.5429577615577727E-13</v>
      </c>
      <c r="P151" s="14">
        <f t="shared" si="141"/>
        <v>2.2038482767263348E-12</v>
      </c>
      <c r="Q151" s="22">
        <f t="shared" si="108"/>
        <v>4.107100892103012E-12</v>
      </c>
      <c r="R151" s="62">
        <f t="shared" si="109"/>
        <v>293.33333333333741</v>
      </c>
      <c r="S151" s="62">
        <f ca="1">AVERAGE(OFFSET($R$3,0,0,'Données projet'!$E$9+1,1))-AVERAGE(OFFSET($H$3,0,0,'Données projet'!$E$9+1,1))</f>
        <v>371.75294069149942</v>
      </c>
      <c r="T151" s="62">
        <f t="shared" si="142"/>
        <v>233.32640143610547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0.1024079729042788</v>
      </c>
      <c r="AB151" s="23">
        <f>EXP(-LN(2)/2)*AB150+(1-EXP(-LN(2)/2))/(LN(2)/2)*V151*Y151*VLOOKUP('Données projet'!$B$9,Paramètres!$A$1:$I$89,3,0)*0.475*44/12</f>
        <v>2.1769801828101513E-17</v>
      </c>
      <c r="AC151" s="24">
        <f t="shared" si="111"/>
        <v>0.10240797290427883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1.7053025658242404E-13</v>
      </c>
      <c r="AJ151" s="14">
        <f>AI151*VLOOKUP('Données projet'!$B$10,Paramètres!$A$1:$I$89,3,0)*VLOOKUP('Données projet'!$B$10,Paramètres!$A$1:$I$89,5,0)</f>
        <v>1.4365468814503402E-13</v>
      </c>
      <c r="AK151" s="14">
        <f t="shared" si="143"/>
        <v>2.0689969164106979E-12</v>
      </c>
      <c r="AL151" s="22">
        <f t="shared" si="112"/>
        <v>3.853701544601233E-12</v>
      </c>
      <c r="AM151" s="62">
        <f t="shared" si="113"/>
        <v>293.33333333333718</v>
      </c>
      <c r="AN151" s="62">
        <f ca="1">AVERAGE(OFFSET($AM$3,0,0,'Données projet'!$E$10+1,1))-AVERAGE(OFFSET($H$3,0,0,'Données projet'!$E$10+1,1))</f>
        <v>348.84749506659495</v>
      </c>
      <c r="AO151" s="62">
        <f t="shared" si="144"/>
        <v>220.09202639602199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9.5345354083293962E-2</v>
      </c>
      <c r="AW151" s="23">
        <f>EXP(-LN(2)/2)*AW150+(1-EXP(-LN(2)/2))/(LN(2)/2)*AQ151*AT151*VLOOKUP('Données projet'!$B$10,Paramètres!$A$1:$I$89,3,0)*0.475*44/12</f>
        <v>2.0268436184784174E-17</v>
      </c>
      <c r="AX151" s="23">
        <f t="shared" si="114"/>
        <v>9.5345354083293976E-2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5.3205440053716299E-14</v>
      </c>
      <c r="BF151" s="14">
        <f t="shared" si="145"/>
        <v>8.602146238565607E-13</v>
      </c>
      <c r="BG151" s="22">
        <f t="shared" si="115"/>
        <v>1.590873277977066E-12</v>
      </c>
      <c r="BH151" s="62">
        <f t="shared" si="116"/>
        <v>293.33333333333491</v>
      </c>
      <c r="BI151" s="62">
        <f ca="1">AVERAGE(OFFSET($BH$3,0,0,'Données projet'!$E$11+1,1))-AVERAGE(OFFSET($H$3,0,0,'Données projet'!$E$11+1,1))</f>
        <v>259.74478933784656</v>
      </c>
      <c r="BJ151" s="62">
        <f t="shared" si="146"/>
        <v>223.74038909289646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1.7053025658242404E-13</v>
      </c>
      <c r="BZ151" s="14">
        <f>BY151*VLOOKUP('Données projet'!$B$12,Paramètres!$A$1:$I$89,3,0)*VLOOKUP('Données projet'!$B$12,Paramètres!$A$1:$I$89,5,0)</f>
        <v>1.72917680174578E-13</v>
      </c>
      <c r="CA151" s="14">
        <f t="shared" si="147"/>
        <v>2.4372886112056825E-12</v>
      </c>
      <c r="CB151" s="22">
        <f t="shared" si="118"/>
        <v>4.5461092908206203E-12</v>
      </c>
      <c r="CC151" s="62">
        <f t="shared" si="119"/>
        <v>293.33333333333786</v>
      </c>
      <c r="CD151" s="62">
        <f ca="1">AVERAGE(OFFSET($CC$3,0,0,'Données projet'!$E$12+1,1))-AVERAGE(OFFSET($H$3,0,0,'Données projet'!$E$12+1,1))</f>
        <v>411.75894069172358</v>
      </c>
      <c r="CE151" s="62">
        <f t="shared" si="148"/>
        <v>256.4377087753457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0.11476755584100218</v>
      </c>
      <c r="CM151" s="23">
        <f>EXP(-LN(2)/2)*CM150+(1-EXP(-LN(2)/2))/(LN(2)/2)*CG151*CJ151*VLOOKUP('Données projet'!$B$12,Paramètres!$A$1:$I$89,3,0)*0.475*44/12</f>
        <v>2.439719170390687E-17</v>
      </c>
      <c r="CN151" s="24">
        <f t="shared" si="120"/>
        <v>0.11476755584100221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1.7053025658242404E-13</v>
      </c>
      <c r="O152" s="14">
        <f>N152*VLOOKUP('Données projet'!$B$9,Paramètres!$A$1:$I$89,3,0)*VLOOKUP('Données projet'!$B$9,Paramètres!$A$1:$I$89,5,0)</f>
        <v>1.5429577615577727E-13</v>
      </c>
      <c r="P152" s="14">
        <f t="shared" si="141"/>
        <v>2.2038482767263348E-12</v>
      </c>
      <c r="Q152" s="22">
        <f t="shared" si="108"/>
        <v>4.107100892103012E-12</v>
      </c>
      <c r="R152" s="62">
        <f t="shared" si="109"/>
        <v>293.33333333333741</v>
      </c>
      <c r="S152" s="62">
        <f ca="1">AVERAGE(OFFSET($R$3,0,0,'Données projet'!$E$9+1,1))-AVERAGE(OFFSET($H$3,0,0,'Données projet'!$E$9+1,1))</f>
        <v>371.75294069149942</v>
      </c>
      <c r="T152" s="62">
        <f t="shared" si="142"/>
        <v>233.32640143610547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9.9607621499810062E-2</v>
      </c>
      <c r="AB152" s="23">
        <f>EXP(-LN(2)/2)*AB151+(1-EXP(-LN(2)/2))/(LN(2)/2)*V152*Y152*VLOOKUP('Données projet'!$B$9,Paramètres!$A$1:$I$89,3,0)*0.475*44/12</f>
        <v>1.5393574497737879E-17</v>
      </c>
      <c r="AC152" s="24">
        <f t="shared" si="111"/>
        <v>9.9607621499810076E-2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1.7053025658242404E-13</v>
      </c>
      <c r="AJ152" s="14">
        <f>AI152*VLOOKUP('Données projet'!$B$10,Paramètres!$A$1:$I$89,3,0)*VLOOKUP('Données projet'!$B$10,Paramètres!$A$1:$I$89,5,0)</f>
        <v>1.4365468814503402E-13</v>
      </c>
      <c r="AK152" s="14">
        <f t="shared" si="143"/>
        <v>2.0689969164106979E-12</v>
      </c>
      <c r="AL152" s="22">
        <f t="shared" si="112"/>
        <v>3.853701544601233E-12</v>
      </c>
      <c r="AM152" s="62">
        <f t="shared" si="113"/>
        <v>293.33333333333718</v>
      </c>
      <c r="AN152" s="62">
        <f ca="1">AVERAGE(OFFSET($AM$3,0,0,'Données projet'!$E$10+1,1))-AVERAGE(OFFSET($H$3,0,0,'Données projet'!$E$10+1,1))</f>
        <v>348.84749506659495</v>
      </c>
      <c r="AO152" s="62">
        <f t="shared" si="144"/>
        <v>220.09202639602199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9.2738130361892032E-2</v>
      </c>
      <c r="AW152" s="23">
        <f>EXP(-LN(2)/2)*AW151+(1-EXP(-LN(2)/2))/(LN(2)/2)*AQ152*AT152*VLOOKUP('Données projet'!$B$10,Paramètres!$A$1:$I$89,3,0)*0.475*44/12</f>
        <v>1.4331948670307685E-17</v>
      </c>
      <c r="AX152" s="23">
        <f t="shared" si="114"/>
        <v>9.2738130361892046E-2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5.3205440053716299E-14</v>
      </c>
      <c r="BF152" s="14">
        <f t="shared" si="145"/>
        <v>8.602146238565607E-13</v>
      </c>
      <c r="BG152" s="22">
        <f t="shared" si="115"/>
        <v>1.590873277977066E-12</v>
      </c>
      <c r="BH152" s="62">
        <f t="shared" si="116"/>
        <v>293.33333333333491</v>
      </c>
      <c r="BI152" s="62">
        <f ca="1">AVERAGE(OFFSET($BH$3,0,0,'Données projet'!$E$11+1,1))-AVERAGE(OFFSET($H$3,0,0,'Données projet'!$E$11+1,1))</f>
        <v>259.74478933784656</v>
      </c>
      <c r="BJ152" s="62">
        <f t="shared" si="146"/>
        <v>223.74038909289646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1.7053025658242404E-13</v>
      </c>
      <c r="BZ152" s="14">
        <f>BY152*VLOOKUP('Données projet'!$B$12,Paramètres!$A$1:$I$89,3,0)*VLOOKUP('Données projet'!$B$12,Paramètres!$A$1:$I$89,5,0)</f>
        <v>1.72917680174578E-13</v>
      </c>
      <c r="CA152" s="14">
        <f t="shared" si="147"/>
        <v>2.4372886112056825E-12</v>
      </c>
      <c r="CB152" s="22">
        <f t="shared" si="118"/>
        <v>4.5461092908206203E-12</v>
      </c>
      <c r="CC152" s="62">
        <f t="shared" si="119"/>
        <v>293.33333333333786</v>
      </c>
      <c r="CD152" s="62">
        <f ca="1">AVERAGE(OFFSET($CC$3,0,0,'Données projet'!$E$12+1,1))-AVERAGE(OFFSET($H$3,0,0,'Données projet'!$E$12+1,1))</f>
        <v>411.75894069172358</v>
      </c>
      <c r="CE152" s="62">
        <f t="shared" si="148"/>
        <v>256.4377087753457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0.11162923099116652</v>
      </c>
      <c r="CM152" s="23">
        <f>EXP(-LN(2)/2)*CM151+(1-EXP(-LN(2)/2))/(LN(2)/2)*CG152*CJ152*VLOOKUP('Données projet'!$B$12,Paramètres!$A$1:$I$89,3,0)*0.475*44/12</f>
        <v>1.7251419695740728E-17</v>
      </c>
      <c r="CN152" s="24">
        <f t="shared" si="120"/>
        <v>0.11162923099116653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1.7053025658242404E-13</v>
      </c>
      <c r="O153" s="14">
        <f>N153*VLOOKUP('Données projet'!$B$9,Paramètres!$A$1:$I$89,3,0)*VLOOKUP('Données projet'!$B$9,Paramètres!$A$1:$I$89,5,0)</f>
        <v>1.5429577615577727E-13</v>
      </c>
      <c r="P153" s="14">
        <f t="shared" si="141"/>
        <v>2.2038482767263348E-12</v>
      </c>
      <c r="Q153" s="22">
        <f t="shared" si="108"/>
        <v>4.107100892103012E-12</v>
      </c>
      <c r="R153" s="62">
        <f t="shared" si="109"/>
        <v>293.33333333333741</v>
      </c>
      <c r="S153" s="62">
        <f ca="1">AVERAGE(OFFSET($R$3,0,0,'Données projet'!$E$9+1,1))-AVERAGE(OFFSET($H$3,0,0,'Données projet'!$E$9+1,1))</f>
        <v>371.75294069149942</v>
      </c>
      <c r="T153" s="62">
        <f t="shared" si="142"/>
        <v>233.32640143610547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9.6883845851760603E-2</v>
      </c>
      <c r="AB153" s="23">
        <f>EXP(-LN(2)/2)*AB152+(1-EXP(-LN(2)/2))/(LN(2)/2)*V153*Y153*VLOOKUP('Données projet'!$B$9,Paramètres!$A$1:$I$89,3,0)*0.475*44/12</f>
        <v>1.0884900914050756E-17</v>
      </c>
      <c r="AC153" s="24">
        <f t="shared" si="111"/>
        <v>9.6883845851760617E-2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1.7053025658242404E-13</v>
      </c>
      <c r="AJ153" s="14">
        <f>AI153*VLOOKUP('Données projet'!$B$10,Paramètres!$A$1:$I$89,3,0)*VLOOKUP('Données projet'!$B$10,Paramètres!$A$1:$I$89,5,0)</f>
        <v>1.4365468814503402E-13</v>
      </c>
      <c r="AK153" s="14">
        <f t="shared" si="143"/>
        <v>2.0689969164106979E-12</v>
      </c>
      <c r="AL153" s="22">
        <f t="shared" si="112"/>
        <v>3.853701544601233E-12</v>
      </c>
      <c r="AM153" s="62">
        <f t="shared" si="113"/>
        <v>293.33333333333718</v>
      </c>
      <c r="AN153" s="62">
        <f ca="1">AVERAGE(OFFSET($AM$3,0,0,'Données projet'!$E$10+1,1))-AVERAGE(OFFSET($H$3,0,0,'Données projet'!$E$10+1,1))</f>
        <v>348.84749506659495</v>
      </c>
      <c r="AO153" s="62">
        <f t="shared" si="144"/>
        <v>220.09202639602199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9.0202201310259772E-2</v>
      </c>
      <c r="AW153" s="23">
        <f>EXP(-LN(2)/2)*AW152+(1-EXP(-LN(2)/2))/(LN(2)/2)*AQ153*AT153*VLOOKUP('Données projet'!$B$10,Paramètres!$A$1:$I$89,3,0)*0.475*44/12</f>
        <v>1.0134218092392087E-17</v>
      </c>
      <c r="AX153" s="23">
        <f t="shared" si="114"/>
        <v>9.0202201310259786E-2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5.3205440053716299E-14</v>
      </c>
      <c r="BF153" s="14">
        <f t="shared" si="145"/>
        <v>8.602146238565607E-13</v>
      </c>
      <c r="BG153" s="22">
        <f t="shared" si="115"/>
        <v>1.590873277977066E-12</v>
      </c>
      <c r="BH153" s="62">
        <f t="shared" si="116"/>
        <v>293.33333333333491</v>
      </c>
      <c r="BI153" s="62">
        <f ca="1">AVERAGE(OFFSET($BH$3,0,0,'Données projet'!$E$11+1,1))-AVERAGE(OFFSET($H$3,0,0,'Données projet'!$E$11+1,1))</f>
        <v>259.74478933784656</v>
      </c>
      <c r="BJ153" s="62">
        <f t="shared" si="146"/>
        <v>223.74038909289646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1.7053025658242404E-13</v>
      </c>
      <c r="BZ153" s="14">
        <f>BY153*VLOOKUP('Données projet'!$B$12,Paramètres!$A$1:$I$89,3,0)*VLOOKUP('Données projet'!$B$12,Paramètres!$A$1:$I$89,5,0)</f>
        <v>1.72917680174578E-13</v>
      </c>
      <c r="CA153" s="14">
        <f t="shared" si="147"/>
        <v>2.4372886112056825E-12</v>
      </c>
      <c r="CB153" s="22">
        <f t="shared" si="118"/>
        <v>4.5461092908206203E-12</v>
      </c>
      <c r="CC153" s="62">
        <f t="shared" si="119"/>
        <v>293.33333333333786</v>
      </c>
      <c r="CD153" s="62">
        <f ca="1">AVERAGE(OFFSET($CC$3,0,0,'Données projet'!$E$12+1,1))-AVERAGE(OFFSET($H$3,0,0,'Données projet'!$E$12+1,1))</f>
        <v>411.75894069172358</v>
      </c>
      <c r="CE153" s="62">
        <f t="shared" si="148"/>
        <v>256.4377087753457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0.10857672379938695</v>
      </c>
      <c r="CM153" s="23">
        <f>EXP(-LN(2)/2)*CM152+(1-EXP(-LN(2)/2))/(LN(2)/2)*CG153*CJ153*VLOOKUP('Données projet'!$B$12,Paramètres!$A$1:$I$89,3,0)*0.475*44/12</f>
        <v>1.2198595851953435E-17</v>
      </c>
      <c r="CN153" s="24">
        <f t="shared" si="120"/>
        <v>0.10857672379938696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1.7053025658242404E-13</v>
      </c>
      <c r="O154" s="14">
        <f>N154*VLOOKUP('Données projet'!$B$9,Paramètres!$A$1:$I$89,3,0)*VLOOKUP('Données projet'!$B$9,Paramètres!$A$1:$I$89,5,0)</f>
        <v>1.5429577615577727E-13</v>
      </c>
      <c r="P154" s="14">
        <f t="shared" si="141"/>
        <v>2.2038482767263348E-12</v>
      </c>
      <c r="Q154" s="22">
        <f t="shared" ref="Q154:Q203" si="162">(O154+P154)*0.475*44/12</f>
        <v>4.107100892103012E-12</v>
      </c>
      <c r="R154" s="62">
        <f t="shared" si="109"/>
        <v>293.33333333333741</v>
      </c>
      <c r="S154" s="62">
        <f ca="1">AVERAGE(OFFSET($R$3,0,0,'Données projet'!$E$9+1,1))-AVERAGE(OFFSET($H$3,0,0,'Données projet'!$E$9+1,1))</f>
        <v>371.75294069149942</v>
      </c>
      <c r="T154" s="62">
        <f t="shared" si="142"/>
        <v>233.32640143610547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9.4234551992044183E-2</v>
      </c>
      <c r="AB154" s="23">
        <f>EXP(-LN(2)/2)*AB153+(1-EXP(-LN(2)/2))/(LN(2)/2)*V154*Y154*VLOOKUP('Données projet'!$B$9,Paramètres!$A$1:$I$89,3,0)*0.475*44/12</f>
        <v>7.6967872488689393E-18</v>
      </c>
      <c r="AC154" s="24">
        <f t="shared" ref="AC154:AC203" si="163">SUM(Z154:AB154)</f>
        <v>9.4234551992044197E-2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1.7053025658242404E-13</v>
      </c>
      <c r="AJ154" s="14">
        <f>AI154*VLOOKUP('Données projet'!$B$10,Paramètres!$A$1:$I$89,3,0)*VLOOKUP('Données projet'!$B$10,Paramètres!$A$1:$I$89,5,0)</f>
        <v>1.4365468814503402E-13</v>
      </c>
      <c r="AK154" s="14">
        <f t="shared" ref="AK154:AK203" si="164">EXP(-1.0587+0.8836*LN(AJ154)+0.284)</f>
        <v>2.0689969164106979E-12</v>
      </c>
      <c r="AL154" s="22">
        <f t="shared" ref="AL154:AL203" si="165">(AJ154+AK154)*0.475*44/12</f>
        <v>3.853701544601233E-12</v>
      </c>
      <c r="AM154" s="62">
        <f t="shared" si="113"/>
        <v>293.33333333333718</v>
      </c>
      <c r="AN154" s="62">
        <f ca="1">AVERAGE(OFFSET($AM$3,0,0,'Données projet'!$E$10+1,1))-AVERAGE(OFFSET($H$3,0,0,'Données projet'!$E$10+1,1))</f>
        <v>348.84749506659495</v>
      </c>
      <c r="AO154" s="62">
        <f t="shared" si="144"/>
        <v>220.09202639602199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8.7735617371903107E-2</v>
      </c>
      <c r="AW154" s="23">
        <f>EXP(-LN(2)/2)*AW153+(1-EXP(-LN(2)/2))/(LN(2)/2)*AQ154*AT154*VLOOKUP('Données projet'!$B$10,Paramètres!$A$1:$I$89,3,0)*0.475*44/12</f>
        <v>7.1659743351538424E-18</v>
      </c>
      <c r="AX154" s="23">
        <f t="shared" ref="AX154:AX203" si="166">SUM(AU154:AW154)</f>
        <v>8.7735617371903121E-2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5.3205440053716299E-14</v>
      </c>
      <c r="BF154" s="14">
        <f t="shared" ref="BF154:BF203" si="167">EXP(-1.0587+0.8836*LN(BE154)+0.284)</f>
        <v>8.602146238565607E-13</v>
      </c>
      <c r="BG154" s="22">
        <f t="shared" ref="BG154:BG203" si="168">(BE154+BF154)*0.475*44/12</f>
        <v>1.590873277977066E-12</v>
      </c>
      <c r="BH154" s="62">
        <f t="shared" si="116"/>
        <v>293.33333333333491</v>
      </c>
      <c r="BI154" s="62">
        <f ca="1">AVERAGE(OFFSET($BH$3,0,0,'Données projet'!$E$11+1,1))-AVERAGE(OFFSET($H$3,0,0,'Données projet'!$E$11+1,1))</f>
        <v>259.74478933784656</v>
      </c>
      <c r="BJ154" s="62">
        <f t="shared" si="146"/>
        <v>223.74038909289646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1.7053025658242404E-13</v>
      </c>
      <c r="BZ154" s="14">
        <f>BY154*VLOOKUP('Données projet'!$B$12,Paramètres!$A$1:$I$89,3,0)*VLOOKUP('Données projet'!$B$12,Paramètres!$A$1:$I$89,5,0)</f>
        <v>1.72917680174578E-13</v>
      </c>
      <c r="CA154" s="14">
        <f t="shared" ref="CA154:CA203" si="170">EXP(-1.0587+0.8836*LN(BZ154)+0.284)</f>
        <v>2.4372886112056825E-12</v>
      </c>
      <c r="CB154" s="22">
        <f t="shared" ref="CB154:CB203" si="171">(BZ154+CA154)*0.475*44/12</f>
        <v>4.5461092908206203E-12</v>
      </c>
      <c r="CC154" s="62">
        <f t="shared" si="119"/>
        <v>293.33333333333786</v>
      </c>
      <c r="CD154" s="62">
        <f ca="1">AVERAGE(OFFSET($CC$3,0,0,'Données projet'!$E$12+1,1))-AVERAGE(OFFSET($H$3,0,0,'Données projet'!$E$12+1,1))</f>
        <v>411.75894069172358</v>
      </c>
      <c r="CE154" s="62">
        <f t="shared" si="148"/>
        <v>256.4377087753457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0.10560768757729096</v>
      </c>
      <c r="CM154" s="23">
        <f>EXP(-LN(2)/2)*CM153+(1-EXP(-LN(2)/2))/(LN(2)/2)*CG154*CJ154*VLOOKUP('Données projet'!$B$12,Paramètres!$A$1:$I$89,3,0)*0.475*44/12</f>
        <v>8.6257098478703638E-18</v>
      </c>
      <c r="CN154" s="24">
        <f t="shared" ref="CN154:CN203" si="172">SUM(CK154:CM154)</f>
        <v>0.10560768757729097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1.7053025658242404E-13</v>
      </c>
      <c r="O155" s="14">
        <f>N155*VLOOKUP('Données projet'!$B$9,Paramètres!$A$1:$I$89,3,0)*VLOOKUP('Données projet'!$B$9,Paramètres!$A$1:$I$89,5,0)</f>
        <v>1.5429577615577727E-13</v>
      </c>
      <c r="P155" s="14">
        <f t="shared" si="141"/>
        <v>2.2038482767263348E-12</v>
      </c>
      <c r="Q155" s="22">
        <f t="shared" si="162"/>
        <v>4.107100892103012E-12</v>
      </c>
      <c r="R155" s="62">
        <f t="shared" si="109"/>
        <v>293.33333333333741</v>
      </c>
      <c r="S155" s="62">
        <f ca="1">AVERAGE(OFFSET($R$3,0,0,'Données projet'!$E$9+1,1))-AVERAGE(OFFSET($H$3,0,0,'Données projet'!$E$9+1,1))</f>
        <v>371.75294069149942</v>
      </c>
      <c r="T155" s="62">
        <f t="shared" si="142"/>
        <v>233.32640143610547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9.1657703212242023E-2</v>
      </c>
      <c r="AB155" s="23">
        <f>EXP(-LN(2)/2)*AB154+(1-EXP(-LN(2)/2))/(LN(2)/2)*V155*Y155*VLOOKUP('Données projet'!$B$9,Paramètres!$A$1:$I$89,3,0)*0.475*44/12</f>
        <v>5.4424504570253782E-18</v>
      </c>
      <c r="AC155" s="24">
        <f t="shared" si="163"/>
        <v>9.1657703212242023E-2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1.7053025658242404E-13</v>
      </c>
      <c r="AJ155" s="14">
        <f>AI155*VLOOKUP('Données projet'!$B$10,Paramètres!$A$1:$I$89,3,0)*VLOOKUP('Données projet'!$B$10,Paramètres!$A$1:$I$89,5,0)</f>
        <v>1.4365468814503402E-13</v>
      </c>
      <c r="AK155" s="14">
        <f t="shared" si="164"/>
        <v>2.0689969164106979E-12</v>
      </c>
      <c r="AL155" s="22">
        <f t="shared" si="165"/>
        <v>3.853701544601233E-12</v>
      </c>
      <c r="AM155" s="62">
        <f t="shared" si="113"/>
        <v>293.33333333333718</v>
      </c>
      <c r="AN155" s="62">
        <f ca="1">AVERAGE(OFFSET($AM$3,0,0,'Données projet'!$E$10+1,1))-AVERAGE(OFFSET($H$3,0,0,'Données projet'!$E$10+1,1))</f>
        <v>348.84749506659495</v>
      </c>
      <c r="AO155" s="62">
        <f t="shared" si="144"/>
        <v>220.09202639602199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8.5336482301052827E-2</v>
      </c>
      <c r="AW155" s="23">
        <f>EXP(-LN(2)/2)*AW154+(1-EXP(-LN(2)/2))/(LN(2)/2)*AQ155*AT155*VLOOKUP('Données projet'!$B$10,Paramètres!$A$1:$I$89,3,0)*0.475*44/12</f>
        <v>5.0671090461960436E-18</v>
      </c>
      <c r="AX155" s="23">
        <f t="shared" si="166"/>
        <v>8.5336482301052827E-2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5.3205440053716299E-14</v>
      </c>
      <c r="BF155" s="14">
        <f t="shared" si="167"/>
        <v>8.602146238565607E-13</v>
      </c>
      <c r="BG155" s="22">
        <f t="shared" si="168"/>
        <v>1.590873277977066E-12</v>
      </c>
      <c r="BH155" s="62">
        <f t="shared" si="116"/>
        <v>293.33333333333491</v>
      </c>
      <c r="BI155" s="62">
        <f ca="1">AVERAGE(OFFSET($BH$3,0,0,'Données projet'!$E$11+1,1))-AVERAGE(OFFSET($H$3,0,0,'Données projet'!$E$11+1,1))</f>
        <v>259.74478933784656</v>
      </c>
      <c r="BJ155" s="62">
        <f t="shared" si="146"/>
        <v>223.74038909289646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1.7053025658242404E-13</v>
      </c>
      <c r="BZ155" s="14">
        <f>BY155*VLOOKUP('Données projet'!$B$12,Paramètres!$A$1:$I$89,3,0)*VLOOKUP('Données projet'!$B$12,Paramètres!$A$1:$I$89,5,0)</f>
        <v>1.72917680174578E-13</v>
      </c>
      <c r="CA155" s="14">
        <f t="shared" si="170"/>
        <v>2.4372886112056825E-12</v>
      </c>
      <c r="CB155" s="22">
        <f t="shared" si="171"/>
        <v>4.5461092908206203E-12</v>
      </c>
      <c r="CC155" s="62">
        <f t="shared" si="119"/>
        <v>293.33333333333786</v>
      </c>
      <c r="CD155" s="62">
        <f ca="1">AVERAGE(OFFSET($CC$3,0,0,'Données projet'!$E$12+1,1))-AVERAGE(OFFSET($H$3,0,0,'Données projet'!$E$12+1,1))</f>
        <v>411.75894069172358</v>
      </c>
      <c r="CE155" s="62">
        <f t="shared" si="148"/>
        <v>256.4377087753457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0.10271983980682302</v>
      </c>
      <c r="CM155" s="23">
        <f>EXP(-LN(2)/2)*CM154+(1-EXP(-LN(2)/2))/(LN(2)/2)*CG155*CJ155*VLOOKUP('Données projet'!$B$12,Paramètres!$A$1:$I$89,3,0)*0.475*44/12</f>
        <v>6.0992979259767175E-18</v>
      </c>
      <c r="CN155" s="24">
        <f t="shared" si="172"/>
        <v>0.10271983980682302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1.7053025658242404E-13</v>
      </c>
      <c r="O156" s="14">
        <f>N156*VLOOKUP('Données projet'!$B$9,Paramètres!$A$1:$I$89,3,0)*VLOOKUP('Données projet'!$B$9,Paramètres!$A$1:$I$89,5,0)</f>
        <v>1.5429577615577727E-13</v>
      </c>
      <c r="P156" s="14">
        <f t="shared" si="141"/>
        <v>2.2038482767263348E-12</v>
      </c>
      <c r="Q156" s="22">
        <f t="shared" si="162"/>
        <v>4.107100892103012E-12</v>
      </c>
      <c r="R156" s="62">
        <f t="shared" si="109"/>
        <v>293.33333333333741</v>
      </c>
      <c r="S156" s="62">
        <f ca="1">AVERAGE(OFFSET($R$3,0,0,'Données projet'!$E$9+1,1))-AVERAGE(OFFSET($H$3,0,0,'Données projet'!$E$9+1,1))</f>
        <v>371.75294069149942</v>
      </c>
      <c r="T156" s="62">
        <f t="shared" si="142"/>
        <v>233.32640143610547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8.9151318497834142E-2</v>
      </c>
      <c r="AB156" s="23">
        <f>EXP(-LN(2)/2)*AB155+(1-EXP(-LN(2)/2))/(LN(2)/2)*V156*Y156*VLOOKUP('Données projet'!$B$9,Paramètres!$A$1:$I$89,3,0)*0.475*44/12</f>
        <v>3.8483936244344696E-18</v>
      </c>
      <c r="AC156" s="24">
        <f t="shared" si="163"/>
        <v>8.9151318497834142E-2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1.7053025658242404E-13</v>
      </c>
      <c r="AJ156" s="14">
        <f>AI156*VLOOKUP('Données projet'!$B$10,Paramètres!$A$1:$I$89,3,0)*VLOOKUP('Données projet'!$B$10,Paramètres!$A$1:$I$89,5,0)</f>
        <v>1.4365468814503402E-13</v>
      </c>
      <c r="AK156" s="14">
        <f t="shared" si="164"/>
        <v>2.0689969164106979E-12</v>
      </c>
      <c r="AL156" s="22">
        <f t="shared" si="165"/>
        <v>3.853701544601233E-12</v>
      </c>
      <c r="AM156" s="62">
        <f t="shared" si="113"/>
        <v>293.33333333333718</v>
      </c>
      <c r="AN156" s="62">
        <f ca="1">AVERAGE(OFFSET($AM$3,0,0,'Données projet'!$E$10+1,1))-AVERAGE(OFFSET($H$3,0,0,'Données projet'!$E$10+1,1))</f>
        <v>348.84749506659495</v>
      </c>
      <c r="AO156" s="62">
        <f t="shared" si="144"/>
        <v>220.09202639602199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8.3002951704879965E-2</v>
      </c>
      <c r="AW156" s="23">
        <f>EXP(-LN(2)/2)*AW155+(1-EXP(-LN(2)/2))/(LN(2)/2)*AQ156*AT156*VLOOKUP('Données projet'!$B$10,Paramètres!$A$1:$I$89,3,0)*0.475*44/12</f>
        <v>3.5829871675769212E-18</v>
      </c>
      <c r="AX156" s="23">
        <f t="shared" si="166"/>
        <v>8.3002951704879965E-2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5.3205440053716299E-14</v>
      </c>
      <c r="BF156" s="14">
        <f t="shared" si="167"/>
        <v>8.602146238565607E-13</v>
      </c>
      <c r="BG156" s="22">
        <f t="shared" si="168"/>
        <v>1.590873277977066E-12</v>
      </c>
      <c r="BH156" s="62">
        <f t="shared" si="116"/>
        <v>293.33333333333491</v>
      </c>
      <c r="BI156" s="62">
        <f ca="1">AVERAGE(OFFSET($BH$3,0,0,'Données projet'!$E$11+1,1))-AVERAGE(OFFSET($H$3,0,0,'Données projet'!$E$11+1,1))</f>
        <v>259.74478933784656</v>
      </c>
      <c r="BJ156" s="62">
        <f t="shared" si="146"/>
        <v>223.74038909289646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1.7053025658242404E-13</v>
      </c>
      <c r="BZ156" s="14">
        <f>BY156*VLOOKUP('Données projet'!$B$12,Paramètres!$A$1:$I$89,3,0)*VLOOKUP('Données projet'!$B$12,Paramètres!$A$1:$I$89,5,0)</f>
        <v>1.72917680174578E-13</v>
      </c>
      <c r="CA156" s="14">
        <f t="shared" si="170"/>
        <v>2.4372886112056825E-12</v>
      </c>
      <c r="CB156" s="22">
        <f t="shared" si="171"/>
        <v>4.5461092908206203E-12</v>
      </c>
      <c r="CC156" s="62">
        <f t="shared" si="119"/>
        <v>293.33333333333786</v>
      </c>
      <c r="CD156" s="62">
        <f ca="1">AVERAGE(OFFSET($CC$3,0,0,'Données projet'!$E$12+1,1))-AVERAGE(OFFSET($H$3,0,0,'Données projet'!$E$12+1,1))</f>
        <v>411.75894069172358</v>
      </c>
      <c r="CE156" s="62">
        <f t="shared" si="148"/>
        <v>256.4377087753457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9.991096038550383E-2</v>
      </c>
      <c r="CM156" s="23">
        <f>EXP(-LN(2)/2)*CM155+(1-EXP(-LN(2)/2))/(LN(2)/2)*CG156*CJ156*VLOOKUP('Données projet'!$B$12,Paramètres!$A$1:$I$89,3,0)*0.475*44/12</f>
        <v>4.3128549239351819E-18</v>
      </c>
      <c r="CN156" s="24">
        <f t="shared" si="172"/>
        <v>9.991096038550383E-2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1.7053025658242404E-13</v>
      </c>
      <c r="O157" s="14">
        <f>N157*VLOOKUP('Données projet'!$B$9,Paramètres!$A$1:$I$89,3,0)*VLOOKUP('Données projet'!$B$9,Paramètres!$A$1:$I$89,5,0)</f>
        <v>1.5429577615577727E-13</v>
      </c>
      <c r="P157" s="14">
        <f t="shared" si="141"/>
        <v>2.2038482767263348E-12</v>
      </c>
      <c r="Q157" s="22">
        <f t="shared" si="162"/>
        <v>4.107100892103012E-12</v>
      </c>
      <c r="R157" s="62">
        <f t="shared" si="109"/>
        <v>293.33333333333741</v>
      </c>
      <c r="S157" s="62">
        <f ca="1">AVERAGE(OFFSET($R$3,0,0,'Données projet'!$E$9+1,1))-AVERAGE(OFFSET($H$3,0,0,'Données projet'!$E$9+1,1))</f>
        <v>371.75294069149942</v>
      </c>
      <c r="T157" s="62">
        <f t="shared" si="142"/>
        <v>233.32640143610547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8.6713471005246789E-2</v>
      </c>
      <c r="AB157" s="23">
        <f>EXP(-LN(2)/2)*AB156+(1-EXP(-LN(2)/2))/(LN(2)/2)*V157*Y157*VLOOKUP('Données projet'!$B$9,Paramètres!$A$1:$I$89,3,0)*0.475*44/12</f>
        <v>2.7212252285126891E-18</v>
      </c>
      <c r="AC157" s="24">
        <f t="shared" si="163"/>
        <v>8.6713471005246789E-2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1.7053025658242404E-13</v>
      </c>
      <c r="AJ157" s="14">
        <f>AI157*VLOOKUP('Données projet'!$B$10,Paramètres!$A$1:$I$89,3,0)*VLOOKUP('Données projet'!$B$10,Paramètres!$A$1:$I$89,5,0)</f>
        <v>1.4365468814503402E-13</v>
      </c>
      <c r="AK157" s="14">
        <f t="shared" si="164"/>
        <v>2.0689969164106979E-12</v>
      </c>
      <c r="AL157" s="22">
        <f t="shared" si="165"/>
        <v>3.853701544601233E-12</v>
      </c>
      <c r="AM157" s="62">
        <f t="shared" si="113"/>
        <v>293.33333333333718</v>
      </c>
      <c r="AN157" s="62">
        <f ca="1">AVERAGE(OFFSET($AM$3,0,0,'Données projet'!$E$10+1,1))-AVERAGE(OFFSET($H$3,0,0,'Données projet'!$E$10+1,1))</f>
        <v>348.84749506659495</v>
      </c>
      <c r="AO157" s="62">
        <f t="shared" si="144"/>
        <v>220.09202639602199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8.0733231625574498E-2</v>
      </c>
      <c r="AW157" s="23">
        <f>EXP(-LN(2)/2)*AW156+(1-EXP(-LN(2)/2))/(LN(2)/2)*AQ157*AT157*VLOOKUP('Données projet'!$B$10,Paramètres!$A$1:$I$89,3,0)*0.475*44/12</f>
        <v>2.5335545230980218E-18</v>
      </c>
      <c r="AX157" s="23">
        <f t="shared" si="166"/>
        <v>8.0733231625574498E-2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5.3205440053716299E-14</v>
      </c>
      <c r="BF157" s="14">
        <f t="shared" si="167"/>
        <v>8.602146238565607E-13</v>
      </c>
      <c r="BG157" s="22">
        <f t="shared" si="168"/>
        <v>1.590873277977066E-12</v>
      </c>
      <c r="BH157" s="62">
        <f t="shared" si="116"/>
        <v>293.33333333333491</v>
      </c>
      <c r="BI157" s="62">
        <f ca="1">AVERAGE(OFFSET($BH$3,0,0,'Données projet'!$E$11+1,1))-AVERAGE(OFFSET($H$3,0,0,'Données projet'!$E$11+1,1))</f>
        <v>259.74478933784656</v>
      </c>
      <c r="BJ157" s="62">
        <f t="shared" si="146"/>
        <v>223.74038909289646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1.7053025658242404E-13</v>
      </c>
      <c r="BZ157" s="14">
        <f>BY157*VLOOKUP('Données projet'!$B$12,Paramètres!$A$1:$I$89,3,0)*VLOOKUP('Données projet'!$B$12,Paramètres!$A$1:$I$89,5,0)</f>
        <v>1.72917680174578E-13</v>
      </c>
      <c r="CA157" s="14">
        <f t="shared" si="170"/>
        <v>2.4372886112056825E-12</v>
      </c>
      <c r="CB157" s="22">
        <f t="shared" si="171"/>
        <v>4.5461092908206203E-12</v>
      </c>
      <c r="CC157" s="62">
        <f t="shared" si="119"/>
        <v>293.33333333333786</v>
      </c>
      <c r="CD157" s="62">
        <f ca="1">AVERAGE(OFFSET($CC$3,0,0,'Données projet'!$E$12+1,1))-AVERAGE(OFFSET($H$3,0,0,'Données projet'!$E$12+1,1))</f>
        <v>411.75894069172358</v>
      </c>
      <c r="CE157" s="62">
        <f t="shared" si="148"/>
        <v>256.4377087753457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9.7178889919673175E-2</v>
      </c>
      <c r="CM157" s="23">
        <f>EXP(-LN(2)/2)*CM156+(1-EXP(-LN(2)/2))/(LN(2)/2)*CG157*CJ157*VLOOKUP('Données projet'!$B$12,Paramètres!$A$1:$I$89,3,0)*0.475*44/12</f>
        <v>3.0496489629883588E-18</v>
      </c>
      <c r="CN157" s="24">
        <f t="shared" si="172"/>
        <v>9.7178889919673175E-2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1.7053025658242404E-13</v>
      </c>
      <c r="O158" s="14">
        <f>N158*VLOOKUP('Données projet'!$B$9,Paramètres!$A$1:$I$89,3,0)*VLOOKUP('Données projet'!$B$9,Paramètres!$A$1:$I$89,5,0)</f>
        <v>1.5429577615577727E-13</v>
      </c>
      <c r="P158" s="14">
        <f t="shared" si="141"/>
        <v>2.2038482767263348E-12</v>
      </c>
      <c r="Q158" s="22">
        <f t="shared" si="162"/>
        <v>4.107100892103012E-12</v>
      </c>
      <c r="R158" s="62">
        <f t="shared" si="109"/>
        <v>293.33333333333741</v>
      </c>
      <c r="S158" s="62">
        <f ca="1">AVERAGE(OFFSET($R$3,0,0,'Données projet'!$E$9+1,1))-AVERAGE(OFFSET($H$3,0,0,'Données projet'!$E$9+1,1))</f>
        <v>371.75294069149942</v>
      </c>
      <c r="T158" s="62">
        <f t="shared" si="142"/>
        <v>233.32640143610547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8.4342286580545059E-2</v>
      </c>
      <c r="AB158" s="23">
        <f>EXP(-LN(2)/2)*AB157+(1-EXP(-LN(2)/2))/(LN(2)/2)*V158*Y158*VLOOKUP('Données projet'!$B$9,Paramètres!$A$1:$I$89,3,0)*0.475*44/12</f>
        <v>1.9241968122172348E-18</v>
      </c>
      <c r="AC158" s="24">
        <f t="shared" si="163"/>
        <v>8.4342286580545059E-2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1.7053025658242404E-13</v>
      </c>
      <c r="AJ158" s="14">
        <f>AI158*VLOOKUP('Données projet'!$B$10,Paramètres!$A$1:$I$89,3,0)*VLOOKUP('Données projet'!$B$10,Paramètres!$A$1:$I$89,5,0)</f>
        <v>1.4365468814503402E-13</v>
      </c>
      <c r="AK158" s="14">
        <f t="shared" si="164"/>
        <v>2.0689969164106979E-12</v>
      </c>
      <c r="AL158" s="22">
        <f t="shared" si="165"/>
        <v>3.853701544601233E-12</v>
      </c>
      <c r="AM158" s="62">
        <f t="shared" si="113"/>
        <v>293.33333333333718</v>
      </c>
      <c r="AN158" s="62">
        <f ca="1">AVERAGE(OFFSET($AM$3,0,0,'Données projet'!$E$10+1,1))-AVERAGE(OFFSET($H$3,0,0,'Données projet'!$E$10+1,1))</f>
        <v>348.84749506659495</v>
      </c>
      <c r="AO158" s="62">
        <f t="shared" si="144"/>
        <v>220.09202639602199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7.8525577161197027E-2</v>
      </c>
      <c r="AW158" s="23">
        <f>EXP(-LN(2)/2)*AW157+(1-EXP(-LN(2)/2))/(LN(2)/2)*AQ158*AT158*VLOOKUP('Données projet'!$B$10,Paramètres!$A$1:$I$89,3,0)*0.475*44/12</f>
        <v>1.7914935837884606E-18</v>
      </c>
      <c r="AX158" s="23">
        <f t="shared" si="166"/>
        <v>7.8525577161197027E-2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5.3205440053716299E-14</v>
      </c>
      <c r="BF158" s="14">
        <f t="shared" si="167"/>
        <v>8.602146238565607E-13</v>
      </c>
      <c r="BG158" s="22">
        <f t="shared" si="168"/>
        <v>1.590873277977066E-12</v>
      </c>
      <c r="BH158" s="62">
        <f t="shared" si="116"/>
        <v>293.33333333333491</v>
      </c>
      <c r="BI158" s="62">
        <f ca="1">AVERAGE(OFFSET($BH$3,0,0,'Données projet'!$E$11+1,1))-AVERAGE(OFFSET($H$3,0,0,'Données projet'!$E$11+1,1))</f>
        <v>259.74478933784656</v>
      </c>
      <c r="BJ158" s="62">
        <f t="shared" si="146"/>
        <v>223.74038909289646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1.7053025658242404E-13</v>
      </c>
      <c r="BZ158" s="14">
        <f>BY158*VLOOKUP('Données projet'!$B$12,Paramètres!$A$1:$I$89,3,0)*VLOOKUP('Données projet'!$B$12,Paramètres!$A$1:$I$89,5,0)</f>
        <v>1.72917680174578E-13</v>
      </c>
      <c r="CA158" s="14">
        <f t="shared" si="170"/>
        <v>2.4372886112056825E-12</v>
      </c>
      <c r="CB158" s="22">
        <f t="shared" si="171"/>
        <v>4.5461092908206203E-12</v>
      </c>
      <c r="CC158" s="62">
        <f t="shared" si="119"/>
        <v>293.33333333333786</v>
      </c>
      <c r="CD158" s="62">
        <f ca="1">AVERAGE(OFFSET($CC$3,0,0,'Données projet'!$E$12+1,1))-AVERAGE(OFFSET($H$3,0,0,'Données projet'!$E$12+1,1))</f>
        <v>411.75894069172358</v>
      </c>
      <c r="CE158" s="62">
        <f t="shared" si="148"/>
        <v>256.4377087753457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9.4521528064404003E-2</v>
      </c>
      <c r="CM158" s="23">
        <f>EXP(-LN(2)/2)*CM157+(1-EXP(-LN(2)/2))/(LN(2)/2)*CG158*CJ158*VLOOKUP('Données projet'!$B$12,Paramètres!$A$1:$I$89,3,0)*0.475*44/12</f>
        <v>2.156427461967591E-18</v>
      </c>
      <c r="CN158" s="24">
        <f t="shared" si="172"/>
        <v>9.4521528064404003E-2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1.7053025658242404E-13</v>
      </c>
      <c r="O159" s="14">
        <f>N159*VLOOKUP('Données projet'!$B$9,Paramètres!$A$1:$I$89,3,0)*VLOOKUP('Données projet'!$B$9,Paramètres!$A$1:$I$89,5,0)</f>
        <v>1.5429577615577727E-13</v>
      </c>
      <c r="P159" s="14">
        <f t="shared" si="141"/>
        <v>2.2038482767263348E-12</v>
      </c>
      <c r="Q159" s="22">
        <f t="shared" si="162"/>
        <v>4.107100892103012E-12</v>
      </c>
      <c r="R159" s="62">
        <f t="shared" si="109"/>
        <v>293.33333333333741</v>
      </c>
      <c r="S159" s="62">
        <f ca="1">AVERAGE(OFFSET($R$3,0,0,'Données projet'!$E$9+1,1))-AVERAGE(OFFSET($H$3,0,0,'Données projet'!$E$9+1,1))</f>
        <v>371.75294069149942</v>
      </c>
      <c r="T159" s="62">
        <f t="shared" si="142"/>
        <v>233.32640143610547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8.2035942318631969E-2</v>
      </c>
      <c r="AB159" s="23">
        <f>EXP(-LN(2)/2)*AB158+(1-EXP(-LN(2)/2))/(LN(2)/2)*V159*Y159*VLOOKUP('Données projet'!$B$9,Paramètres!$A$1:$I$89,3,0)*0.475*44/12</f>
        <v>1.3606126142563445E-18</v>
      </c>
      <c r="AC159" s="24">
        <f t="shared" si="163"/>
        <v>8.2035942318631969E-2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1.7053025658242404E-13</v>
      </c>
      <c r="AJ159" s="14">
        <f>AI159*VLOOKUP('Données projet'!$B$10,Paramètres!$A$1:$I$89,3,0)*VLOOKUP('Données projet'!$B$10,Paramètres!$A$1:$I$89,5,0)</f>
        <v>1.4365468814503402E-13</v>
      </c>
      <c r="AK159" s="14">
        <f t="shared" si="164"/>
        <v>2.0689969164106979E-12</v>
      </c>
      <c r="AL159" s="22">
        <f t="shared" si="165"/>
        <v>3.853701544601233E-12</v>
      </c>
      <c r="AM159" s="62">
        <f t="shared" si="113"/>
        <v>293.33333333333718</v>
      </c>
      <c r="AN159" s="62">
        <f ca="1">AVERAGE(OFFSET($AM$3,0,0,'Données projet'!$E$10+1,1))-AVERAGE(OFFSET($H$3,0,0,'Données projet'!$E$10+1,1))</f>
        <v>348.84749506659495</v>
      </c>
      <c r="AO159" s="62">
        <f t="shared" si="144"/>
        <v>220.09202639602199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7.6378291124243464E-2</v>
      </c>
      <c r="AW159" s="23">
        <f>EXP(-LN(2)/2)*AW158+(1-EXP(-LN(2)/2))/(LN(2)/2)*AQ159*AT159*VLOOKUP('Données projet'!$B$10,Paramètres!$A$1:$I$89,3,0)*0.475*44/12</f>
        <v>1.2667772615490109E-18</v>
      </c>
      <c r="AX159" s="23">
        <f t="shared" si="166"/>
        <v>7.6378291124243464E-2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5.3205440053716299E-14</v>
      </c>
      <c r="BF159" s="14">
        <f t="shared" si="167"/>
        <v>8.602146238565607E-13</v>
      </c>
      <c r="BG159" s="22">
        <f t="shared" si="168"/>
        <v>1.590873277977066E-12</v>
      </c>
      <c r="BH159" s="62">
        <f t="shared" si="116"/>
        <v>293.33333333333491</v>
      </c>
      <c r="BI159" s="62">
        <f ca="1">AVERAGE(OFFSET($BH$3,0,0,'Données projet'!$E$11+1,1))-AVERAGE(OFFSET($H$3,0,0,'Données projet'!$E$11+1,1))</f>
        <v>259.74478933784656</v>
      </c>
      <c r="BJ159" s="62">
        <f t="shared" si="146"/>
        <v>223.74038909289646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1.7053025658242404E-13</v>
      </c>
      <c r="BZ159" s="14">
        <f>BY159*VLOOKUP('Données projet'!$B$12,Paramètres!$A$1:$I$89,3,0)*VLOOKUP('Données projet'!$B$12,Paramètres!$A$1:$I$89,5,0)</f>
        <v>1.72917680174578E-13</v>
      </c>
      <c r="CA159" s="14">
        <f t="shared" si="170"/>
        <v>2.4372886112056825E-12</v>
      </c>
      <c r="CB159" s="22">
        <f t="shared" si="171"/>
        <v>4.5461092908206203E-12</v>
      </c>
      <c r="CC159" s="62">
        <f t="shared" si="119"/>
        <v>293.33333333333786</v>
      </c>
      <c r="CD159" s="62">
        <f ca="1">AVERAGE(OFFSET($CC$3,0,0,'Données projet'!$E$12+1,1))-AVERAGE(OFFSET($H$3,0,0,'Données projet'!$E$12+1,1))</f>
        <v>411.75894069172358</v>
      </c>
      <c r="CE159" s="62">
        <f t="shared" si="148"/>
        <v>256.4377087753457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9.1936831908811745E-2</v>
      </c>
      <c r="CM159" s="23">
        <f>EXP(-LN(2)/2)*CM158+(1-EXP(-LN(2)/2))/(LN(2)/2)*CG159*CJ159*VLOOKUP('Données projet'!$B$12,Paramètres!$A$1:$I$89,3,0)*0.475*44/12</f>
        <v>1.5248244814941794E-18</v>
      </c>
      <c r="CN159" s="24">
        <f t="shared" si="172"/>
        <v>9.1936831908811745E-2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1.7053025658242404E-13</v>
      </c>
      <c r="O160" s="14">
        <f>N160*VLOOKUP('Données projet'!$B$9,Paramètres!$A$1:$I$89,3,0)*VLOOKUP('Données projet'!$B$9,Paramètres!$A$1:$I$89,5,0)</f>
        <v>1.5429577615577727E-13</v>
      </c>
      <c r="P160" s="14">
        <f t="shared" si="141"/>
        <v>2.2038482767263348E-12</v>
      </c>
      <c r="Q160" s="22">
        <f t="shared" si="162"/>
        <v>4.107100892103012E-12</v>
      </c>
      <c r="R160" s="62">
        <f t="shared" si="109"/>
        <v>293.33333333333741</v>
      </c>
      <c r="S160" s="62">
        <f ca="1">AVERAGE(OFFSET($R$3,0,0,'Données projet'!$E$9+1,1))-AVERAGE(OFFSET($H$3,0,0,'Données projet'!$E$9+1,1))</f>
        <v>371.75294069149942</v>
      </c>
      <c r="T160" s="62">
        <f t="shared" si="142"/>
        <v>233.32640143610547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7.9792665161846271E-2</v>
      </c>
      <c r="AB160" s="23">
        <f>EXP(-LN(2)/2)*AB159+(1-EXP(-LN(2)/2))/(LN(2)/2)*V160*Y160*VLOOKUP('Données projet'!$B$9,Paramètres!$A$1:$I$89,3,0)*0.475*44/12</f>
        <v>9.6209840610861741E-19</v>
      </c>
      <c r="AC160" s="24">
        <f t="shared" si="163"/>
        <v>7.9792665161846271E-2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1.7053025658242404E-13</v>
      </c>
      <c r="AJ160" s="14">
        <f>AI160*VLOOKUP('Données projet'!$B$10,Paramètres!$A$1:$I$89,3,0)*VLOOKUP('Données projet'!$B$10,Paramètres!$A$1:$I$89,5,0)</f>
        <v>1.4365468814503402E-13</v>
      </c>
      <c r="AK160" s="14">
        <f t="shared" si="164"/>
        <v>2.0689969164106979E-12</v>
      </c>
      <c r="AL160" s="22">
        <f t="shared" si="165"/>
        <v>3.853701544601233E-12</v>
      </c>
      <c r="AM160" s="62">
        <f t="shared" si="113"/>
        <v>293.33333333333718</v>
      </c>
      <c r="AN160" s="62">
        <f ca="1">AVERAGE(OFFSET($AM$3,0,0,'Données projet'!$E$10+1,1))-AVERAGE(OFFSET($H$3,0,0,'Données projet'!$E$10+1,1))</f>
        <v>348.84749506659495</v>
      </c>
      <c r="AO160" s="62">
        <f t="shared" si="144"/>
        <v>220.09202639602199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7.4289722736891259E-2</v>
      </c>
      <c r="AW160" s="23">
        <f>EXP(-LN(2)/2)*AW159+(1-EXP(-LN(2)/2))/(LN(2)/2)*AQ160*AT160*VLOOKUP('Données projet'!$B$10,Paramètres!$A$1:$I$89,3,0)*0.475*44/12</f>
        <v>8.957467918942303E-19</v>
      </c>
      <c r="AX160" s="23">
        <f t="shared" si="166"/>
        <v>7.4289722736891259E-2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5.3205440053716299E-14</v>
      </c>
      <c r="BF160" s="14">
        <f t="shared" si="167"/>
        <v>8.602146238565607E-13</v>
      </c>
      <c r="BG160" s="22">
        <f t="shared" si="168"/>
        <v>1.590873277977066E-12</v>
      </c>
      <c r="BH160" s="62">
        <f t="shared" si="116"/>
        <v>293.33333333333491</v>
      </c>
      <c r="BI160" s="62">
        <f ca="1">AVERAGE(OFFSET($BH$3,0,0,'Données projet'!$E$11+1,1))-AVERAGE(OFFSET($H$3,0,0,'Données projet'!$E$11+1,1))</f>
        <v>259.74478933784656</v>
      </c>
      <c r="BJ160" s="62">
        <f t="shared" si="146"/>
        <v>223.74038909289646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1.7053025658242404E-13</v>
      </c>
      <c r="BZ160" s="14">
        <f>BY160*VLOOKUP('Données projet'!$B$12,Paramètres!$A$1:$I$89,3,0)*VLOOKUP('Données projet'!$B$12,Paramètres!$A$1:$I$89,5,0)</f>
        <v>1.72917680174578E-13</v>
      </c>
      <c r="CA160" s="14">
        <f t="shared" si="170"/>
        <v>2.4372886112056825E-12</v>
      </c>
      <c r="CB160" s="22">
        <f t="shared" si="171"/>
        <v>4.5461092908206203E-12</v>
      </c>
      <c r="CC160" s="62">
        <f t="shared" si="119"/>
        <v>293.33333333333786</v>
      </c>
      <c r="CD160" s="62">
        <f ca="1">AVERAGE(OFFSET($CC$3,0,0,'Données projet'!$E$12+1,1))-AVERAGE(OFFSET($H$3,0,0,'Données projet'!$E$12+1,1))</f>
        <v>411.75894069172358</v>
      </c>
      <c r="CE160" s="62">
        <f t="shared" si="148"/>
        <v>256.4377087753457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8.9422814405517428E-2</v>
      </c>
      <c r="CM160" s="23">
        <f>EXP(-LN(2)/2)*CM159+(1-EXP(-LN(2)/2))/(LN(2)/2)*CG160*CJ160*VLOOKUP('Données projet'!$B$12,Paramètres!$A$1:$I$89,3,0)*0.475*44/12</f>
        <v>1.0782137309837955E-18</v>
      </c>
      <c r="CN160" s="24">
        <f t="shared" si="172"/>
        <v>8.9422814405517428E-2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1.7053025658242404E-13</v>
      </c>
      <c r="O161" s="14">
        <f>N161*VLOOKUP('Données projet'!$B$9,Paramètres!$A$1:$I$89,3,0)*VLOOKUP('Données projet'!$B$9,Paramètres!$A$1:$I$89,5,0)</f>
        <v>1.5429577615577727E-13</v>
      </c>
      <c r="P161" s="14">
        <f t="shared" si="141"/>
        <v>2.2038482767263348E-12</v>
      </c>
      <c r="Q161" s="22">
        <f t="shared" si="162"/>
        <v>4.107100892103012E-12</v>
      </c>
      <c r="R161" s="62">
        <f t="shared" si="109"/>
        <v>293.33333333333741</v>
      </c>
      <c r="S161" s="62">
        <f ca="1">AVERAGE(OFFSET($R$3,0,0,'Données projet'!$E$9+1,1))-AVERAGE(OFFSET($H$3,0,0,'Données projet'!$E$9+1,1))</f>
        <v>371.75294069149942</v>
      </c>
      <c r="T161" s="62">
        <f t="shared" si="142"/>
        <v>233.32640143610547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7.7610730536881695E-2</v>
      </c>
      <c r="AB161" s="23">
        <f>EXP(-LN(2)/2)*AB160+(1-EXP(-LN(2)/2))/(LN(2)/2)*V161*Y161*VLOOKUP('Données projet'!$B$9,Paramètres!$A$1:$I$89,3,0)*0.475*44/12</f>
        <v>6.8030630712817227E-19</v>
      </c>
      <c r="AC161" s="24">
        <f t="shared" si="163"/>
        <v>7.7610730536881695E-2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1.7053025658242404E-13</v>
      </c>
      <c r="AJ161" s="14">
        <f>AI161*VLOOKUP('Données projet'!$B$10,Paramètres!$A$1:$I$89,3,0)*VLOOKUP('Données projet'!$B$10,Paramètres!$A$1:$I$89,5,0)</f>
        <v>1.4365468814503402E-13</v>
      </c>
      <c r="AK161" s="14">
        <f t="shared" si="164"/>
        <v>2.0689969164106979E-12</v>
      </c>
      <c r="AL161" s="22">
        <f t="shared" si="165"/>
        <v>3.853701544601233E-12</v>
      </c>
      <c r="AM161" s="62">
        <f t="shared" si="113"/>
        <v>293.33333333333718</v>
      </c>
      <c r="AN161" s="62">
        <f ca="1">AVERAGE(OFFSET($AM$3,0,0,'Données projet'!$E$10+1,1))-AVERAGE(OFFSET($H$3,0,0,'Données projet'!$E$10+1,1))</f>
        <v>348.84749506659495</v>
      </c>
      <c r="AO161" s="62">
        <f t="shared" si="144"/>
        <v>220.09202639602199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7.2258266361924242E-2</v>
      </c>
      <c r="AW161" s="23">
        <f>EXP(-LN(2)/2)*AW160+(1-EXP(-LN(2)/2))/(LN(2)/2)*AQ161*AT161*VLOOKUP('Données projet'!$B$10,Paramètres!$A$1:$I$89,3,0)*0.475*44/12</f>
        <v>6.3338863077450545E-19</v>
      </c>
      <c r="AX161" s="23">
        <f t="shared" si="166"/>
        <v>7.2258266361924242E-2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5.3205440053716299E-14</v>
      </c>
      <c r="BF161" s="14">
        <f t="shared" si="167"/>
        <v>8.602146238565607E-13</v>
      </c>
      <c r="BG161" s="22">
        <f t="shared" si="168"/>
        <v>1.590873277977066E-12</v>
      </c>
      <c r="BH161" s="62">
        <f t="shared" si="116"/>
        <v>293.33333333333491</v>
      </c>
      <c r="BI161" s="62">
        <f ca="1">AVERAGE(OFFSET($BH$3,0,0,'Données projet'!$E$11+1,1))-AVERAGE(OFFSET($H$3,0,0,'Données projet'!$E$11+1,1))</f>
        <v>259.74478933784656</v>
      </c>
      <c r="BJ161" s="62">
        <f t="shared" si="146"/>
        <v>223.74038909289646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1.7053025658242404E-13</v>
      </c>
      <c r="BZ161" s="14">
        <f>BY161*VLOOKUP('Données projet'!$B$12,Paramètres!$A$1:$I$89,3,0)*VLOOKUP('Données projet'!$B$12,Paramètres!$A$1:$I$89,5,0)</f>
        <v>1.72917680174578E-13</v>
      </c>
      <c r="CA161" s="14">
        <f t="shared" si="170"/>
        <v>2.4372886112056825E-12</v>
      </c>
      <c r="CB161" s="22">
        <f t="shared" si="171"/>
        <v>4.5461092908206203E-12</v>
      </c>
      <c r="CC161" s="62">
        <f t="shared" si="119"/>
        <v>293.33333333333786</v>
      </c>
      <c r="CD161" s="62">
        <f ca="1">AVERAGE(OFFSET($CC$3,0,0,'Données projet'!$E$12+1,1))-AVERAGE(OFFSET($H$3,0,0,'Données projet'!$E$12+1,1))</f>
        <v>411.75894069172358</v>
      </c>
      <c r="CE161" s="62">
        <f t="shared" si="148"/>
        <v>256.4377087753457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8.6977542843057129E-2</v>
      </c>
      <c r="CM161" s="23">
        <f>EXP(-LN(2)/2)*CM160+(1-EXP(-LN(2)/2))/(LN(2)/2)*CG161*CJ161*VLOOKUP('Données projet'!$B$12,Paramètres!$A$1:$I$89,3,0)*0.475*44/12</f>
        <v>7.6241224074708969E-19</v>
      </c>
      <c r="CN161" s="24">
        <f t="shared" si="172"/>
        <v>8.6977542843057129E-2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1.7053025658242404E-13</v>
      </c>
      <c r="O162" s="14">
        <f>N162*VLOOKUP('Données projet'!$B$9,Paramètres!$A$1:$I$89,3,0)*VLOOKUP('Données projet'!$B$9,Paramètres!$A$1:$I$89,5,0)</f>
        <v>1.5429577615577727E-13</v>
      </c>
      <c r="P162" s="14">
        <f t="shared" si="141"/>
        <v>2.2038482767263348E-12</v>
      </c>
      <c r="Q162" s="22">
        <f t="shared" si="162"/>
        <v>4.107100892103012E-12</v>
      </c>
      <c r="R162" s="62">
        <f t="shared" si="109"/>
        <v>293.33333333333741</v>
      </c>
      <c r="S162" s="62">
        <f ca="1">AVERAGE(OFFSET($R$3,0,0,'Données projet'!$E$9+1,1))-AVERAGE(OFFSET($H$3,0,0,'Données projet'!$E$9+1,1))</f>
        <v>371.75294069149942</v>
      </c>
      <c r="T162" s="62">
        <f t="shared" si="142"/>
        <v>233.32640143610547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7.5488461028979728E-2</v>
      </c>
      <c r="AB162" s="23">
        <f>EXP(-LN(2)/2)*AB161+(1-EXP(-LN(2)/2))/(LN(2)/2)*V162*Y162*VLOOKUP('Données projet'!$B$9,Paramètres!$A$1:$I$89,3,0)*0.475*44/12</f>
        <v>4.8104920305430871E-19</v>
      </c>
      <c r="AC162" s="24">
        <f t="shared" si="163"/>
        <v>7.5488461028979728E-2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1.7053025658242404E-13</v>
      </c>
      <c r="AJ162" s="14">
        <f>AI162*VLOOKUP('Données projet'!$B$10,Paramètres!$A$1:$I$89,3,0)*VLOOKUP('Données projet'!$B$10,Paramètres!$A$1:$I$89,5,0)</f>
        <v>1.4365468814503402E-13</v>
      </c>
      <c r="AK162" s="14">
        <f t="shared" si="164"/>
        <v>2.0689969164106979E-12</v>
      </c>
      <c r="AL162" s="22">
        <f t="shared" si="165"/>
        <v>3.853701544601233E-12</v>
      </c>
      <c r="AM162" s="62">
        <f t="shared" si="113"/>
        <v>293.33333333333718</v>
      </c>
      <c r="AN162" s="62">
        <f ca="1">AVERAGE(OFFSET($AM$3,0,0,'Données projet'!$E$10+1,1))-AVERAGE(OFFSET($H$3,0,0,'Données projet'!$E$10+1,1))</f>
        <v>348.84749506659495</v>
      </c>
      <c r="AO162" s="62">
        <f t="shared" si="144"/>
        <v>220.09202639602199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7.028236026836035E-2</v>
      </c>
      <c r="AW162" s="23">
        <f>EXP(-LN(2)/2)*AW161+(1-EXP(-LN(2)/2))/(LN(2)/2)*AQ162*AT162*VLOOKUP('Données projet'!$B$10,Paramètres!$A$1:$I$89,3,0)*0.475*44/12</f>
        <v>4.4787339594711515E-19</v>
      </c>
      <c r="AX162" s="23">
        <f t="shared" si="166"/>
        <v>7.028236026836035E-2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5.3205440053716299E-14</v>
      </c>
      <c r="BF162" s="14">
        <f t="shared" si="167"/>
        <v>8.602146238565607E-13</v>
      </c>
      <c r="BG162" s="22">
        <f t="shared" si="168"/>
        <v>1.590873277977066E-12</v>
      </c>
      <c r="BH162" s="62">
        <f t="shared" si="116"/>
        <v>293.33333333333491</v>
      </c>
      <c r="BI162" s="62">
        <f ca="1">AVERAGE(OFFSET($BH$3,0,0,'Données projet'!$E$11+1,1))-AVERAGE(OFFSET($H$3,0,0,'Données projet'!$E$11+1,1))</f>
        <v>259.74478933784656</v>
      </c>
      <c r="BJ162" s="62">
        <f t="shared" si="146"/>
        <v>223.74038909289646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1.7053025658242404E-13</v>
      </c>
      <c r="BZ162" s="14">
        <f>BY162*VLOOKUP('Données projet'!$B$12,Paramètres!$A$1:$I$89,3,0)*VLOOKUP('Données projet'!$B$12,Paramètres!$A$1:$I$89,5,0)</f>
        <v>1.72917680174578E-13</v>
      </c>
      <c r="CA162" s="14">
        <f t="shared" si="170"/>
        <v>2.4372886112056825E-12</v>
      </c>
      <c r="CB162" s="22">
        <f t="shared" si="171"/>
        <v>4.5461092908206203E-12</v>
      </c>
      <c r="CC162" s="62">
        <f t="shared" si="119"/>
        <v>293.33333333333786</v>
      </c>
      <c r="CD162" s="62">
        <f ca="1">AVERAGE(OFFSET($CC$3,0,0,'Données projet'!$E$12+1,1))-AVERAGE(OFFSET($H$3,0,0,'Données projet'!$E$12+1,1))</f>
        <v>411.75894069172358</v>
      </c>
      <c r="CE162" s="62">
        <f t="shared" si="148"/>
        <v>256.4377087753457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8.4599137360063539E-2</v>
      </c>
      <c r="CM162" s="23">
        <f>EXP(-LN(2)/2)*CM161+(1-EXP(-LN(2)/2))/(LN(2)/2)*CG162*CJ162*VLOOKUP('Données projet'!$B$12,Paramètres!$A$1:$I$89,3,0)*0.475*44/12</f>
        <v>5.3910686549189774E-19</v>
      </c>
      <c r="CN162" s="24">
        <f t="shared" si="172"/>
        <v>8.4599137360063539E-2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1.7053025658242404E-13</v>
      </c>
      <c r="O163" s="14">
        <f>N163*VLOOKUP('Données projet'!$B$9,Paramètres!$A$1:$I$89,3,0)*VLOOKUP('Données projet'!$B$9,Paramètres!$A$1:$I$89,5,0)</f>
        <v>1.5429577615577727E-13</v>
      </c>
      <c r="P163" s="14">
        <f t="shared" si="141"/>
        <v>2.2038482767263348E-12</v>
      </c>
      <c r="Q163" s="22">
        <f t="shared" si="162"/>
        <v>4.107100892103012E-12</v>
      </c>
      <c r="R163" s="62">
        <f t="shared" si="109"/>
        <v>293.33333333333741</v>
      </c>
      <c r="S163" s="62">
        <f ca="1">AVERAGE(OFFSET($R$3,0,0,'Données projet'!$E$9+1,1))-AVERAGE(OFFSET($H$3,0,0,'Données projet'!$E$9+1,1))</f>
        <v>371.75294069149942</v>
      </c>
      <c r="T163" s="62">
        <f t="shared" si="142"/>
        <v>233.32640143610547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7.3424225092376644E-2</v>
      </c>
      <c r="AB163" s="23">
        <f>EXP(-LN(2)/2)*AB162+(1-EXP(-LN(2)/2))/(LN(2)/2)*V163*Y163*VLOOKUP('Données projet'!$B$9,Paramètres!$A$1:$I$89,3,0)*0.475*44/12</f>
        <v>3.4015315356408614E-19</v>
      </c>
      <c r="AC163" s="24">
        <f t="shared" si="163"/>
        <v>7.3424225092376644E-2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1.7053025658242404E-13</v>
      </c>
      <c r="AJ163" s="14">
        <f>AI163*VLOOKUP('Données projet'!$B$10,Paramètres!$A$1:$I$89,3,0)*VLOOKUP('Données projet'!$B$10,Paramètres!$A$1:$I$89,5,0)</f>
        <v>1.4365468814503402E-13</v>
      </c>
      <c r="AK163" s="14">
        <f t="shared" si="164"/>
        <v>2.0689969164106979E-12</v>
      </c>
      <c r="AL163" s="22">
        <f t="shared" si="165"/>
        <v>3.853701544601233E-12</v>
      </c>
      <c r="AM163" s="62">
        <f t="shared" si="113"/>
        <v>293.33333333333718</v>
      </c>
      <c r="AN163" s="62">
        <f ca="1">AVERAGE(OFFSET($AM$3,0,0,'Données projet'!$E$10+1,1))-AVERAGE(OFFSET($H$3,0,0,'Données projet'!$E$10+1,1))</f>
        <v>348.84749506659495</v>
      </c>
      <c r="AO163" s="62">
        <f t="shared" si="144"/>
        <v>220.09202639602199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6.836048543083334E-2</v>
      </c>
      <c r="AW163" s="23">
        <f>EXP(-LN(2)/2)*AW162+(1-EXP(-LN(2)/2))/(LN(2)/2)*AQ163*AT163*VLOOKUP('Données projet'!$B$10,Paramètres!$A$1:$I$89,3,0)*0.475*44/12</f>
        <v>3.1669431538725273E-19</v>
      </c>
      <c r="AX163" s="23">
        <f t="shared" si="166"/>
        <v>6.836048543083334E-2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5.3205440053716299E-14</v>
      </c>
      <c r="BF163" s="14">
        <f t="shared" si="167"/>
        <v>8.602146238565607E-13</v>
      </c>
      <c r="BG163" s="22">
        <f t="shared" si="168"/>
        <v>1.590873277977066E-12</v>
      </c>
      <c r="BH163" s="62">
        <f t="shared" si="116"/>
        <v>293.33333333333491</v>
      </c>
      <c r="BI163" s="62">
        <f ca="1">AVERAGE(OFFSET($BH$3,0,0,'Données projet'!$E$11+1,1))-AVERAGE(OFFSET($H$3,0,0,'Données projet'!$E$11+1,1))</f>
        <v>259.74478933784656</v>
      </c>
      <c r="BJ163" s="62">
        <f t="shared" si="146"/>
        <v>223.74038909289646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1.7053025658242404E-13</v>
      </c>
      <c r="BZ163" s="14">
        <f>BY163*VLOOKUP('Données projet'!$B$12,Paramètres!$A$1:$I$89,3,0)*VLOOKUP('Données projet'!$B$12,Paramètres!$A$1:$I$89,5,0)</f>
        <v>1.72917680174578E-13</v>
      </c>
      <c r="CA163" s="14">
        <f t="shared" si="170"/>
        <v>2.4372886112056825E-12</v>
      </c>
      <c r="CB163" s="22">
        <f t="shared" si="171"/>
        <v>4.5461092908206203E-12</v>
      </c>
      <c r="CC163" s="62">
        <f t="shared" si="119"/>
        <v>293.33333333333786</v>
      </c>
      <c r="CD163" s="62">
        <f ca="1">AVERAGE(OFFSET($CC$3,0,0,'Données projet'!$E$12+1,1))-AVERAGE(OFFSET($H$3,0,0,'Données projet'!$E$12+1,1))</f>
        <v>411.75894069172358</v>
      </c>
      <c r="CE163" s="62">
        <f t="shared" si="148"/>
        <v>256.4377087753457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8.2285769500077321E-2</v>
      </c>
      <c r="CM163" s="23">
        <f>EXP(-LN(2)/2)*CM162+(1-EXP(-LN(2)/2))/(LN(2)/2)*CG163*CJ163*VLOOKUP('Données projet'!$B$12,Paramètres!$A$1:$I$89,3,0)*0.475*44/12</f>
        <v>3.8120612037354484E-19</v>
      </c>
      <c r="CN163" s="24">
        <f t="shared" si="172"/>
        <v>8.2285769500077321E-2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1.7053025658242404E-13</v>
      </c>
      <c r="O164" s="14">
        <f>N164*VLOOKUP('Données projet'!$B$9,Paramètres!$A$1:$I$89,3,0)*VLOOKUP('Données projet'!$B$9,Paramètres!$A$1:$I$89,5,0)</f>
        <v>1.5429577615577727E-13</v>
      </c>
      <c r="P164" s="14">
        <f t="shared" si="141"/>
        <v>2.2038482767263348E-12</v>
      </c>
      <c r="Q164" s="22">
        <f t="shared" si="162"/>
        <v>4.107100892103012E-12</v>
      </c>
      <c r="R164" s="62">
        <f t="shared" si="109"/>
        <v>293.33333333333741</v>
      </c>
      <c r="S164" s="62">
        <f ca="1">AVERAGE(OFFSET($R$3,0,0,'Données projet'!$E$9+1,1))-AVERAGE(OFFSET($H$3,0,0,'Données projet'!$E$9+1,1))</f>
        <v>371.75294069149942</v>
      </c>
      <c r="T164" s="62">
        <f t="shared" si="142"/>
        <v>233.32640143610547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7.1416435796013422E-2</v>
      </c>
      <c r="AB164" s="23">
        <f>EXP(-LN(2)/2)*AB163+(1-EXP(-LN(2)/2))/(LN(2)/2)*V164*Y164*VLOOKUP('Données projet'!$B$9,Paramètres!$A$1:$I$89,3,0)*0.475*44/12</f>
        <v>2.4052460152715435E-19</v>
      </c>
      <c r="AC164" s="24">
        <f t="shared" si="163"/>
        <v>7.1416435796013422E-2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1.7053025658242404E-13</v>
      </c>
      <c r="AJ164" s="14">
        <f>AI164*VLOOKUP('Données projet'!$B$10,Paramètres!$A$1:$I$89,3,0)*VLOOKUP('Données projet'!$B$10,Paramètres!$A$1:$I$89,5,0)</f>
        <v>1.4365468814503402E-13</v>
      </c>
      <c r="AK164" s="14">
        <f t="shared" si="164"/>
        <v>2.0689969164106979E-12</v>
      </c>
      <c r="AL164" s="22">
        <f t="shared" si="165"/>
        <v>3.853701544601233E-12</v>
      </c>
      <c r="AM164" s="62">
        <f t="shared" si="113"/>
        <v>293.33333333333718</v>
      </c>
      <c r="AN164" s="62">
        <f ca="1">AVERAGE(OFFSET($AM$3,0,0,'Données projet'!$E$10+1,1))-AVERAGE(OFFSET($H$3,0,0,'Données projet'!$E$10+1,1))</f>
        <v>348.84749506659495</v>
      </c>
      <c r="AO164" s="62">
        <f t="shared" si="144"/>
        <v>220.09202639602199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6.6491164361805508E-2</v>
      </c>
      <c r="AW164" s="23">
        <f>EXP(-LN(2)/2)*AW163+(1-EXP(-LN(2)/2))/(LN(2)/2)*AQ164*AT164*VLOOKUP('Données projet'!$B$10,Paramètres!$A$1:$I$89,3,0)*0.475*44/12</f>
        <v>2.2393669797355758E-19</v>
      </c>
      <c r="AX164" s="23">
        <f t="shared" si="166"/>
        <v>6.6491164361805508E-2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5.3205440053716299E-14</v>
      </c>
      <c r="BF164" s="14">
        <f t="shared" si="167"/>
        <v>8.602146238565607E-13</v>
      </c>
      <c r="BG164" s="22">
        <f t="shared" si="168"/>
        <v>1.590873277977066E-12</v>
      </c>
      <c r="BH164" s="62">
        <f t="shared" si="116"/>
        <v>293.33333333333491</v>
      </c>
      <c r="BI164" s="62">
        <f ca="1">AVERAGE(OFFSET($BH$3,0,0,'Données projet'!$E$11+1,1))-AVERAGE(OFFSET($H$3,0,0,'Données projet'!$E$11+1,1))</f>
        <v>259.74478933784656</v>
      </c>
      <c r="BJ164" s="62">
        <f t="shared" si="146"/>
        <v>223.74038909289646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1.7053025658242404E-13</v>
      </c>
      <c r="BZ164" s="14">
        <f>BY164*VLOOKUP('Données projet'!$B$12,Paramètres!$A$1:$I$89,3,0)*VLOOKUP('Données projet'!$B$12,Paramètres!$A$1:$I$89,5,0)</f>
        <v>1.72917680174578E-13</v>
      </c>
      <c r="CA164" s="14">
        <f t="shared" si="170"/>
        <v>2.4372886112056825E-12</v>
      </c>
      <c r="CB164" s="22">
        <f t="shared" si="171"/>
        <v>4.5461092908206203E-12</v>
      </c>
      <c r="CC164" s="62">
        <f t="shared" si="119"/>
        <v>293.33333333333786</v>
      </c>
      <c r="CD164" s="62">
        <f ca="1">AVERAGE(OFFSET($CC$3,0,0,'Données projet'!$E$12+1,1))-AVERAGE(OFFSET($H$3,0,0,'Données projet'!$E$12+1,1))</f>
        <v>411.75894069172358</v>
      </c>
      <c r="CE164" s="62">
        <f t="shared" si="148"/>
        <v>256.4377087753457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8.0035660805877151E-2</v>
      </c>
      <c r="CM164" s="23">
        <f>EXP(-LN(2)/2)*CM163+(1-EXP(-LN(2)/2))/(LN(2)/2)*CG164*CJ164*VLOOKUP('Données projet'!$B$12,Paramètres!$A$1:$I$89,3,0)*0.475*44/12</f>
        <v>2.6955343274594887E-19</v>
      </c>
      <c r="CN164" s="24">
        <f t="shared" si="172"/>
        <v>8.0035660805877151E-2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1.7053025658242404E-13</v>
      </c>
      <c r="O165" s="14">
        <f>N165*VLOOKUP('Données projet'!$B$9,Paramètres!$A$1:$I$89,3,0)*VLOOKUP('Données projet'!$B$9,Paramètres!$A$1:$I$89,5,0)</f>
        <v>1.5429577615577727E-13</v>
      </c>
      <c r="P165" s="14">
        <f t="shared" si="141"/>
        <v>2.2038482767263348E-12</v>
      </c>
      <c r="Q165" s="22">
        <f t="shared" si="162"/>
        <v>4.107100892103012E-12</v>
      </c>
      <c r="R165" s="62">
        <f t="shared" si="109"/>
        <v>293.33333333333741</v>
      </c>
      <c r="S165" s="62">
        <f ca="1">AVERAGE(OFFSET($R$3,0,0,'Données projet'!$E$9+1,1))-AVERAGE(OFFSET($H$3,0,0,'Données projet'!$E$9+1,1))</f>
        <v>371.75294069149942</v>
      </c>
      <c r="T165" s="62">
        <f t="shared" si="142"/>
        <v>233.32640143610547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6.9463549603544297E-2</v>
      </c>
      <c r="AB165" s="23">
        <f>EXP(-LN(2)/2)*AB164+(1-EXP(-LN(2)/2))/(LN(2)/2)*V165*Y165*VLOOKUP('Données projet'!$B$9,Paramètres!$A$1:$I$89,3,0)*0.475*44/12</f>
        <v>1.7007657678204307E-19</v>
      </c>
      <c r="AC165" s="24">
        <f t="shared" si="163"/>
        <v>6.9463549603544297E-2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1.7053025658242404E-13</v>
      </c>
      <c r="AJ165" s="14">
        <f>AI165*VLOOKUP('Données projet'!$B$10,Paramètres!$A$1:$I$89,3,0)*VLOOKUP('Données projet'!$B$10,Paramètres!$A$1:$I$89,5,0)</f>
        <v>1.4365468814503402E-13</v>
      </c>
      <c r="AK165" s="14">
        <f t="shared" si="164"/>
        <v>2.0689969164106979E-12</v>
      </c>
      <c r="AL165" s="22">
        <f t="shared" si="165"/>
        <v>3.853701544601233E-12</v>
      </c>
      <c r="AM165" s="62">
        <f t="shared" si="113"/>
        <v>293.33333333333718</v>
      </c>
      <c r="AN165" s="62">
        <f ca="1">AVERAGE(OFFSET($AM$3,0,0,'Données projet'!$E$10+1,1))-AVERAGE(OFFSET($H$3,0,0,'Données projet'!$E$10+1,1))</f>
        <v>348.84749506659495</v>
      </c>
      <c r="AO165" s="62">
        <f t="shared" si="144"/>
        <v>220.09202639602199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6.4672959975713568E-2</v>
      </c>
      <c r="AW165" s="23">
        <f>EXP(-LN(2)/2)*AW164+(1-EXP(-LN(2)/2))/(LN(2)/2)*AQ165*AT165*VLOOKUP('Données projet'!$B$10,Paramètres!$A$1:$I$89,3,0)*0.475*44/12</f>
        <v>1.5834715769362636E-19</v>
      </c>
      <c r="AX165" s="23">
        <f t="shared" si="166"/>
        <v>6.4672959975713568E-2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5.3205440053716299E-14</v>
      </c>
      <c r="BF165" s="14">
        <f t="shared" si="167"/>
        <v>8.602146238565607E-13</v>
      </c>
      <c r="BG165" s="22">
        <f t="shared" si="168"/>
        <v>1.590873277977066E-12</v>
      </c>
      <c r="BH165" s="62">
        <f t="shared" si="116"/>
        <v>293.33333333333491</v>
      </c>
      <c r="BI165" s="62">
        <f ca="1">AVERAGE(OFFSET($BH$3,0,0,'Données projet'!$E$11+1,1))-AVERAGE(OFFSET($H$3,0,0,'Données projet'!$E$11+1,1))</f>
        <v>259.74478933784656</v>
      </c>
      <c r="BJ165" s="62">
        <f t="shared" si="146"/>
        <v>223.74038909289646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1.7053025658242404E-13</v>
      </c>
      <c r="BZ165" s="14">
        <f>BY165*VLOOKUP('Données projet'!$B$12,Paramètres!$A$1:$I$89,3,0)*VLOOKUP('Données projet'!$B$12,Paramètres!$A$1:$I$89,5,0)</f>
        <v>1.72917680174578E-13</v>
      </c>
      <c r="CA165" s="14">
        <f t="shared" si="170"/>
        <v>2.4372886112056825E-12</v>
      </c>
      <c r="CB165" s="22">
        <f t="shared" si="171"/>
        <v>4.5461092908206203E-12</v>
      </c>
      <c r="CC165" s="62">
        <f t="shared" si="119"/>
        <v>293.33333333333786</v>
      </c>
      <c r="CD165" s="62">
        <f ca="1">AVERAGE(OFFSET($CC$3,0,0,'Données projet'!$E$12+1,1))-AVERAGE(OFFSET($H$3,0,0,'Données projet'!$E$12+1,1))</f>
        <v>411.75894069172358</v>
      </c>
      <c r="CE165" s="62">
        <f t="shared" si="148"/>
        <v>256.4377087753457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7.784708145224796E-2</v>
      </c>
      <c r="CM165" s="23">
        <f>EXP(-LN(2)/2)*CM164+(1-EXP(-LN(2)/2))/(LN(2)/2)*CG165*CJ165*VLOOKUP('Données projet'!$B$12,Paramètres!$A$1:$I$89,3,0)*0.475*44/12</f>
        <v>1.9060306018677242E-19</v>
      </c>
      <c r="CN165" s="24">
        <f t="shared" si="172"/>
        <v>7.784708145224796E-2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1.7053025658242404E-13</v>
      </c>
      <c r="O166" s="14">
        <f>N166*VLOOKUP('Données projet'!$B$9,Paramètres!$A$1:$I$89,3,0)*VLOOKUP('Données projet'!$B$9,Paramètres!$A$1:$I$89,5,0)</f>
        <v>1.5429577615577727E-13</v>
      </c>
      <c r="P166" s="14">
        <f t="shared" si="141"/>
        <v>2.2038482767263348E-12</v>
      </c>
      <c r="Q166" s="22">
        <f t="shared" si="162"/>
        <v>4.107100892103012E-12</v>
      </c>
      <c r="R166" s="62">
        <f t="shared" si="109"/>
        <v>293.33333333333741</v>
      </c>
      <c r="S166" s="62">
        <f ca="1">AVERAGE(OFFSET($R$3,0,0,'Données projet'!$E$9+1,1))-AVERAGE(OFFSET($H$3,0,0,'Données projet'!$E$9+1,1))</f>
        <v>371.75294069149942</v>
      </c>
      <c r="T166" s="62">
        <f t="shared" si="142"/>
        <v>233.32640143610547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6.756406518670606E-2</v>
      </c>
      <c r="AB166" s="23">
        <f>EXP(-LN(2)/2)*AB165+(1-EXP(-LN(2)/2))/(LN(2)/2)*V166*Y166*VLOOKUP('Données projet'!$B$9,Paramètres!$A$1:$I$89,3,0)*0.475*44/12</f>
        <v>1.2026230076357718E-19</v>
      </c>
      <c r="AC166" s="24">
        <f t="shared" si="163"/>
        <v>6.756406518670606E-2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1.7053025658242404E-13</v>
      </c>
      <c r="AJ166" s="14">
        <f>AI166*VLOOKUP('Données projet'!$B$10,Paramètres!$A$1:$I$89,3,0)*VLOOKUP('Données projet'!$B$10,Paramètres!$A$1:$I$89,5,0)</f>
        <v>1.4365468814503402E-13</v>
      </c>
      <c r="AK166" s="14">
        <f t="shared" si="164"/>
        <v>2.0689969164106979E-12</v>
      </c>
      <c r="AL166" s="22">
        <f t="shared" si="165"/>
        <v>3.853701544601233E-12</v>
      </c>
      <c r="AM166" s="62">
        <f t="shared" si="113"/>
        <v>293.33333333333718</v>
      </c>
      <c r="AN166" s="62">
        <f ca="1">AVERAGE(OFFSET($AM$3,0,0,'Données projet'!$E$10+1,1))-AVERAGE(OFFSET($H$3,0,0,'Données projet'!$E$10+1,1))</f>
        <v>348.84749506659495</v>
      </c>
      <c r="AO166" s="62">
        <f t="shared" si="144"/>
        <v>220.09202639602199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6.2904474484174522E-2</v>
      </c>
      <c r="AW166" s="23">
        <f>EXP(-LN(2)/2)*AW165+(1-EXP(-LN(2)/2))/(LN(2)/2)*AQ166*AT166*VLOOKUP('Données projet'!$B$10,Paramètres!$A$1:$I$89,3,0)*0.475*44/12</f>
        <v>1.1196834898677879E-19</v>
      </c>
      <c r="AX166" s="23">
        <f t="shared" si="166"/>
        <v>6.2904474484174522E-2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5.3205440053716299E-14</v>
      </c>
      <c r="BF166" s="14">
        <f t="shared" si="167"/>
        <v>8.602146238565607E-13</v>
      </c>
      <c r="BG166" s="22">
        <f t="shared" si="168"/>
        <v>1.590873277977066E-12</v>
      </c>
      <c r="BH166" s="62">
        <f t="shared" si="116"/>
        <v>293.33333333333491</v>
      </c>
      <c r="BI166" s="62">
        <f ca="1">AVERAGE(OFFSET($BH$3,0,0,'Données projet'!$E$11+1,1))-AVERAGE(OFFSET($H$3,0,0,'Données projet'!$E$11+1,1))</f>
        <v>259.74478933784656</v>
      </c>
      <c r="BJ166" s="62">
        <f t="shared" si="146"/>
        <v>223.74038909289646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1.7053025658242404E-13</v>
      </c>
      <c r="BZ166" s="14">
        <f>BY166*VLOOKUP('Données projet'!$B$12,Paramètres!$A$1:$I$89,3,0)*VLOOKUP('Données projet'!$B$12,Paramètres!$A$1:$I$89,5,0)</f>
        <v>1.72917680174578E-13</v>
      </c>
      <c r="CA166" s="14">
        <f t="shared" si="170"/>
        <v>2.4372886112056825E-12</v>
      </c>
      <c r="CB166" s="22">
        <f t="shared" si="171"/>
        <v>4.5461092908206203E-12</v>
      </c>
      <c r="CC166" s="62">
        <f t="shared" si="119"/>
        <v>293.33333333333786</v>
      </c>
      <c r="CD166" s="62">
        <f ca="1">AVERAGE(OFFSET($CC$3,0,0,'Données projet'!$E$12+1,1))-AVERAGE(OFFSET($H$3,0,0,'Données projet'!$E$12+1,1))</f>
        <v>411.75894069172358</v>
      </c>
      <c r="CE166" s="62">
        <f t="shared" si="148"/>
        <v>256.4377087753457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7.5718348916136144E-2</v>
      </c>
      <c r="CM166" s="23">
        <f>EXP(-LN(2)/2)*CM165+(1-EXP(-LN(2)/2))/(LN(2)/2)*CG166*CJ166*VLOOKUP('Données projet'!$B$12,Paramètres!$A$1:$I$89,3,0)*0.475*44/12</f>
        <v>1.3477671637297443E-19</v>
      </c>
      <c r="CN166" s="24">
        <f t="shared" si="172"/>
        <v>7.5718348916136144E-2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1.7053025658242404E-13</v>
      </c>
      <c r="O167" s="14">
        <f>N167*VLOOKUP('Données projet'!$B$9,Paramètres!$A$1:$I$89,3,0)*VLOOKUP('Données projet'!$B$9,Paramètres!$A$1:$I$89,5,0)</f>
        <v>1.5429577615577727E-13</v>
      </c>
      <c r="P167" s="14">
        <f t="shared" si="141"/>
        <v>2.2038482767263348E-12</v>
      </c>
      <c r="Q167" s="22">
        <f t="shared" si="162"/>
        <v>4.107100892103012E-12</v>
      </c>
      <c r="R167" s="62">
        <f t="shared" si="109"/>
        <v>293.33333333333741</v>
      </c>
      <c r="S167" s="62">
        <f ca="1">AVERAGE(OFFSET($R$3,0,0,'Données projet'!$E$9+1,1))-AVERAGE(OFFSET($H$3,0,0,'Données projet'!$E$9+1,1))</f>
        <v>371.75294069149942</v>
      </c>
      <c r="T167" s="62">
        <f t="shared" si="142"/>
        <v>233.32640143610547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6.5716522271135808E-2</v>
      </c>
      <c r="AB167" s="23">
        <f>EXP(-LN(2)/2)*AB166+(1-EXP(-LN(2)/2))/(LN(2)/2)*V167*Y167*VLOOKUP('Données projet'!$B$9,Paramètres!$A$1:$I$89,3,0)*0.475*44/12</f>
        <v>8.5038288391021534E-20</v>
      </c>
      <c r="AC167" s="24">
        <f t="shared" si="163"/>
        <v>6.5716522271135808E-2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1.7053025658242404E-13</v>
      </c>
      <c r="AJ167" s="14">
        <f>AI167*VLOOKUP('Données projet'!$B$10,Paramètres!$A$1:$I$89,3,0)*VLOOKUP('Données projet'!$B$10,Paramètres!$A$1:$I$89,5,0)</f>
        <v>1.4365468814503402E-13</v>
      </c>
      <c r="AK167" s="14">
        <f t="shared" si="164"/>
        <v>2.0689969164106979E-12</v>
      </c>
      <c r="AL167" s="22">
        <f t="shared" si="165"/>
        <v>3.853701544601233E-12</v>
      </c>
      <c r="AM167" s="62">
        <f t="shared" si="113"/>
        <v>293.33333333333718</v>
      </c>
      <c r="AN167" s="62">
        <f ca="1">AVERAGE(OFFSET($AM$3,0,0,'Données projet'!$E$10+1,1))-AVERAGE(OFFSET($H$3,0,0,'Données projet'!$E$10+1,1))</f>
        <v>348.84749506659495</v>
      </c>
      <c r="AO167" s="62">
        <f t="shared" si="144"/>
        <v>220.09202639602199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6.1184348321402224E-2</v>
      </c>
      <c r="AW167" s="23">
        <f>EXP(-LN(2)/2)*AW166+(1-EXP(-LN(2)/2))/(LN(2)/2)*AQ167*AT167*VLOOKUP('Données projet'!$B$10,Paramètres!$A$1:$I$89,3,0)*0.475*44/12</f>
        <v>7.9173578846813181E-20</v>
      </c>
      <c r="AX167" s="23">
        <f t="shared" si="166"/>
        <v>6.1184348321402224E-2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5.3205440053716299E-14</v>
      </c>
      <c r="BF167" s="14">
        <f t="shared" si="167"/>
        <v>8.602146238565607E-13</v>
      </c>
      <c r="BG167" s="22">
        <f t="shared" si="168"/>
        <v>1.590873277977066E-12</v>
      </c>
      <c r="BH167" s="62">
        <f t="shared" si="116"/>
        <v>293.33333333333491</v>
      </c>
      <c r="BI167" s="62">
        <f ca="1">AVERAGE(OFFSET($BH$3,0,0,'Données projet'!$E$11+1,1))-AVERAGE(OFFSET($H$3,0,0,'Données projet'!$E$11+1,1))</f>
        <v>259.74478933784656</v>
      </c>
      <c r="BJ167" s="62">
        <f t="shared" si="146"/>
        <v>223.74038909289646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1.7053025658242404E-13</v>
      </c>
      <c r="BZ167" s="14">
        <f>BY167*VLOOKUP('Données projet'!$B$12,Paramètres!$A$1:$I$89,3,0)*VLOOKUP('Données projet'!$B$12,Paramètres!$A$1:$I$89,5,0)</f>
        <v>1.72917680174578E-13</v>
      </c>
      <c r="CA167" s="14">
        <f t="shared" si="170"/>
        <v>2.4372886112056825E-12</v>
      </c>
      <c r="CB167" s="22">
        <f t="shared" si="171"/>
        <v>4.5461092908206203E-12</v>
      </c>
      <c r="CC167" s="62">
        <f t="shared" si="119"/>
        <v>293.33333333333786</v>
      </c>
      <c r="CD167" s="62">
        <f ca="1">AVERAGE(OFFSET($CC$3,0,0,'Données projet'!$E$12+1,1))-AVERAGE(OFFSET($H$3,0,0,'Données projet'!$E$12+1,1))</f>
        <v>411.75894069172358</v>
      </c>
      <c r="CE167" s="62">
        <f t="shared" si="148"/>
        <v>256.4377087753457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7.3647826683169493E-2</v>
      </c>
      <c r="CM167" s="23">
        <f>EXP(-LN(2)/2)*CM166+(1-EXP(-LN(2)/2))/(LN(2)/2)*CG167*CJ167*VLOOKUP('Données projet'!$B$12,Paramètres!$A$1:$I$89,3,0)*0.475*44/12</f>
        <v>9.5301530093386211E-20</v>
      </c>
      <c r="CN167" s="24">
        <f t="shared" si="172"/>
        <v>7.3647826683169493E-2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1.7053025658242404E-13</v>
      </c>
      <c r="O168" s="14">
        <f>N168*VLOOKUP('Données projet'!$B$9,Paramètres!$A$1:$I$89,3,0)*VLOOKUP('Données projet'!$B$9,Paramètres!$A$1:$I$89,5,0)</f>
        <v>1.5429577615577727E-13</v>
      </c>
      <c r="P168" s="14">
        <f t="shared" si="141"/>
        <v>2.2038482767263348E-12</v>
      </c>
      <c r="Q168" s="22">
        <f t="shared" si="162"/>
        <v>4.107100892103012E-12</v>
      </c>
      <c r="R168" s="62">
        <f t="shared" si="109"/>
        <v>293.33333333333741</v>
      </c>
      <c r="S168" s="62">
        <f ca="1">AVERAGE(OFFSET($R$3,0,0,'Données projet'!$E$9+1,1))-AVERAGE(OFFSET($H$3,0,0,'Données projet'!$E$9+1,1))</f>
        <v>371.75294069149942</v>
      </c>
      <c r="T168" s="62">
        <f t="shared" si="142"/>
        <v>233.32640143610547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6.3919500513749894E-2</v>
      </c>
      <c r="AB168" s="23">
        <f>EXP(-LN(2)/2)*AB167+(1-EXP(-LN(2)/2))/(LN(2)/2)*V168*Y168*VLOOKUP('Données projet'!$B$9,Paramètres!$A$1:$I$89,3,0)*0.475*44/12</f>
        <v>6.0131150381788588E-20</v>
      </c>
      <c r="AC168" s="24">
        <f t="shared" si="163"/>
        <v>6.3919500513749894E-2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1.7053025658242404E-13</v>
      </c>
      <c r="AJ168" s="14">
        <f>AI168*VLOOKUP('Données projet'!$B$10,Paramètres!$A$1:$I$89,3,0)*VLOOKUP('Données projet'!$B$10,Paramètres!$A$1:$I$89,5,0)</f>
        <v>1.4365468814503402E-13</v>
      </c>
      <c r="AK168" s="14">
        <f t="shared" si="164"/>
        <v>2.0689969164106979E-12</v>
      </c>
      <c r="AL168" s="22">
        <f t="shared" si="165"/>
        <v>3.853701544601233E-12</v>
      </c>
      <c r="AM168" s="62">
        <f t="shared" si="113"/>
        <v>293.33333333333718</v>
      </c>
      <c r="AN168" s="62">
        <f ca="1">AVERAGE(OFFSET($AM$3,0,0,'Données projet'!$E$10+1,1))-AVERAGE(OFFSET($H$3,0,0,'Données projet'!$E$10+1,1))</f>
        <v>348.84749506659495</v>
      </c>
      <c r="AO168" s="62">
        <f t="shared" si="144"/>
        <v>220.09202639602199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5.9511259099008437E-2</v>
      </c>
      <c r="AW168" s="23">
        <f>EXP(-LN(2)/2)*AW167+(1-EXP(-LN(2)/2))/(LN(2)/2)*AQ168*AT168*VLOOKUP('Données projet'!$B$10,Paramètres!$A$1:$I$89,3,0)*0.475*44/12</f>
        <v>5.5984174493389394E-20</v>
      </c>
      <c r="AX168" s="23">
        <f t="shared" si="166"/>
        <v>5.9511259099008437E-2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5.3205440053716299E-14</v>
      </c>
      <c r="BF168" s="14">
        <f t="shared" si="167"/>
        <v>8.602146238565607E-13</v>
      </c>
      <c r="BG168" s="22">
        <f t="shared" si="168"/>
        <v>1.590873277977066E-12</v>
      </c>
      <c r="BH168" s="62">
        <f t="shared" si="116"/>
        <v>293.33333333333491</v>
      </c>
      <c r="BI168" s="62">
        <f ca="1">AVERAGE(OFFSET($BH$3,0,0,'Données projet'!$E$11+1,1))-AVERAGE(OFFSET($H$3,0,0,'Données projet'!$E$11+1,1))</f>
        <v>259.74478933784656</v>
      </c>
      <c r="BJ168" s="62">
        <f t="shared" si="146"/>
        <v>223.74038909289646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1.7053025658242404E-13</v>
      </c>
      <c r="BZ168" s="14">
        <f>BY168*VLOOKUP('Données projet'!$B$12,Paramètres!$A$1:$I$89,3,0)*VLOOKUP('Données projet'!$B$12,Paramètres!$A$1:$I$89,5,0)</f>
        <v>1.72917680174578E-13</v>
      </c>
      <c r="CA168" s="14">
        <f t="shared" si="170"/>
        <v>2.4372886112056825E-12</v>
      </c>
      <c r="CB168" s="22">
        <f t="shared" si="171"/>
        <v>4.5461092908206203E-12</v>
      </c>
      <c r="CC168" s="62">
        <f t="shared" si="119"/>
        <v>293.33333333333786</v>
      </c>
      <c r="CD168" s="62">
        <f ca="1">AVERAGE(OFFSET($CC$3,0,0,'Données projet'!$E$12+1,1))-AVERAGE(OFFSET($H$3,0,0,'Données projet'!$E$12+1,1))</f>
        <v>411.75894069172358</v>
      </c>
      <c r="CE168" s="62">
        <f t="shared" si="148"/>
        <v>256.4377087753457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7.1633922989547336E-2</v>
      </c>
      <c r="CM168" s="23">
        <f>EXP(-LN(2)/2)*CM167+(1-EXP(-LN(2)/2))/(LN(2)/2)*CG168*CJ168*VLOOKUP('Données projet'!$B$12,Paramètres!$A$1:$I$89,3,0)*0.475*44/12</f>
        <v>6.7388358186487217E-20</v>
      </c>
      <c r="CN168" s="24">
        <f t="shared" si="172"/>
        <v>7.1633922989547336E-2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1.7053025658242404E-13</v>
      </c>
      <c r="O169" s="14">
        <f>N169*VLOOKUP('Données projet'!$B$9,Paramètres!$A$1:$I$89,3,0)*VLOOKUP('Données projet'!$B$9,Paramètres!$A$1:$I$89,5,0)</f>
        <v>1.5429577615577727E-13</v>
      </c>
      <c r="P169" s="14">
        <f t="shared" si="141"/>
        <v>2.2038482767263348E-12</v>
      </c>
      <c r="Q169" s="22">
        <f t="shared" si="162"/>
        <v>4.107100892103012E-12</v>
      </c>
      <c r="R169" s="62">
        <f t="shared" si="109"/>
        <v>293.33333333333741</v>
      </c>
      <c r="S169" s="62">
        <f ca="1">AVERAGE(OFFSET($R$3,0,0,'Données projet'!$E$9+1,1))-AVERAGE(OFFSET($H$3,0,0,'Données projet'!$E$9+1,1))</f>
        <v>371.75294069149942</v>
      </c>
      <c r="T169" s="62">
        <f t="shared" si="142"/>
        <v>233.32640143610547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6.2171618410820959E-2</v>
      </c>
      <c r="AB169" s="23">
        <f>EXP(-LN(2)/2)*AB168+(1-EXP(-LN(2)/2))/(LN(2)/2)*V169*Y169*VLOOKUP('Données projet'!$B$9,Paramètres!$A$1:$I$89,3,0)*0.475*44/12</f>
        <v>4.2519144195510767E-20</v>
      </c>
      <c r="AC169" s="24">
        <f t="shared" si="163"/>
        <v>6.2171618410820959E-2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1.7053025658242404E-13</v>
      </c>
      <c r="AJ169" s="14">
        <f>AI169*VLOOKUP('Données projet'!$B$10,Paramètres!$A$1:$I$89,3,0)*VLOOKUP('Données projet'!$B$10,Paramètres!$A$1:$I$89,5,0)</f>
        <v>1.4365468814503402E-13</v>
      </c>
      <c r="AK169" s="14">
        <f t="shared" si="164"/>
        <v>2.0689969164106979E-12</v>
      </c>
      <c r="AL169" s="22">
        <f t="shared" si="165"/>
        <v>3.853701544601233E-12</v>
      </c>
      <c r="AM169" s="62">
        <f t="shared" si="113"/>
        <v>293.33333333333718</v>
      </c>
      <c r="AN169" s="62">
        <f ca="1">AVERAGE(OFFSET($AM$3,0,0,'Données projet'!$E$10+1,1))-AVERAGE(OFFSET($H$3,0,0,'Données projet'!$E$10+1,1))</f>
        <v>348.84749506659495</v>
      </c>
      <c r="AO169" s="62">
        <f t="shared" si="144"/>
        <v>220.09202639602199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5.7883920589384949E-2</v>
      </c>
      <c r="AW169" s="23">
        <f>EXP(-LN(2)/2)*AW168+(1-EXP(-LN(2)/2))/(LN(2)/2)*AQ169*AT169*VLOOKUP('Données projet'!$B$10,Paramètres!$A$1:$I$89,3,0)*0.475*44/12</f>
        <v>3.9586789423406591E-20</v>
      </c>
      <c r="AX169" s="23">
        <f t="shared" si="166"/>
        <v>5.7883920589384949E-2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5.3205440053716299E-14</v>
      </c>
      <c r="BF169" s="14">
        <f t="shared" si="167"/>
        <v>8.602146238565607E-13</v>
      </c>
      <c r="BG169" s="22">
        <f t="shared" si="168"/>
        <v>1.590873277977066E-12</v>
      </c>
      <c r="BH169" s="62">
        <f t="shared" si="116"/>
        <v>293.33333333333491</v>
      </c>
      <c r="BI169" s="62">
        <f ca="1">AVERAGE(OFFSET($BH$3,0,0,'Données projet'!$E$11+1,1))-AVERAGE(OFFSET($H$3,0,0,'Données projet'!$E$11+1,1))</f>
        <v>259.74478933784656</v>
      </c>
      <c r="BJ169" s="62">
        <f t="shared" si="146"/>
        <v>223.74038909289646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1.7053025658242404E-13</v>
      </c>
      <c r="BZ169" s="14">
        <f>BY169*VLOOKUP('Données projet'!$B$12,Paramètres!$A$1:$I$89,3,0)*VLOOKUP('Données projet'!$B$12,Paramètres!$A$1:$I$89,5,0)</f>
        <v>1.72917680174578E-13</v>
      </c>
      <c r="CA169" s="14">
        <f t="shared" si="170"/>
        <v>2.4372886112056825E-12</v>
      </c>
      <c r="CB169" s="22">
        <f t="shared" si="171"/>
        <v>4.5461092908206203E-12</v>
      </c>
      <c r="CC169" s="62">
        <f t="shared" si="119"/>
        <v>293.33333333333786</v>
      </c>
      <c r="CD169" s="62">
        <f ca="1">AVERAGE(OFFSET($CC$3,0,0,'Données projet'!$E$12+1,1))-AVERAGE(OFFSET($H$3,0,0,'Données projet'!$E$12+1,1))</f>
        <v>411.75894069172358</v>
      </c>
      <c r="CE169" s="62">
        <f t="shared" si="148"/>
        <v>256.4377087753457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6.9675089598333878E-2</v>
      </c>
      <c r="CM169" s="23">
        <f>EXP(-LN(2)/2)*CM168+(1-EXP(-LN(2)/2))/(LN(2)/2)*CG169*CJ169*VLOOKUP('Données projet'!$B$12,Paramètres!$A$1:$I$89,3,0)*0.475*44/12</f>
        <v>4.7650765046693106E-20</v>
      </c>
      <c r="CN169" s="24">
        <f t="shared" si="172"/>
        <v>6.9675089598333878E-2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1.7053025658242404E-13</v>
      </c>
      <c r="O170" s="14">
        <f>N170*VLOOKUP('Données projet'!$B$9,Paramètres!$A$1:$I$89,3,0)*VLOOKUP('Données projet'!$B$9,Paramètres!$A$1:$I$89,5,0)</f>
        <v>1.5429577615577727E-13</v>
      </c>
      <c r="P170" s="14">
        <f t="shared" si="141"/>
        <v>2.2038482767263348E-12</v>
      </c>
      <c r="Q170" s="22">
        <f t="shared" si="162"/>
        <v>4.107100892103012E-12</v>
      </c>
      <c r="R170" s="62">
        <f t="shared" si="109"/>
        <v>293.33333333333741</v>
      </c>
      <c r="S170" s="62">
        <f ca="1">AVERAGE(OFFSET($R$3,0,0,'Données projet'!$E$9+1,1))-AVERAGE(OFFSET($H$3,0,0,'Données projet'!$E$9+1,1))</f>
        <v>371.75294069149942</v>
      </c>
      <c r="T170" s="62">
        <f t="shared" si="142"/>
        <v>233.32640143610547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6.0471532235913741E-2</v>
      </c>
      <c r="AB170" s="23">
        <f>EXP(-LN(2)/2)*AB169+(1-EXP(-LN(2)/2))/(LN(2)/2)*V170*Y170*VLOOKUP('Données projet'!$B$9,Paramètres!$A$1:$I$89,3,0)*0.475*44/12</f>
        <v>3.0065575190894294E-20</v>
      </c>
      <c r="AC170" s="24">
        <f t="shared" si="163"/>
        <v>6.0471532235913741E-2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1.7053025658242404E-13</v>
      </c>
      <c r="AJ170" s="14">
        <f>AI170*VLOOKUP('Données projet'!$B$10,Paramètres!$A$1:$I$89,3,0)*VLOOKUP('Données projet'!$B$10,Paramètres!$A$1:$I$89,5,0)</f>
        <v>1.4365468814503402E-13</v>
      </c>
      <c r="AK170" s="14">
        <f t="shared" si="164"/>
        <v>2.0689969164106979E-12</v>
      </c>
      <c r="AL170" s="22">
        <f t="shared" si="165"/>
        <v>3.853701544601233E-12</v>
      </c>
      <c r="AM170" s="62">
        <f t="shared" si="113"/>
        <v>293.33333333333718</v>
      </c>
      <c r="AN170" s="62">
        <f ca="1">AVERAGE(OFFSET($AM$3,0,0,'Données projet'!$E$10+1,1))-AVERAGE(OFFSET($H$3,0,0,'Données projet'!$E$10+1,1))</f>
        <v>348.84749506659495</v>
      </c>
      <c r="AO170" s="62">
        <f t="shared" si="144"/>
        <v>220.09202639602199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5.6301081736885132E-2</v>
      </c>
      <c r="AW170" s="23">
        <f>EXP(-LN(2)/2)*AW169+(1-EXP(-LN(2)/2))/(LN(2)/2)*AQ170*AT170*VLOOKUP('Données projet'!$B$10,Paramètres!$A$1:$I$89,3,0)*0.475*44/12</f>
        <v>2.7992087246694697E-20</v>
      </c>
      <c r="AX170" s="23">
        <f t="shared" si="166"/>
        <v>5.6301081736885132E-2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5.3205440053716299E-14</v>
      </c>
      <c r="BF170" s="14">
        <f t="shared" si="167"/>
        <v>8.602146238565607E-13</v>
      </c>
      <c r="BG170" s="22">
        <f t="shared" si="168"/>
        <v>1.590873277977066E-12</v>
      </c>
      <c r="BH170" s="62">
        <f t="shared" si="116"/>
        <v>293.33333333333491</v>
      </c>
      <c r="BI170" s="62">
        <f ca="1">AVERAGE(OFFSET($BH$3,0,0,'Données projet'!$E$11+1,1))-AVERAGE(OFFSET($H$3,0,0,'Données projet'!$E$11+1,1))</f>
        <v>259.74478933784656</v>
      </c>
      <c r="BJ170" s="62">
        <f t="shared" si="146"/>
        <v>223.74038909289646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1.7053025658242404E-13</v>
      </c>
      <c r="BZ170" s="14">
        <f>BY170*VLOOKUP('Données projet'!$B$12,Paramètres!$A$1:$I$89,3,0)*VLOOKUP('Données projet'!$B$12,Paramètres!$A$1:$I$89,5,0)</f>
        <v>1.72917680174578E-13</v>
      </c>
      <c r="CA170" s="14">
        <f t="shared" si="170"/>
        <v>2.4372886112056825E-12</v>
      </c>
      <c r="CB170" s="22">
        <f t="shared" si="171"/>
        <v>4.5461092908206203E-12</v>
      </c>
      <c r="CC170" s="62">
        <f t="shared" si="119"/>
        <v>293.33333333333786</v>
      </c>
      <c r="CD170" s="62">
        <f ca="1">AVERAGE(OFFSET($CC$3,0,0,'Données projet'!$E$12+1,1))-AVERAGE(OFFSET($H$3,0,0,'Données projet'!$E$12+1,1))</f>
        <v>411.75894069172358</v>
      </c>
      <c r="CE170" s="62">
        <f t="shared" si="148"/>
        <v>256.4377087753457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6.7769820609213716E-2</v>
      </c>
      <c r="CM170" s="23">
        <f>EXP(-LN(2)/2)*CM169+(1-EXP(-LN(2)/2))/(LN(2)/2)*CG170*CJ170*VLOOKUP('Données projet'!$B$12,Paramètres!$A$1:$I$89,3,0)*0.475*44/12</f>
        <v>3.3694179093243609E-20</v>
      </c>
      <c r="CN170" s="24">
        <f t="shared" si="172"/>
        <v>6.7769820609213716E-2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1.7053025658242404E-13</v>
      </c>
      <c r="O171" s="14">
        <f>N171*VLOOKUP('Données projet'!$B$9,Paramètres!$A$1:$I$89,3,0)*VLOOKUP('Données projet'!$B$9,Paramètres!$A$1:$I$89,5,0)</f>
        <v>1.5429577615577727E-13</v>
      </c>
      <c r="P171" s="14">
        <f t="shared" si="141"/>
        <v>2.2038482767263348E-12</v>
      </c>
      <c r="Q171" s="22">
        <f t="shared" si="162"/>
        <v>4.107100892103012E-12</v>
      </c>
      <c r="R171" s="62">
        <f t="shared" si="109"/>
        <v>293.33333333333741</v>
      </c>
      <c r="S171" s="62">
        <f ca="1">AVERAGE(OFFSET($R$3,0,0,'Données projet'!$E$9+1,1))-AVERAGE(OFFSET($H$3,0,0,'Données projet'!$E$9+1,1))</f>
        <v>371.75294069149942</v>
      </c>
      <c r="T171" s="62">
        <f t="shared" si="142"/>
        <v>233.32640143610547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5.8817935006863012E-2</v>
      </c>
      <c r="AB171" s="23">
        <f>EXP(-LN(2)/2)*AB170+(1-EXP(-LN(2)/2))/(LN(2)/2)*V171*Y171*VLOOKUP('Données projet'!$B$9,Paramètres!$A$1:$I$89,3,0)*0.475*44/12</f>
        <v>2.1259572097755383E-20</v>
      </c>
      <c r="AC171" s="24">
        <f t="shared" si="163"/>
        <v>5.8817935006863012E-2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1.7053025658242404E-13</v>
      </c>
      <c r="AJ171" s="14">
        <f>AI171*VLOOKUP('Données projet'!$B$10,Paramètres!$A$1:$I$89,3,0)*VLOOKUP('Données projet'!$B$10,Paramètres!$A$1:$I$89,5,0)</f>
        <v>1.4365468814503402E-13</v>
      </c>
      <c r="AK171" s="14">
        <f t="shared" si="164"/>
        <v>2.0689969164106979E-12</v>
      </c>
      <c r="AL171" s="22">
        <f t="shared" si="165"/>
        <v>3.853701544601233E-12</v>
      </c>
      <c r="AM171" s="62">
        <f t="shared" si="113"/>
        <v>293.33333333333718</v>
      </c>
      <c r="AN171" s="62">
        <f ca="1">AVERAGE(OFFSET($AM$3,0,0,'Données projet'!$E$10+1,1))-AVERAGE(OFFSET($H$3,0,0,'Données projet'!$E$10+1,1))</f>
        <v>348.84749506659495</v>
      </c>
      <c r="AO171" s="62">
        <f t="shared" si="144"/>
        <v>220.09202639602199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5.4761525696044797E-2</v>
      </c>
      <c r="AW171" s="23">
        <f>EXP(-LN(2)/2)*AW170+(1-EXP(-LN(2)/2))/(LN(2)/2)*AQ171*AT171*VLOOKUP('Données projet'!$B$10,Paramètres!$A$1:$I$89,3,0)*0.475*44/12</f>
        <v>1.9793394711703295E-20</v>
      </c>
      <c r="AX171" s="23">
        <f t="shared" si="166"/>
        <v>5.4761525696044797E-2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5.3205440053716299E-14</v>
      </c>
      <c r="BF171" s="14">
        <f t="shared" si="167"/>
        <v>8.602146238565607E-13</v>
      </c>
      <c r="BG171" s="22">
        <f t="shared" si="168"/>
        <v>1.590873277977066E-12</v>
      </c>
      <c r="BH171" s="62">
        <f t="shared" si="116"/>
        <v>293.33333333333491</v>
      </c>
      <c r="BI171" s="62">
        <f ca="1">AVERAGE(OFFSET($BH$3,0,0,'Données projet'!$E$11+1,1))-AVERAGE(OFFSET($H$3,0,0,'Données projet'!$E$11+1,1))</f>
        <v>259.74478933784656</v>
      </c>
      <c r="BJ171" s="62">
        <f t="shared" si="146"/>
        <v>223.74038909289646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1.7053025658242404E-13</v>
      </c>
      <c r="BZ171" s="14">
        <f>BY171*VLOOKUP('Données projet'!$B$12,Paramètres!$A$1:$I$89,3,0)*VLOOKUP('Données projet'!$B$12,Paramètres!$A$1:$I$89,5,0)</f>
        <v>1.72917680174578E-13</v>
      </c>
      <c r="CA171" s="14">
        <f t="shared" si="170"/>
        <v>2.4372886112056825E-12</v>
      </c>
      <c r="CB171" s="22">
        <f t="shared" si="171"/>
        <v>4.5461092908206203E-12</v>
      </c>
      <c r="CC171" s="62">
        <f t="shared" si="119"/>
        <v>293.33333333333786</v>
      </c>
      <c r="CD171" s="62">
        <f ca="1">AVERAGE(OFFSET($CC$3,0,0,'Données projet'!$E$12+1,1))-AVERAGE(OFFSET($H$3,0,0,'Données projet'!$E$12+1,1))</f>
        <v>411.75894069172358</v>
      </c>
      <c r="CE171" s="62">
        <f t="shared" si="148"/>
        <v>256.4377087753457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6.5916651300794785E-2</v>
      </c>
      <c r="CM171" s="23">
        <f>EXP(-LN(2)/2)*CM170+(1-EXP(-LN(2)/2))/(LN(2)/2)*CG171*CJ171*VLOOKUP('Données projet'!$B$12,Paramètres!$A$1:$I$89,3,0)*0.475*44/12</f>
        <v>2.3825382523346553E-20</v>
      </c>
      <c r="CN171" s="24">
        <f t="shared" si="172"/>
        <v>6.5916651300794785E-2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1.7053025658242404E-13</v>
      </c>
      <c r="O172" s="14">
        <f>N172*VLOOKUP('Données projet'!$B$9,Paramètres!$A$1:$I$89,3,0)*VLOOKUP('Données projet'!$B$9,Paramètres!$A$1:$I$89,5,0)</f>
        <v>1.5429577615577727E-13</v>
      </c>
      <c r="P172" s="14">
        <f t="shared" si="141"/>
        <v>2.2038482767263348E-12</v>
      </c>
      <c r="Q172" s="22">
        <f t="shared" si="162"/>
        <v>4.107100892103012E-12</v>
      </c>
      <c r="R172" s="62">
        <f t="shared" si="109"/>
        <v>293.33333333333741</v>
      </c>
      <c r="S172" s="62">
        <f ca="1">AVERAGE(OFFSET($R$3,0,0,'Données projet'!$E$9+1,1))-AVERAGE(OFFSET($H$3,0,0,'Données projet'!$E$9+1,1))</f>
        <v>371.75294069149942</v>
      </c>
      <c r="T172" s="62">
        <f t="shared" si="142"/>
        <v>233.32640143610547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5.7209555480999569E-2</v>
      </c>
      <c r="AB172" s="23">
        <f>EXP(-LN(2)/2)*AB171+(1-EXP(-LN(2)/2))/(LN(2)/2)*V172*Y172*VLOOKUP('Données projet'!$B$9,Paramètres!$A$1:$I$89,3,0)*0.475*44/12</f>
        <v>1.5032787595447147E-20</v>
      </c>
      <c r="AC172" s="24">
        <f t="shared" si="163"/>
        <v>5.7209555480999569E-2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1.7053025658242404E-13</v>
      </c>
      <c r="AJ172" s="14">
        <f>AI172*VLOOKUP('Données projet'!$B$10,Paramètres!$A$1:$I$89,3,0)*VLOOKUP('Données projet'!$B$10,Paramètres!$A$1:$I$89,5,0)</f>
        <v>1.4365468814503402E-13</v>
      </c>
      <c r="AK172" s="14">
        <f t="shared" si="164"/>
        <v>2.0689969164106979E-12</v>
      </c>
      <c r="AL172" s="22">
        <f t="shared" si="165"/>
        <v>3.853701544601233E-12</v>
      </c>
      <c r="AM172" s="62">
        <f t="shared" si="113"/>
        <v>293.33333333333718</v>
      </c>
      <c r="AN172" s="62">
        <f ca="1">AVERAGE(OFFSET($AM$3,0,0,'Données projet'!$E$10+1,1))-AVERAGE(OFFSET($H$3,0,0,'Données projet'!$E$10+1,1))</f>
        <v>348.84749506659495</v>
      </c>
      <c r="AO172" s="62">
        <f t="shared" si="144"/>
        <v>220.09202639602199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5.3264068896102974E-2</v>
      </c>
      <c r="AW172" s="23">
        <f>EXP(-LN(2)/2)*AW171+(1-EXP(-LN(2)/2))/(LN(2)/2)*AQ172*AT172*VLOOKUP('Données projet'!$B$10,Paramètres!$A$1:$I$89,3,0)*0.475*44/12</f>
        <v>1.3996043623347348E-20</v>
      </c>
      <c r="AX172" s="23">
        <f t="shared" si="166"/>
        <v>5.3264068896102974E-2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5.3205440053716299E-14</v>
      </c>
      <c r="BF172" s="14">
        <f t="shared" si="167"/>
        <v>8.602146238565607E-13</v>
      </c>
      <c r="BG172" s="22">
        <f t="shared" si="168"/>
        <v>1.590873277977066E-12</v>
      </c>
      <c r="BH172" s="62">
        <f t="shared" si="116"/>
        <v>293.33333333333491</v>
      </c>
      <c r="BI172" s="62">
        <f ca="1">AVERAGE(OFFSET($BH$3,0,0,'Données projet'!$E$11+1,1))-AVERAGE(OFFSET($H$3,0,0,'Données projet'!$E$11+1,1))</f>
        <v>259.74478933784656</v>
      </c>
      <c r="BJ172" s="62">
        <f t="shared" si="146"/>
        <v>223.74038909289646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1.7053025658242404E-13</v>
      </c>
      <c r="BZ172" s="14">
        <f>BY172*VLOOKUP('Données projet'!$B$12,Paramètres!$A$1:$I$89,3,0)*VLOOKUP('Données projet'!$B$12,Paramètres!$A$1:$I$89,5,0)</f>
        <v>1.72917680174578E-13</v>
      </c>
      <c r="CA172" s="14">
        <f t="shared" si="170"/>
        <v>2.4372886112056825E-12</v>
      </c>
      <c r="CB172" s="22">
        <f t="shared" si="171"/>
        <v>4.5461092908206203E-12</v>
      </c>
      <c r="CC172" s="62">
        <f t="shared" si="119"/>
        <v>293.33333333333786</v>
      </c>
      <c r="CD172" s="62">
        <f ca="1">AVERAGE(OFFSET($CC$3,0,0,'Données projet'!$E$12+1,1))-AVERAGE(OFFSET($H$3,0,0,'Données projet'!$E$12+1,1))</f>
        <v>411.75894069172358</v>
      </c>
      <c r="CE172" s="62">
        <f t="shared" si="148"/>
        <v>256.4377087753457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6.4114157004568517E-2</v>
      </c>
      <c r="CM172" s="23">
        <f>EXP(-LN(2)/2)*CM171+(1-EXP(-LN(2)/2))/(LN(2)/2)*CG172*CJ172*VLOOKUP('Données projet'!$B$12,Paramètres!$A$1:$I$89,3,0)*0.475*44/12</f>
        <v>1.6847089546621804E-20</v>
      </c>
      <c r="CN172" s="24">
        <f t="shared" si="172"/>
        <v>6.4114157004568517E-2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1.7053025658242404E-13</v>
      </c>
      <c r="O173" s="14">
        <f>N173*VLOOKUP('Données projet'!$B$9,Paramètres!$A$1:$I$89,3,0)*VLOOKUP('Données projet'!$B$9,Paramètres!$A$1:$I$89,5,0)</f>
        <v>1.5429577615577727E-13</v>
      </c>
      <c r="P173" s="14">
        <f t="shared" si="141"/>
        <v>2.2038482767263348E-12</v>
      </c>
      <c r="Q173" s="22">
        <f t="shared" si="162"/>
        <v>4.107100892103012E-12</v>
      </c>
      <c r="R173" s="62">
        <f t="shared" si="109"/>
        <v>293.33333333333741</v>
      </c>
      <c r="S173" s="62">
        <f ca="1">AVERAGE(OFFSET($R$3,0,0,'Données projet'!$E$9+1,1))-AVERAGE(OFFSET($H$3,0,0,'Données projet'!$E$9+1,1))</f>
        <v>371.75294069149942</v>
      </c>
      <c r="T173" s="62">
        <f t="shared" si="142"/>
        <v>233.32640143610547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5.5645157177851866E-2</v>
      </c>
      <c r="AB173" s="23">
        <f>EXP(-LN(2)/2)*AB172+(1-EXP(-LN(2)/2))/(LN(2)/2)*V173*Y173*VLOOKUP('Données projet'!$B$9,Paramètres!$A$1:$I$89,3,0)*0.475*44/12</f>
        <v>1.0629786048877692E-20</v>
      </c>
      <c r="AC173" s="24">
        <f t="shared" si="163"/>
        <v>5.5645157177851866E-2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1.7053025658242404E-13</v>
      </c>
      <c r="AJ173" s="14">
        <f>AI173*VLOOKUP('Données projet'!$B$10,Paramètres!$A$1:$I$89,3,0)*VLOOKUP('Données projet'!$B$10,Paramètres!$A$1:$I$89,5,0)</f>
        <v>1.4365468814503402E-13</v>
      </c>
      <c r="AK173" s="14">
        <f t="shared" si="164"/>
        <v>2.0689969164106979E-12</v>
      </c>
      <c r="AL173" s="22">
        <f t="shared" si="165"/>
        <v>3.853701544601233E-12</v>
      </c>
      <c r="AM173" s="62">
        <f t="shared" si="113"/>
        <v>293.33333333333718</v>
      </c>
      <c r="AN173" s="62">
        <f ca="1">AVERAGE(OFFSET($AM$3,0,0,'Données projet'!$E$10+1,1))-AVERAGE(OFFSET($H$3,0,0,'Données projet'!$E$10+1,1))</f>
        <v>348.84749506659495</v>
      </c>
      <c r="AO173" s="62">
        <f t="shared" si="144"/>
        <v>220.09202639602199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5.1807560131103395E-2</v>
      </c>
      <c r="AW173" s="23">
        <f>EXP(-LN(2)/2)*AW172+(1-EXP(-LN(2)/2))/(LN(2)/2)*AQ173*AT173*VLOOKUP('Données projet'!$B$10,Paramètres!$A$1:$I$89,3,0)*0.475*44/12</f>
        <v>9.8966973558516477E-21</v>
      </c>
      <c r="AX173" s="23">
        <f t="shared" si="166"/>
        <v>5.1807560131103395E-2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5.3205440053716299E-14</v>
      </c>
      <c r="BF173" s="14">
        <f t="shared" si="167"/>
        <v>8.602146238565607E-13</v>
      </c>
      <c r="BG173" s="22">
        <f t="shared" si="168"/>
        <v>1.590873277977066E-12</v>
      </c>
      <c r="BH173" s="62">
        <f t="shared" si="116"/>
        <v>293.33333333333491</v>
      </c>
      <c r="BI173" s="62">
        <f ca="1">AVERAGE(OFFSET($BH$3,0,0,'Données projet'!$E$11+1,1))-AVERAGE(OFFSET($H$3,0,0,'Données projet'!$E$11+1,1))</f>
        <v>259.74478933784656</v>
      </c>
      <c r="BJ173" s="62">
        <f t="shared" si="146"/>
        <v>223.74038909289646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1.7053025658242404E-13</v>
      </c>
      <c r="BZ173" s="14">
        <f>BY173*VLOOKUP('Données projet'!$B$12,Paramètres!$A$1:$I$89,3,0)*VLOOKUP('Données projet'!$B$12,Paramètres!$A$1:$I$89,5,0)</f>
        <v>1.72917680174578E-13</v>
      </c>
      <c r="CA173" s="14">
        <f t="shared" si="170"/>
        <v>2.4372886112056825E-12</v>
      </c>
      <c r="CB173" s="22">
        <f t="shared" si="171"/>
        <v>4.5461092908206203E-12</v>
      </c>
      <c r="CC173" s="62">
        <f t="shared" si="119"/>
        <v>293.33333333333786</v>
      </c>
      <c r="CD173" s="62">
        <f ca="1">AVERAGE(OFFSET($CC$3,0,0,'Données projet'!$E$12+1,1))-AVERAGE(OFFSET($H$3,0,0,'Données projet'!$E$12+1,1))</f>
        <v>411.75894069172358</v>
      </c>
      <c r="CE173" s="62">
        <f t="shared" si="148"/>
        <v>256.4377087753457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6.2360952009661609E-2</v>
      </c>
      <c r="CM173" s="23">
        <f>EXP(-LN(2)/2)*CM172+(1-EXP(-LN(2)/2))/(LN(2)/2)*CG173*CJ173*VLOOKUP('Données projet'!$B$12,Paramètres!$A$1:$I$89,3,0)*0.475*44/12</f>
        <v>1.1912691261673276E-20</v>
      </c>
      <c r="CN173" s="24">
        <f t="shared" si="172"/>
        <v>6.2360952009661609E-2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1.7053025658242404E-13</v>
      </c>
      <c r="O174" s="14">
        <f>N174*VLOOKUP('Données projet'!$B$9,Paramètres!$A$1:$I$89,3,0)*VLOOKUP('Données projet'!$B$9,Paramètres!$A$1:$I$89,5,0)</f>
        <v>1.5429577615577727E-13</v>
      </c>
      <c r="P174" s="14">
        <f t="shared" si="141"/>
        <v>2.2038482767263348E-12</v>
      </c>
      <c r="Q174" s="22">
        <f t="shared" si="162"/>
        <v>4.107100892103012E-12</v>
      </c>
      <c r="R174" s="62">
        <f t="shared" si="109"/>
        <v>293.33333333333741</v>
      </c>
      <c r="S174" s="62">
        <f ca="1">AVERAGE(OFFSET($R$3,0,0,'Données projet'!$E$9+1,1))-AVERAGE(OFFSET($H$3,0,0,'Données projet'!$E$9+1,1))</f>
        <v>371.75294069149942</v>
      </c>
      <c r="T174" s="62">
        <f t="shared" si="142"/>
        <v>233.32640143610547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5.4123537428571872E-2</v>
      </c>
      <c r="AB174" s="23">
        <f>EXP(-LN(2)/2)*AB173+(1-EXP(-LN(2)/2))/(LN(2)/2)*V174*Y174*VLOOKUP('Données projet'!$B$9,Paramètres!$A$1:$I$89,3,0)*0.475*44/12</f>
        <v>7.5163937977235735E-21</v>
      </c>
      <c r="AC174" s="24">
        <f t="shared" si="163"/>
        <v>5.4123537428571872E-2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1.7053025658242404E-13</v>
      </c>
      <c r="AJ174" s="14">
        <f>AI174*VLOOKUP('Données projet'!$B$10,Paramètres!$A$1:$I$89,3,0)*VLOOKUP('Données projet'!$B$10,Paramètres!$A$1:$I$89,5,0)</f>
        <v>1.4365468814503402E-13</v>
      </c>
      <c r="AK174" s="14">
        <f t="shared" si="164"/>
        <v>2.0689969164106979E-12</v>
      </c>
      <c r="AL174" s="22">
        <f t="shared" si="165"/>
        <v>3.853701544601233E-12</v>
      </c>
      <c r="AM174" s="62">
        <f t="shared" si="113"/>
        <v>293.33333333333718</v>
      </c>
      <c r="AN174" s="62">
        <f ca="1">AVERAGE(OFFSET($AM$3,0,0,'Données projet'!$E$10+1,1))-AVERAGE(OFFSET($H$3,0,0,'Données projet'!$E$10+1,1))</f>
        <v>348.84749506659495</v>
      </c>
      <c r="AO174" s="62">
        <f t="shared" si="144"/>
        <v>220.09202639602199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5.0390879674877195E-2</v>
      </c>
      <c r="AW174" s="23">
        <f>EXP(-LN(2)/2)*AW173+(1-EXP(-LN(2)/2))/(LN(2)/2)*AQ174*AT174*VLOOKUP('Données projet'!$B$10,Paramètres!$A$1:$I$89,3,0)*0.475*44/12</f>
        <v>6.9980218116736742E-21</v>
      </c>
      <c r="AX174" s="23">
        <f t="shared" si="166"/>
        <v>5.0390879674877195E-2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5.3205440053716299E-14</v>
      </c>
      <c r="BF174" s="14">
        <f t="shared" si="167"/>
        <v>8.602146238565607E-13</v>
      </c>
      <c r="BG174" s="22">
        <f t="shared" si="168"/>
        <v>1.590873277977066E-12</v>
      </c>
      <c r="BH174" s="62">
        <f t="shared" si="116"/>
        <v>293.33333333333491</v>
      </c>
      <c r="BI174" s="62">
        <f ca="1">AVERAGE(OFFSET($BH$3,0,0,'Données projet'!$E$11+1,1))-AVERAGE(OFFSET($H$3,0,0,'Données projet'!$E$11+1,1))</f>
        <v>259.74478933784656</v>
      </c>
      <c r="BJ174" s="62">
        <f t="shared" si="146"/>
        <v>223.74038909289646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1.7053025658242404E-13</v>
      </c>
      <c r="BZ174" s="14">
        <f>BY174*VLOOKUP('Données projet'!$B$12,Paramètres!$A$1:$I$89,3,0)*VLOOKUP('Données projet'!$B$12,Paramètres!$A$1:$I$89,5,0)</f>
        <v>1.72917680174578E-13</v>
      </c>
      <c r="CA174" s="14">
        <f t="shared" si="170"/>
        <v>2.4372886112056825E-12</v>
      </c>
      <c r="CB174" s="22">
        <f t="shared" si="171"/>
        <v>4.5461092908206203E-12</v>
      </c>
      <c r="CC174" s="62">
        <f t="shared" si="119"/>
        <v>293.33333333333786</v>
      </c>
      <c r="CD174" s="62">
        <f ca="1">AVERAGE(OFFSET($CC$3,0,0,'Données projet'!$E$12+1,1))-AVERAGE(OFFSET($H$3,0,0,'Données projet'!$E$12+1,1))</f>
        <v>411.75894069172358</v>
      </c>
      <c r="CE174" s="62">
        <f t="shared" si="148"/>
        <v>256.4377087753457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6.0655688497537476E-2</v>
      </c>
      <c r="CM174" s="23">
        <f>EXP(-LN(2)/2)*CM173+(1-EXP(-LN(2)/2))/(LN(2)/2)*CG174*CJ174*VLOOKUP('Données projet'!$B$12,Paramètres!$A$1:$I$89,3,0)*0.475*44/12</f>
        <v>8.4235447733109022E-21</v>
      </c>
      <c r="CN174" s="24">
        <f t="shared" si="172"/>
        <v>6.0655688497537476E-2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1.7053025658242404E-13</v>
      </c>
      <c r="O175" s="14">
        <f>N175*VLOOKUP('Données projet'!$B$9,Paramètres!$A$1:$I$89,3,0)*VLOOKUP('Données projet'!$B$9,Paramètres!$A$1:$I$89,5,0)</f>
        <v>1.5429577615577727E-13</v>
      </c>
      <c r="P175" s="14">
        <f t="shared" si="141"/>
        <v>2.2038482767263348E-12</v>
      </c>
      <c r="Q175" s="22">
        <f t="shared" si="162"/>
        <v>4.107100892103012E-12</v>
      </c>
      <c r="R175" s="62">
        <f t="shared" si="109"/>
        <v>293.33333333333741</v>
      </c>
      <c r="S175" s="62">
        <f ca="1">AVERAGE(OFFSET($R$3,0,0,'Données projet'!$E$9+1,1))-AVERAGE(OFFSET($H$3,0,0,'Données projet'!$E$9+1,1))</f>
        <v>371.75294069149942</v>
      </c>
      <c r="T175" s="62">
        <f t="shared" si="142"/>
        <v>233.32640143610547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5.2643526451354443E-2</v>
      </c>
      <c r="AB175" s="23">
        <f>EXP(-LN(2)/2)*AB174+(1-EXP(-LN(2)/2))/(LN(2)/2)*V175*Y175*VLOOKUP('Données projet'!$B$9,Paramètres!$A$1:$I$89,3,0)*0.475*44/12</f>
        <v>5.3148930244388459E-21</v>
      </c>
      <c r="AC175" s="24">
        <f t="shared" si="163"/>
        <v>5.2643526451354443E-2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1.7053025658242404E-13</v>
      </c>
      <c r="AJ175" s="14">
        <f>AI175*VLOOKUP('Données projet'!$B$10,Paramètres!$A$1:$I$89,3,0)*VLOOKUP('Données projet'!$B$10,Paramètres!$A$1:$I$89,5,0)</f>
        <v>1.4365468814503402E-13</v>
      </c>
      <c r="AK175" s="14">
        <f t="shared" si="164"/>
        <v>2.0689969164106979E-12</v>
      </c>
      <c r="AL175" s="22">
        <f t="shared" si="165"/>
        <v>3.853701544601233E-12</v>
      </c>
      <c r="AM175" s="62">
        <f t="shared" si="113"/>
        <v>293.33333333333718</v>
      </c>
      <c r="AN175" s="62">
        <f ca="1">AVERAGE(OFFSET($AM$3,0,0,'Données projet'!$E$10+1,1))-AVERAGE(OFFSET($H$3,0,0,'Données projet'!$E$10+1,1))</f>
        <v>348.84749506659495</v>
      </c>
      <c r="AO175" s="62">
        <f t="shared" si="144"/>
        <v>220.09202639602199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4.9012938420226485E-2</v>
      </c>
      <c r="AW175" s="23">
        <f>EXP(-LN(2)/2)*AW174+(1-EXP(-LN(2)/2))/(LN(2)/2)*AQ175*AT175*VLOOKUP('Données projet'!$B$10,Paramètres!$A$1:$I$89,3,0)*0.475*44/12</f>
        <v>4.9483486779258238E-21</v>
      </c>
      <c r="AX175" s="23">
        <f t="shared" si="166"/>
        <v>4.9012938420226485E-2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5.3205440053716299E-14</v>
      </c>
      <c r="BF175" s="14">
        <f t="shared" si="167"/>
        <v>8.602146238565607E-13</v>
      </c>
      <c r="BG175" s="22">
        <f t="shared" si="168"/>
        <v>1.590873277977066E-12</v>
      </c>
      <c r="BH175" s="62">
        <f t="shared" si="116"/>
        <v>293.33333333333491</v>
      </c>
      <c r="BI175" s="62">
        <f ca="1">AVERAGE(OFFSET($BH$3,0,0,'Données projet'!$E$11+1,1))-AVERAGE(OFFSET($H$3,0,0,'Données projet'!$E$11+1,1))</f>
        <v>259.74478933784656</v>
      </c>
      <c r="BJ175" s="62">
        <f t="shared" si="146"/>
        <v>223.74038909289646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1.7053025658242404E-13</v>
      </c>
      <c r="BZ175" s="14">
        <f>BY175*VLOOKUP('Données projet'!$B$12,Paramètres!$A$1:$I$89,3,0)*VLOOKUP('Données projet'!$B$12,Paramètres!$A$1:$I$89,5,0)</f>
        <v>1.72917680174578E-13</v>
      </c>
      <c r="CA175" s="14">
        <f t="shared" si="170"/>
        <v>2.4372886112056825E-12</v>
      </c>
      <c r="CB175" s="22">
        <f t="shared" si="171"/>
        <v>4.5461092908206203E-12</v>
      </c>
      <c r="CC175" s="62">
        <f t="shared" si="119"/>
        <v>293.33333333333786</v>
      </c>
      <c r="CD175" s="62">
        <f ca="1">AVERAGE(OFFSET($CC$3,0,0,'Données projet'!$E$12+1,1))-AVERAGE(OFFSET($H$3,0,0,'Données projet'!$E$12+1,1))</f>
        <v>411.75894069172358</v>
      </c>
      <c r="CE175" s="62">
        <f t="shared" si="148"/>
        <v>256.4377087753457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5.8997055505828289E-2</v>
      </c>
      <c r="CM175" s="23">
        <f>EXP(-LN(2)/2)*CM174+(1-EXP(-LN(2)/2))/(LN(2)/2)*CG175*CJ175*VLOOKUP('Données projet'!$B$12,Paramètres!$A$1:$I$89,3,0)*0.475*44/12</f>
        <v>5.9563456308366382E-21</v>
      </c>
      <c r="CN175" s="24">
        <f t="shared" si="172"/>
        <v>5.8997055505828289E-2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1.7053025658242404E-13</v>
      </c>
      <c r="O176" s="14">
        <f>N176*VLOOKUP('Données projet'!$B$9,Paramètres!$A$1:$I$89,3,0)*VLOOKUP('Données projet'!$B$9,Paramètres!$A$1:$I$89,5,0)</f>
        <v>1.5429577615577727E-13</v>
      </c>
      <c r="P176" s="14">
        <f t="shared" si="141"/>
        <v>2.2038482767263348E-12</v>
      </c>
      <c r="Q176" s="22">
        <f t="shared" si="162"/>
        <v>4.107100892103012E-12</v>
      </c>
      <c r="R176" s="62">
        <f t="shared" si="109"/>
        <v>293.33333333333741</v>
      </c>
      <c r="S176" s="62">
        <f ca="1">AVERAGE(OFFSET($R$3,0,0,'Données projet'!$E$9+1,1))-AVERAGE(OFFSET($H$3,0,0,'Données projet'!$E$9+1,1))</f>
        <v>371.75294069149942</v>
      </c>
      <c r="T176" s="62">
        <f t="shared" si="142"/>
        <v>233.32640143610547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5.1203986452139416E-2</v>
      </c>
      <c r="AB176" s="23">
        <f>EXP(-LN(2)/2)*AB175+(1-EXP(-LN(2)/2))/(LN(2)/2)*V176*Y176*VLOOKUP('Données projet'!$B$9,Paramètres!$A$1:$I$89,3,0)*0.475*44/12</f>
        <v>3.7581968988617868E-21</v>
      </c>
      <c r="AC176" s="24">
        <f t="shared" si="163"/>
        <v>5.1203986452139416E-2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1.7053025658242404E-13</v>
      </c>
      <c r="AJ176" s="14">
        <f>AI176*VLOOKUP('Données projet'!$B$10,Paramètres!$A$1:$I$89,3,0)*VLOOKUP('Données projet'!$B$10,Paramètres!$A$1:$I$89,5,0)</f>
        <v>1.4365468814503402E-13</v>
      </c>
      <c r="AK176" s="14">
        <f t="shared" si="164"/>
        <v>2.0689969164106979E-12</v>
      </c>
      <c r="AL176" s="22">
        <f t="shared" si="165"/>
        <v>3.853701544601233E-12</v>
      </c>
      <c r="AM176" s="62">
        <f t="shared" si="113"/>
        <v>293.33333333333718</v>
      </c>
      <c r="AN176" s="62">
        <f ca="1">AVERAGE(OFFSET($AM$3,0,0,'Données projet'!$E$10+1,1))-AVERAGE(OFFSET($H$3,0,0,'Données projet'!$E$10+1,1))</f>
        <v>348.84749506659495</v>
      </c>
      <c r="AO176" s="62">
        <f t="shared" si="144"/>
        <v>220.09202639602199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4.7672677041646981E-2</v>
      </c>
      <c r="AW176" s="23">
        <f>EXP(-LN(2)/2)*AW175+(1-EXP(-LN(2)/2))/(LN(2)/2)*AQ176*AT176*VLOOKUP('Données projet'!$B$10,Paramètres!$A$1:$I$89,3,0)*0.475*44/12</f>
        <v>3.4990109058368371E-21</v>
      </c>
      <c r="AX176" s="23">
        <f t="shared" si="166"/>
        <v>4.7672677041646981E-2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5.3205440053716299E-14</v>
      </c>
      <c r="BF176" s="14">
        <f t="shared" si="167"/>
        <v>8.602146238565607E-13</v>
      </c>
      <c r="BG176" s="22">
        <f t="shared" si="168"/>
        <v>1.590873277977066E-12</v>
      </c>
      <c r="BH176" s="62">
        <f t="shared" si="116"/>
        <v>293.33333333333491</v>
      </c>
      <c r="BI176" s="62">
        <f ca="1">AVERAGE(OFFSET($BH$3,0,0,'Données projet'!$E$11+1,1))-AVERAGE(OFFSET($H$3,0,0,'Données projet'!$E$11+1,1))</f>
        <v>259.74478933784656</v>
      </c>
      <c r="BJ176" s="62">
        <f t="shared" si="146"/>
        <v>223.74038909289646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1.7053025658242404E-13</v>
      </c>
      <c r="BZ176" s="14">
        <f>BY176*VLOOKUP('Données projet'!$B$12,Paramètres!$A$1:$I$89,3,0)*VLOOKUP('Données projet'!$B$12,Paramètres!$A$1:$I$89,5,0)</f>
        <v>1.72917680174578E-13</v>
      </c>
      <c r="CA176" s="14">
        <f t="shared" si="170"/>
        <v>2.4372886112056825E-12</v>
      </c>
      <c r="CB176" s="22">
        <f t="shared" si="171"/>
        <v>4.5461092908206203E-12</v>
      </c>
      <c r="CC176" s="62">
        <f t="shared" si="119"/>
        <v>293.33333333333786</v>
      </c>
      <c r="CD176" s="62">
        <f ca="1">AVERAGE(OFFSET($CC$3,0,0,'Données projet'!$E$12+1,1))-AVERAGE(OFFSET($H$3,0,0,'Données projet'!$E$12+1,1))</f>
        <v>411.75894069172358</v>
      </c>
      <c r="CE176" s="62">
        <f t="shared" si="148"/>
        <v>256.4377087753457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5.7383777920501103E-2</v>
      </c>
      <c r="CM176" s="23">
        <f>EXP(-LN(2)/2)*CM175+(1-EXP(-LN(2)/2))/(LN(2)/2)*CG176*CJ176*VLOOKUP('Données projet'!$B$12,Paramètres!$A$1:$I$89,3,0)*0.475*44/12</f>
        <v>4.2117723866554511E-21</v>
      </c>
      <c r="CN176" s="24">
        <f t="shared" si="172"/>
        <v>5.7383777920501103E-2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1.7053025658242404E-13</v>
      </c>
      <c r="O177" s="14">
        <f>N177*VLOOKUP('Données projet'!$B$9,Paramètres!$A$1:$I$89,3,0)*VLOOKUP('Données projet'!$B$9,Paramètres!$A$1:$I$89,5,0)</f>
        <v>1.5429577615577727E-13</v>
      </c>
      <c r="P177" s="14">
        <f t="shared" si="141"/>
        <v>2.2038482767263348E-12</v>
      </c>
      <c r="Q177" s="22">
        <f t="shared" si="162"/>
        <v>4.107100892103012E-12</v>
      </c>
      <c r="R177" s="62">
        <f t="shared" si="109"/>
        <v>293.33333333333741</v>
      </c>
      <c r="S177" s="62">
        <f ca="1">AVERAGE(OFFSET($R$3,0,0,'Données projet'!$E$9+1,1))-AVERAGE(OFFSET($H$3,0,0,'Données projet'!$E$9+1,1))</f>
        <v>371.75294069149942</v>
      </c>
      <c r="T177" s="62">
        <f t="shared" si="142"/>
        <v>233.32640143610547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4.9803810749905045E-2</v>
      </c>
      <c r="AB177" s="23">
        <f>EXP(-LN(2)/2)*AB176+(1-EXP(-LN(2)/2))/(LN(2)/2)*V177*Y177*VLOOKUP('Données projet'!$B$9,Paramètres!$A$1:$I$89,3,0)*0.475*44/12</f>
        <v>2.6574465122194229E-21</v>
      </c>
      <c r="AC177" s="24">
        <f t="shared" si="163"/>
        <v>4.9803810749905045E-2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1.7053025658242404E-13</v>
      </c>
      <c r="AJ177" s="14">
        <f>AI177*VLOOKUP('Données projet'!$B$10,Paramètres!$A$1:$I$89,3,0)*VLOOKUP('Données projet'!$B$10,Paramètres!$A$1:$I$89,5,0)</f>
        <v>1.4365468814503402E-13</v>
      </c>
      <c r="AK177" s="14">
        <f t="shared" si="164"/>
        <v>2.0689969164106979E-12</v>
      </c>
      <c r="AL177" s="22">
        <f t="shared" si="165"/>
        <v>3.853701544601233E-12</v>
      </c>
      <c r="AM177" s="62">
        <f t="shared" si="113"/>
        <v>293.33333333333718</v>
      </c>
      <c r="AN177" s="62">
        <f ca="1">AVERAGE(OFFSET($AM$3,0,0,'Données projet'!$E$10+1,1))-AVERAGE(OFFSET($H$3,0,0,'Données projet'!$E$10+1,1))</f>
        <v>348.84749506659495</v>
      </c>
      <c r="AO177" s="62">
        <f t="shared" si="144"/>
        <v>220.09202639602199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4.6369065180946016E-2</v>
      </c>
      <c r="AW177" s="23">
        <f>EXP(-LN(2)/2)*AW176+(1-EXP(-LN(2)/2))/(LN(2)/2)*AQ177*AT177*VLOOKUP('Données projet'!$B$10,Paramètres!$A$1:$I$89,3,0)*0.475*44/12</f>
        <v>2.4741743389629119E-21</v>
      </c>
      <c r="AX177" s="23">
        <f t="shared" si="166"/>
        <v>4.6369065180946016E-2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5.3205440053716299E-14</v>
      </c>
      <c r="BF177" s="14">
        <f t="shared" si="167"/>
        <v>8.602146238565607E-13</v>
      </c>
      <c r="BG177" s="22">
        <f t="shared" si="168"/>
        <v>1.590873277977066E-12</v>
      </c>
      <c r="BH177" s="62">
        <f t="shared" si="116"/>
        <v>293.33333333333491</v>
      </c>
      <c r="BI177" s="62">
        <f ca="1">AVERAGE(OFFSET($BH$3,0,0,'Données projet'!$E$11+1,1))-AVERAGE(OFFSET($H$3,0,0,'Données projet'!$E$11+1,1))</f>
        <v>259.74478933784656</v>
      </c>
      <c r="BJ177" s="62">
        <f t="shared" si="146"/>
        <v>223.74038909289646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1.7053025658242404E-13</v>
      </c>
      <c r="BZ177" s="14">
        <f>BY177*VLOOKUP('Données projet'!$B$12,Paramètres!$A$1:$I$89,3,0)*VLOOKUP('Données projet'!$B$12,Paramètres!$A$1:$I$89,5,0)</f>
        <v>1.72917680174578E-13</v>
      </c>
      <c r="CA177" s="14">
        <f t="shared" si="170"/>
        <v>2.4372886112056825E-12</v>
      </c>
      <c r="CB177" s="22">
        <f t="shared" si="171"/>
        <v>4.5461092908206203E-12</v>
      </c>
      <c r="CC177" s="62">
        <f t="shared" si="119"/>
        <v>293.33333333333786</v>
      </c>
      <c r="CD177" s="62">
        <f ca="1">AVERAGE(OFFSET($CC$3,0,0,'Données projet'!$E$12+1,1))-AVERAGE(OFFSET($H$3,0,0,'Données projet'!$E$12+1,1))</f>
        <v>411.75894069172358</v>
      </c>
      <c r="CE177" s="62">
        <f t="shared" si="148"/>
        <v>256.4377087753457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5.5814615495583274E-2</v>
      </c>
      <c r="CM177" s="23">
        <f>EXP(-LN(2)/2)*CM176+(1-EXP(-LN(2)/2))/(LN(2)/2)*CG177*CJ177*VLOOKUP('Données projet'!$B$12,Paramètres!$A$1:$I$89,3,0)*0.475*44/12</f>
        <v>2.9781728154183191E-21</v>
      </c>
      <c r="CN177" s="24">
        <f t="shared" si="172"/>
        <v>5.5814615495583274E-2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1.7053025658242404E-13</v>
      </c>
      <c r="O178" s="14">
        <f>N178*VLOOKUP('Données projet'!$B$9,Paramètres!$A$1:$I$89,3,0)*VLOOKUP('Données projet'!$B$9,Paramètres!$A$1:$I$89,5,0)</f>
        <v>1.5429577615577727E-13</v>
      </c>
      <c r="P178" s="14">
        <f t="shared" si="141"/>
        <v>2.2038482767263348E-12</v>
      </c>
      <c r="Q178" s="22">
        <f t="shared" si="162"/>
        <v>4.107100892103012E-12</v>
      </c>
      <c r="R178" s="62">
        <f t="shared" si="109"/>
        <v>293.33333333333741</v>
      </c>
      <c r="S178" s="62">
        <f ca="1">AVERAGE(OFFSET($R$3,0,0,'Données projet'!$E$9+1,1))-AVERAGE(OFFSET($H$3,0,0,'Données projet'!$E$9+1,1))</f>
        <v>371.75294069149942</v>
      </c>
      <c r="T178" s="62">
        <f t="shared" si="142"/>
        <v>233.32640143610547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4.8441922925880315E-2</v>
      </c>
      <c r="AB178" s="23">
        <f>EXP(-LN(2)/2)*AB177+(1-EXP(-LN(2)/2))/(LN(2)/2)*V178*Y178*VLOOKUP('Données projet'!$B$9,Paramètres!$A$1:$I$89,3,0)*0.475*44/12</f>
        <v>1.8790984494308934E-21</v>
      </c>
      <c r="AC178" s="24">
        <f t="shared" si="163"/>
        <v>4.8441922925880315E-2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1.7053025658242404E-13</v>
      </c>
      <c r="AJ178" s="14">
        <f>AI178*VLOOKUP('Données projet'!$B$10,Paramètres!$A$1:$I$89,3,0)*VLOOKUP('Données projet'!$B$10,Paramètres!$A$1:$I$89,5,0)</f>
        <v>1.4365468814503402E-13</v>
      </c>
      <c r="AK178" s="14">
        <f t="shared" si="164"/>
        <v>2.0689969164106979E-12</v>
      </c>
      <c r="AL178" s="22">
        <f t="shared" si="165"/>
        <v>3.853701544601233E-12</v>
      </c>
      <c r="AM178" s="62">
        <f t="shared" si="113"/>
        <v>293.33333333333718</v>
      </c>
      <c r="AN178" s="62">
        <f ca="1">AVERAGE(OFFSET($AM$3,0,0,'Données projet'!$E$10+1,1))-AVERAGE(OFFSET($H$3,0,0,'Données projet'!$E$10+1,1))</f>
        <v>348.84749506659495</v>
      </c>
      <c r="AO178" s="62">
        <f t="shared" si="144"/>
        <v>220.09202639602199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4.5101100655129886E-2</v>
      </c>
      <c r="AW178" s="23">
        <f>EXP(-LN(2)/2)*AW177+(1-EXP(-LN(2)/2))/(LN(2)/2)*AQ178*AT178*VLOOKUP('Données projet'!$B$10,Paramètres!$A$1:$I$89,3,0)*0.475*44/12</f>
        <v>1.7495054529184186E-21</v>
      </c>
      <c r="AX178" s="23">
        <f t="shared" si="166"/>
        <v>4.5101100655129886E-2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5.3205440053716299E-14</v>
      </c>
      <c r="BF178" s="14">
        <f t="shared" si="167"/>
        <v>8.602146238565607E-13</v>
      </c>
      <c r="BG178" s="22">
        <f t="shared" si="168"/>
        <v>1.590873277977066E-12</v>
      </c>
      <c r="BH178" s="62">
        <f t="shared" si="116"/>
        <v>293.33333333333491</v>
      </c>
      <c r="BI178" s="62">
        <f ca="1">AVERAGE(OFFSET($BH$3,0,0,'Données projet'!$E$11+1,1))-AVERAGE(OFFSET($H$3,0,0,'Données projet'!$E$11+1,1))</f>
        <v>259.74478933784656</v>
      </c>
      <c r="BJ178" s="62">
        <f t="shared" si="146"/>
        <v>223.74038909289646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1.7053025658242404E-13</v>
      </c>
      <c r="BZ178" s="14">
        <f>BY178*VLOOKUP('Données projet'!$B$12,Paramètres!$A$1:$I$89,3,0)*VLOOKUP('Données projet'!$B$12,Paramètres!$A$1:$I$89,5,0)</f>
        <v>1.72917680174578E-13</v>
      </c>
      <c r="CA178" s="14">
        <f t="shared" si="170"/>
        <v>2.4372886112056825E-12</v>
      </c>
      <c r="CB178" s="22">
        <f t="shared" si="171"/>
        <v>4.5461092908206203E-12</v>
      </c>
      <c r="CC178" s="62">
        <f t="shared" si="119"/>
        <v>293.33333333333786</v>
      </c>
      <c r="CD178" s="62">
        <f ca="1">AVERAGE(OFFSET($CC$3,0,0,'Données projet'!$E$12+1,1))-AVERAGE(OFFSET($H$3,0,0,'Données projet'!$E$12+1,1))</f>
        <v>411.75894069172358</v>
      </c>
      <c r="CE178" s="62">
        <f t="shared" si="148"/>
        <v>256.4377087753457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5.4288361899693487E-2</v>
      </c>
      <c r="CM178" s="23">
        <f>EXP(-LN(2)/2)*CM177+(1-EXP(-LN(2)/2))/(LN(2)/2)*CG178*CJ178*VLOOKUP('Données projet'!$B$12,Paramètres!$A$1:$I$89,3,0)*0.475*44/12</f>
        <v>2.1058861933277255E-21</v>
      </c>
      <c r="CN178" s="24">
        <f t="shared" si="172"/>
        <v>5.4288361899693487E-2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1.7053025658242404E-13</v>
      </c>
      <c r="O179" s="14">
        <f>N179*VLOOKUP('Données projet'!$B$9,Paramètres!$A$1:$I$89,3,0)*VLOOKUP('Données projet'!$B$9,Paramètres!$A$1:$I$89,5,0)</f>
        <v>1.5429577615577727E-13</v>
      </c>
      <c r="P179" s="14">
        <f t="shared" si="141"/>
        <v>2.2038482767263348E-12</v>
      </c>
      <c r="Q179" s="22">
        <f t="shared" si="162"/>
        <v>4.107100892103012E-12</v>
      </c>
      <c r="R179" s="62">
        <f t="shared" si="109"/>
        <v>293.33333333333741</v>
      </c>
      <c r="S179" s="62">
        <f ca="1">AVERAGE(OFFSET($R$3,0,0,'Données projet'!$E$9+1,1))-AVERAGE(OFFSET($H$3,0,0,'Données projet'!$E$9+1,1))</f>
        <v>371.75294069149942</v>
      </c>
      <c r="T179" s="62">
        <f t="shared" si="142"/>
        <v>233.32640143610547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4.7117275996022105E-2</v>
      </c>
      <c r="AB179" s="23">
        <f>EXP(-LN(2)/2)*AB178+(1-EXP(-LN(2)/2))/(LN(2)/2)*V179*Y179*VLOOKUP('Données projet'!$B$9,Paramètres!$A$1:$I$89,3,0)*0.475*44/12</f>
        <v>1.3287232561097115E-21</v>
      </c>
      <c r="AC179" s="24">
        <f t="shared" si="163"/>
        <v>4.7117275996022105E-2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1.7053025658242404E-13</v>
      </c>
      <c r="AJ179" s="14">
        <f>AI179*VLOOKUP('Données projet'!$B$10,Paramètres!$A$1:$I$89,3,0)*VLOOKUP('Données projet'!$B$10,Paramètres!$A$1:$I$89,5,0)</f>
        <v>1.4365468814503402E-13</v>
      </c>
      <c r="AK179" s="14">
        <f t="shared" si="164"/>
        <v>2.0689969164106979E-12</v>
      </c>
      <c r="AL179" s="22">
        <f t="shared" si="165"/>
        <v>3.853701544601233E-12</v>
      </c>
      <c r="AM179" s="62">
        <f t="shared" si="113"/>
        <v>293.33333333333718</v>
      </c>
      <c r="AN179" s="62">
        <f ca="1">AVERAGE(OFFSET($AM$3,0,0,'Données projet'!$E$10+1,1))-AVERAGE(OFFSET($H$3,0,0,'Données projet'!$E$10+1,1))</f>
        <v>348.84749506659495</v>
      </c>
      <c r="AO179" s="62">
        <f t="shared" si="144"/>
        <v>220.09202639602199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4.3867808685951554E-2</v>
      </c>
      <c r="AW179" s="23">
        <f>EXP(-LN(2)/2)*AW178+(1-EXP(-LN(2)/2))/(LN(2)/2)*AQ179*AT179*VLOOKUP('Données projet'!$B$10,Paramètres!$A$1:$I$89,3,0)*0.475*44/12</f>
        <v>1.237087169481456E-21</v>
      </c>
      <c r="AX179" s="23">
        <f t="shared" si="166"/>
        <v>4.3867808685951554E-2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5.3205440053716299E-14</v>
      </c>
      <c r="BF179" s="14">
        <f t="shared" si="167"/>
        <v>8.602146238565607E-13</v>
      </c>
      <c r="BG179" s="22">
        <f t="shared" si="168"/>
        <v>1.590873277977066E-12</v>
      </c>
      <c r="BH179" s="62">
        <f t="shared" si="116"/>
        <v>293.33333333333491</v>
      </c>
      <c r="BI179" s="62">
        <f ca="1">AVERAGE(OFFSET($BH$3,0,0,'Données projet'!$E$11+1,1))-AVERAGE(OFFSET($H$3,0,0,'Données projet'!$E$11+1,1))</f>
        <v>259.74478933784656</v>
      </c>
      <c r="BJ179" s="62">
        <f t="shared" si="146"/>
        <v>223.74038909289646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1.7053025658242404E-13</v>
      </c>
      <c r="BZ179" s="14">
        <f>BY179*VLOOKUP('Données projet'!$B$12,Paramètres!$A$1:$I$89,3,0)*VLOOKUP('Données projet'!$B$12,Paramètres!$A$1:$I$89,5,0)</f>
        <v>1.72917680174578E-13</v>
      </c>
      <c r="CA179" s="14">
        <f t="shared" si="170"/>
        <v>2.4372886112056825E-12</v>
      </c>
      <c r="CB179" s="22">
        <f t="shared" si="171"/>
        <v>4.5461092908206203E-12</v>
      </c>
      <c r="CC179" s="62">
        <f t="shared" si="119"/>
        <v>293.33333333333786</v>
      </c>
      <c r="CD179" s="62">
        <f ca="1">AVERAGE(OFFSET($CC$3,0,0,'Données projet'!$E$12+1,1))-AVERAGE(OFFSET($H$3,0,0,'Données projet'!$E$12+1,1))</f>
        <v>411.75894069172358</v>
      </c>
      <c r="CE179" s="62">
        <f t="shared" si="148"/>
        <v>256.4377087753457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5.2803843788645492E-2</v>
      </c>
      <c r="CM179" s="23">
        <f>EXP(-LN(2)/2)*CM178+(1-EXP(-LN(2)/2))/(LN(2)/2)*CG179*CJ179*VLOOKUP('Données projet'!$B$12,Paramètres!$A$1:$I$89,3,0)*0.475*44/12</f>
        <v>1.4890864077091596E-21</v>
      </c>
      <c r="CN179" s="24">
        <f t="shared" si="172"/>
        <v>5.2803843788645492E-2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1.7053025658242404E-13</v>
      </c>
      <c r="O180" s="14">
        <f>N180*VLOOKUP('Données projet'!$B$9,Paramètres!$A$1:$I$89,3,0)*VLOOKUP('Données projet'!$B$9,Paramètres!$A$1:$I$89,5,0)</f>
        <v>1.5429577615577727E-13</v>
      </c>
      <c r="P180" s="14">
        <f t="shared" si="141"/>
        <v>2.2038482767263348E-12</v>
      </c>
      <c r="Q180" s="22">
        <f t="shared" si="162"/>
        <v>4.107100892103012E-12</v>
      </c>
      <c r="R180" s="62">
        <f t="shared" si="109"/>
        <v>293.33333333333741</v>
      </c>
      <c r="S180" s="62">
        <f ca="1">AVERAGE(OFFSET($R$3,0,0,'Données projet'!$E$9+1,1))-AVERAGE(OFFSET($H$3,0,0,'Données projet'!$E$9+1,1))</f>
        <v>371.75294069149942</v>
      </c>
      <c r="T180" s="62">
        <f t="shared" si="142"/>
        <v>233.32640143610547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4.5828851606121025E-2</v>
      </c>
      <c r="AB180" s="23">
        <f>EXP(-LN(2)/2)*AB179+(1-EXP(-LN(2)/2))/(LN(2)/2)*V180*Y180*VLOOKUP('Données projet'!$B$9,Paramètres!$A$1:$I$89,3,0)*0.475*44/12</f>
        <v>9.3954922471544669E-22</v>
      </c>
      <c r="AC180" s="24">
        <f t="shared" si="163"/>
        <v>4.5828851606121025E-2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1.7053025658242404E-13</v>
      </c>
      <c r="AJ180" s="14">
        <f>AI180*VLOOKUP('Données projet'!$B$10,Paramètres!$A$1:$I$89,3,0)*VLOOKUP('Données projet'!$B$10,Paramètres!$A$1:$I$89,5,0)</f>
        <v>1.4365468814503402E-13</v>
      </c>
      <c r="AK180" s="14">
        <f t="shared" si="164"/>
        <v>2.0689969164106979E-12</v>
      </c>
      <c r="AL180" s="22">
        <f t="shared" si="165"/>
        <v>3.853701544601233E-12</v>
      </c>
      <c r="AM180" s="62">
        <f t="shared" si="113"/>
        <v>293.33333333333718</v>
      </c>
      <c r="AN180" s="62">
        <f ca="1">AVERAGE(OFFSET($AM$3,0,0,'Données projet'!$E$10+1,1))-AVERAGE(OFFSET($H$3,0,0,'Données projet'!$E$10+1,1))</f>
        <v>348.84749506659495</v>
      </c>
      <c r="AO180" s="62">
        <f t="shared" si="144"/>
        <v>220.09202639602199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4.2668241150526413E-2</v>
      </c>
      <c r="AW180" s="23">
        <f>EXP(-LN(2)/2)*AW179+(1-EXP(-LN(2)/2))/(LN(2)/2)*AQ180*AT180*VLOOKUP('Données projet'!$B$10,Paramètres!$A$1:$I$89,3,0)*0.475*44/12</f>
        <v>8.7475272645920928E-22</v>
      </c>
      <c r="AX180" s="23">
        <f t="shared" si="166"/>
        <v>4.2668241150526413E-2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5.3205440053716299E-14</v>
      </c>
      <c r="BF180" s="14">
        <f t="shared" si="167"/>
        <v>8.602146238565607E-13</v>
      </c>
      <c r="BG180" s="22">
        <f t="shared" si="168"/>
        <v>1.590873277977066E-12</v>
      </c>
      <c r="BH180" s="62">
        <f t="shared" si="116"/>
        <v>293.33333333333491</v>
      </c>
      <c r="BI180" s="62">
        <f ca="1">AVERAGE(OFFSET($BH$3,0,0,'Données projet'!$E$11+1,1))-AVERAGE(OFFSET($H$3,0,0,'Données projet'!$E$11+1,1))</f>
        <v>259.74478933784656</v>
      </c>
      <c r="BJ180" s="62">
        <f t="shared" si="146"/>
        <v>223.74038909289646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1.7053025658242404E-13</v>
      </c>
      <c r="BZ180" s="14">
        <f>BY180*VLOOKUP('Données projet'!$B$12,Paramètres!$A$1:$I$89,3,0)*VLOOKUP('Données projet'!$B$12,Paramètres!$A$1:$I$89,5,0)</f>
        <v>1.72917680174578E-13</v>
      </c>
      <c r="CA180" s="14">
        <f t="shared" si="170"/>
        <v>2.4372886112056825E-12</v>
      </c>
      <c r="CB180" s="22">
        <f t="shared" si="171"/>
        <v>4.5461092908206203E-12</v>
      </c>
      <c r="CC180" s="62">
        <f t="shared" si="119"/>
        <v>293.33333333333786</v>
      </c>
      <c r="CD180" s="62">
        <f ca="1">AVERAGE(OFFSET($CC$3,0,0,'Données projet'!$E$12+1,1))-AVERAGE(OFFSET($H$3,0,0,'Données projet'!$E$12+1,1))</f>
        <v>411.75894069172358</v>
      </c>
      <c r="CE180" s="62">
        <f t="shared" si="148"/>
        <v>256.4377087753457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5.1359919903411523E-2</v>
      </c>
      <c r="CM180" s="23">
        <f>EXP(-LN(2)/2)*CM179+(1-EXP(-LN(2)/2))/(LN(2)/2)*CG180*CJ180*VLOOKUP('Données projet'!$B$12,Paramètres!$A$1:$I$89,3,0)*0.475*44/12</f>
        <v>1.0529430966638628E-21</v>
      </c>
      <c r="CN180" s="24">
        <f t="shared" si="172"/>
        <v>5.1359919903411523E-2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1.7053025658242404E-13</v>
      </c>
      <c r="O181" s="14">
        <f>N181*VLOOKUP('Données projet'!$B$9,Paramètres!$A$1:$I$89,3,0)*VLOOKUP('Données projet'!$B$9,Paramètres!$A$1:$I$89,5,0)</f>
        <v>1.5429577615577727E-13</v>
      </c>
      <c r="P181" s="14">
        <f t="shared" si="141"/>
        <v>2.2038482767263348E-12</v>
      </c>
      <c r="Q181" s="22">
        <f t="shared" si="162"/>
        <v>4.107100892103012E-12</v>
      </c>
      <c r="R181" s="62">
        <f t="shared" si="109"/>
        <v>293.33333333333741</v>
      </c>
      <c r="S181" s="62">
        <f ca="1">AVERAGE(OFFSET($R$3,0,0,'Données projet'!$E$9+1,1))-AVERAGE(OFFSET($H$3,0,0,'Données projet'!$E$9+1,1))</f>
        <v>371.75294069149942</v>
      </c>
      <c r="T181" s="62">
        <f t="shared" si="142"/>
        <v>233.32640143610547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4.4575659248917085E-2</v>
      </c>
      <c r="AB181" s="23">
        <f>EXP(-LN(2)/2)*AB180+(1-EXP(-LN(2)/2))/(LN(2)/2)*V181*Y181*VLOOKUP('Données projet'!$B$9,Paramètres!$A$1:$I$89,3,0)*0.475*44/12</f>
        <v>6.6436162805485573E-22</v>
      </c>
      <c r="AC181" s="24">
        <f t="shared" si="163"/>
        <v>4.4575659248917085E-2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1.7053025658242404E-13</v>
      </c>
      <c r="AJ181" s="14">
        <f>AI181*VLOOKUP('Données projet'!$B$10,Paramètres!$A$1:$I$89,3,0)*VLOOKUP('Données projet'!$B$10,Paramètres!$A$1:$I$89,5,0)</f>
        <v>1.4365468814503402E-13</v>
      </c>
      <c r="AK181" s="14">
        <f t="shared" si="164"/>
        <v>2.0689969164106979E-12</v>
      </c>
      <c r="AL181" s="22">
        <f t="shared" si="165"/>
        <v>3.853701544601233E-12</v>
      </c>
      <c r="AM181" s="62">
        <f t="shared" si="113"/>
        <v>293.33333333333718</v>
      </c>
      <c r="AN181" s="62">
        <f ca="1">AVERAGE(OFFSET($AM$3,0,0,'Données projet'!$E$10+1,1))-AVERAGE(OFFSET($H$3,0,0,'Données projet'!$E$10+1,1))</f>
        <v>348.84749506659495</v>
      </c>
      <c r="AO181" s="62">
        <f t="shared" si="144"/>
        <v>220.09202639602199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4.1501475852439983E-2</v>
      </c>
      <c r="AW181" s="23">
        <f>EXP(-LN(2)/2)*AW180+(1-EXP(-LN(2)/2))/(LN(2)/2)*AQ181*AT181*VLOOKUP('Données projet'!$B$10,Paramètres!$A$1:$I$89,3,0)*0.475*44/12</f>
        <v>6.1854358474072798E-22</v>
      </c>
      <c r="AX181" s="23">
        <f t="shared" si="166"/>
        <v>4.1501475852439983E-2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5.3205440053716299E-14</v>
      </c>
      <c r="BF181" s="14">
        <f t="shared" si="167"/>
        <v>8.602146238565607E-13</v>
      </c>
      <c r="BG181" s="22">
        <f t="shared" si="168"/>
        <v>1.590873277977066E-12</v>
      </c>
      <c r="BH181" s="62">
        <f t="shared" si="116"/>
        <v>293.33333333333491</v>
      </c>
      <c r="BI181" s="62">
        <f ca="1">AVERAGE(OFFSET($BH$3,0,0,'Données projet'!$E$11+1,1))-AVERAGE(OFFSET($H$3,0,0,'Données projet'!$E$11+1,1))</f>
        <v>259.74478933784656</v>
      </c>
      <c r="BJ181" s="62">
        <f t="shared" si="146"/>
        <v>223.74038909289646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1.7053025658242404E-13</v>
      </c>
      <c r="BZ181" s="14">
        <f>BY181*VLOOKUP('Données projet'!$B$12,Paramètres!$A$1:$I$89,3,0)*VLOOKUP('Données projet'!$B$12,Paramètres!$A$1:$I$89,5,0)</f>
        <v>1.72917680174578E-13</v>
      </c>
      <c r="CA181" s="14">
        <f t="shared" si="170"/>
        <v>2.4372886112056825E-12</v>
      </c>
      <c r="CB181" s="22">
        <f t="shared" si="171"/>
        <v>4.5461092908206203E-12</v>
      </c>
      <c r="CC181" s="62">
        <f t="shared" si="119"/>
        <v>293.33333333333786</v>
      </c>
      <c r="CD181" s="62">
        <f ca="1">AVERAGE(OFFSET($CC$3,0,0,'Données projet'!$E$12+1,1))-AVERAGE(OFFSET($H$3,0,0,'Données projet'!$E$12+1,1))</f>
        <v>411.75894069172358</v>
      </c>
      <c r="CE181" s="62">
        <f t="shared" si="148"/>
        <v>256.4377087753457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4.9955480192751929E-2</v>
      </c>
      <c r="CM181" s="23">
        <f>EXP(-LN(2)/2)*CM180+(1-EXP(-LN(2)/2))/(LN(2)/2)*CG181*CJ181*VLOOKUP('Données projet'!$B$12,Paramètres!$A$1:$I$89,3,0)*0.475*44/12</f>
        <v>7.4454320385457978E-22</v>
      </c>
      <c r="CN181" s="24">
        <f t="shared" si="172"/>
        <v>4.9955480192751929E-2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1.7053025658242404E-13</v>
      </c>
      <c r="O182" s="14">
        <f>N182*VLOOKUP('Données projet'!$B$9,Paramètres!$A$1:$I$89,3,0)*VLOOKUP('Données projet'!$B$9,Paramètres!$A$1:$I$89,5,0)</f>
        <v>1.5429577615577727E-13</v>
      </c>
      <c r="P182" s="14">
        <f t="shared" si="141"/>
        <v>2.2038482767263348E-12</v>
      </c>
      <c r="Q182" s="22">
        <f t="shared" si="162"/>
        <v>4.107100892103012E-12</v>
      </c>
      <c r="R182" s="62">
        <f t="shared" si="109"/>
        <v>293.33333333333741</v>
      </c>
      <c r="S182" s="62">
        <f ca="1">AVERAGE(OFFSET($R$3,0,0,'Données projet'!$E$9+1,1))-AVERAGE(OFFSET($H$3,0,0,'Données projet'!$E$9+1,1))</f>
        <v>371.75294069149942</v>
      </c>
      <c r="T182" s="62">
        <f t="shared" si="142"/>
        <v>233.32640143610547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4.3356735502623409E-2</v>
      </c>
      <c r="AB182" s="23">
        <f>EXP(-LN(2)/2)*AB181+(1-EXP(-LN(2)/2))/(LN(2)/2)*V182*Y182*VLOOKUP('Données projet'!$B$9,Paramètres!$A$1:$I$89,3,0)*0.475*44/12</f>
        <v>4.6977461235772335E-22</v>
      </c>
      <c r="AC182" s="24">
        <f t="shared" si="163"/>
        <v>4.3356735502623409E-2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1.7053025658242404E-13</v>
      </c>
      <c r="AJ182" s="14">
        <f>AI182*VLOOKUP('Données projet'!$B$10,Paramètres!$A$1:$I$89,3,0)*VLOOKUP('Données projet'!$B$10,Paramètres!$A$1:$I$89,5,0)</f>
        <v>1.4365468814503402E-13</v>
      </c>
      <c r="AK182" s="14">
        <f t="shared" si="164"/>
        <v>2.0689969164106979E-12</v>
      </c>
      <c r="AL182" s="22">
        <f t="shared" si="165"/>
        <v>3.853701544601233E-12</v>
      </c>
      <c r="AM182" s="62">
        <f t="shared" si="113"/>
        <v>293.33333333333718</v>
      </c>
      <c r="AN182" s="62">
        <f ca="1">AVERAGE(OFFSET($AM$3,0,0,'Données projet'!$E$10+1,1))-AVERAGE(OFFSET($H$3,0,0,'Données projet'!$E$10+1,1))</f>
        <v>348.84749506659495</v>
      </c>
      <c r="AO182" s="62">
        <f t="shared" si="144"/>
        <v>220.09202639602199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4.0366615812787249E-2</v>
      </c>
      <c r="AW182" s="23">
        <f>EXP(-LN(2)/2)*AW181+(1-EXP(-LN(2)/2))/(LN(2)/2)*AQ182*AT182*VLOOKUP('Données projet'!$B$10,Paramètres!$A$1:$I$89,3,0)*0.475*44/12</f>
        <v>4.3737636322960464E-22</v>
      </c>
      <c r="AX182" s="23">
        <f t="shared" si="166"/>
        <v>4.0366615812787249E-2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5.3205440053716299E-14</v>
      </c>
      <c r="BF182" s="14">
        <f t="shared" si="167"/>
        <v>8.602146238565607E-13</v>
      </c>
      <c r="BG182" s="22">
        <f t="shared" si="168"/>
        <v>1.590873277977066E-12</v>
      </c>
      <c r="BH182" s="62">
        <f t="shared" si="116"/>
        <v>293.33333333333491</v>
      </c>
      <c r="BI182" s="62">
        <f ca="1">AVERAGE(OFFSET($BH$3,0,0,'Données projet'!$E$11+1,1))-AVERAGE(OFFSET($H$3,0,0,'Données projet'!$E$11+1,1))</f>
        <v>259.74478933784656</v>
      </c>
      <c r="BJ182" s="62">
        <f t="shared" si="146"/>
        <v>223.74038909289646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1.7053025658242404E-13</v>
      </c>
      <c r="BZ182" s="14">
        <f>BY182*VLOOKUP('Données projet'!$B$12,Paramètres!$A$1:$I$89,3,0)*VLOOKUP('Données projet'!$B$12,Paramètres!$A$1:$I$89,5,0)</f>
        <v>1.72917680174578E-13</v>
      </c>
      <c r="CA182" s="14">
        <f t="shared" si="170"/>
        <v>2.4372886112056825E-12</v>
      </c>
      <c r="CB182" s="22">
        <f t="shared" si="171"/>
        <v>4.5461092908206203E-12</v>
      </c>
      <c r="CC182" s="62">
        <f t="shared" si="119"/>
        <v>293.33333333333786</v>
      </c>
      <c r="CD182" s="62">
        <f ca="1">AVERAGE(OFFSET($CC$3,0,0,'Données projet'!$E$12+1,1))-AVERAGE(OFFSET($H$3,0,0,'Données projet'!$E$12+1,1))</f>
        <v>411.75894069172358</v>
      </c>
      <c r="CE182" s="62">
        <f t="shared" si="148"/>
        <v>256.4377087753457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4.8589444959836602E-2</v>
      </c>
      <c r="CM182" s="23">
        <f>EXP(-LN(2)/2)*CM181+(1-EXP(-LN(2)/2))/(LN(2)/2)*CG182*CJ182*VLOOKUP('Données projet'!$B$12,Paramètres!$A$1:$I$89,3,0)*0.475*44/12</f>
        <v>5.2647154833193139E-22</v>
      </c>
      <c r="CN182" s="24">
        <f t="shared" si="172"/>
        <v>4.8589444959836602E-2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1.7053025658242404E-13</v>
      </c>
      <c r="O183" s="14">
        <f>N183*VLOOKUP('Données projet'!$B$9,Paramètres!$A$1:$I$89,3,0)*VLOOKUP('Données projet'!$B$9,Paramètres!$A$1:$I$89,5,0)</f>
        <v>1.5429577615577727E-13</v>
      </c>
      <c r="P183" s="14">
        <f t="shared" si="141"/>
        <v>2.2038482767263348E-12</v>
      </c>
      <c r="Q183" s="22">
        <f t="shared" si="162"/>
        <v>4.107100892103012E-12</v>
      </c>
      <c r="R183" s="62">
        <f t="shared" si="109"/>
        <v>293.33333333333741</v>
      </c>
      <c r="S183" s="62">
        <f ca="1">AVERAGE(OFFSET($R$3,0,0,'Données projet'!$E$9+1,1))-AVERAGE(OFFSET($H$3,0,0,'Données projet'!$E$9+1,1))</f>
        <v>371.75294069149942</v>
      </c>
      <c r="T183" s="62">
        <f t="shared" si="142"/>
        <v>233.32640143610547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4.2171143290272543E-2</v>
      </c>
      <c r="AB183" s="23">
        <f>EXP(-LN(2)/2)*AB182+(1-EXP(-LN(2)/2))/(LN(2)/2)*V183*Y183*VLOOKUP('Données projet'!$B$9,Paramètres!$A$1:$I$89,3,0)*0.475*44/12</f>
        <v>3.3218081402742787E-22</v>
      </c>
      <c r="AC183" s="24">
        <f t="shared" si="163"/>
        <v>4.2171143290272543E-2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1.7053025658242404E-13</v>
      </c>
      <c r="AJ183" s="14">
        <f>AI183*VLOOKUP('Données projet'!$B$10,Paramètres!$A$1:$I$89,3,0)*VLOOKUP('Données projet'!$B$10,Paramètres!$A$1:$I$89,5,0)</f>
        <v>1.4365468814503402E-13</v>
      </c>
      <c r="AK183" s="14">
        <f t="shared" si="164"/>
        <v>2.0689969164106979E-12</v>
      </c>
      <c r="AL183" s="22">
        <f t="shared" si="165"/>
        <v>3.853701544601233E-12</v>
      </c>
      <c r="AM183" s="62">
        <f t="shared" si="113"/>
        <v>293.33333333333718</v>
      </c>
      <c r="AN183" s="62">
        <f ca="1">AVERAGE(OFFSET($AM$3,0,0,'Données projet'!$E$10+1,1))-AVERAGE(OFFSET($H$3,0,0,'Données projet'!$E$10+1,1))</f>
        <v>348.84749506659495</v>
      </c>
      <c r="AO183" s="62">
        <f t="shared" si="144"/>
        <v>220.09202639602199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3.9262788580598514E-2</v>
      </c>
      <c r="AW183" s="23">
        <f>EXP(-LN(2)/2)*AW182+(1-EXP(-LN(2)/2))/(LN(2)/2)*AQ183*AT183*VLOOKUP('Données projet'!$B$10,Paramètres!$A$1:$I$89,3,0)*0.475*44/12</f>
        <v>3.0927179237036399E-22</v>
      </c>
      <c r="AX183" s="23">
        <f t="shared" si="166"/>
        <v>3.9262788580598514E-2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5.3205440053716299E-14</v>
      </c>
      <c r="BF183" s="14">
        <f t="shared" si="167"/>
        <v>8.602146238565607E-13</v>
      </c>
      <c r="BG183" s="22">
        <f t="shared" si="168"/>
        <v>1.590873277977066E-12</v>
      </c>
      <c r="BH183" s="62">
        <f t="shared" si="116"/>
        <v>293.33333333333491</v>
      </c>
      <c r="BI183" s="62">
        <f ca="1">AVERAGE(OFFSET($BH$3,0,0,'Données projet'!$E$11+1,1))-AVERAGE(OFFSET($H$3,0,0,'Données projet'!$E$11+1,1))</f>
        <v>259.74478933784656</v>
      </c>
      <c r="BJ183" s="62">
        <f t="shared" si="146"/>
        <v>223.74038909289646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1.7053025658242404E-13</v>
      </c>
      <c r="BZ183" s="14">
        <f>BY183*VLOOKUP('Données projet'!$B$12,Paramètres!$A$1:$I$89,3,0)*VLOOKUP('Données projet'!$B$12,Paramètres!$A$1:$I$89,5,0)</f>
        <v>1.72917680174578E-13</v>
      </c>
      <c r="CA183" s="14">
        <f t="shared" si="170"/>
        <v>2.4372886112056825E-12</v>
      </c>
      <c r="CB183" s="22">
        <f t="shared" si="171"/>
        <v>4.5461092908206203E-12</v>
      </c>
      <c r="CC183" s="62">
        <f t="shared" si="119"/>
        <v>293.33333333333786</v>
      </c>
      <c r="CD183" s="62">
        <f ca="1">AVERAGE(OFFSET($CC$3,0,0,'Données projet'!$E$12+1,1))-AVERAGE(OFFSET($H$3,0,0,'Données projet'!$E$12+1,1))</f>
        <v>411.75894069172358</v>
      </c>
      <c r="CE183" s="62">
        <f t="shared" si="148"/>
        <v>256.4377087753457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4.7260764032202009E-2</v>
      </c>
      <c r="CM183" s="23">
        <f>EXP(-LN(2)/2)*CM182+(1-EXP(-LN(2)/2))/(LN(2)/2)*CG183*CJ183*VLOOKUP('Données projet'!$B$12,Paramètres!$A$1:$I$89,3,0)*0.475*44/12</f>
        <v>3.7227160192728989E-22</v>
      </c>
      <c r="CN183" s="24">
        <f t="shared" si="172"/>
        <v>4.7260764032202009E-2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1.7053025658242404E-13</v>
      </c>
      <c r="O184" s="14">
        <f>N184*VLOOKUP('Données projet'!$B$9,Paramètres!$A$1:$I$89,3,0)*VLOOKUP('Données projet'!$B$9,Paramètres!$A$1:$I$89,5,0)</f>
        <v>1.5429577615577727E-13</v>
      </c>
      <c r="P184" s="14">
        <f t="shared" si="141"/>
        <v>2.2038482767263348E-12</v>
      </c>
      <c r="Q184" s="22">
        <f t="shared" si="162"/>
        <v>4.107100892103012E-12</v>
      </c>
      <c r="R184" s="62">
        <f t="shared" si="109"/>
        <v>293.33333333333741</v>
      </c>
      <c r="S184" s="62">
        <f ca="1">AVERAGE(OFFSET($R$3,0,0,'Données projet'!$E$9+1,1))-AVERAGE(OFFSET($H$3,0,0,'Données projet'!$E$9+1,1))</f>
        <v>371.75294069149942</v>
      </c>
      <c r="T184" s="62">
        <f t="shared" si="142"/>
        <v>233.32640143610547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4.1017971159315998E-2</v>
      </c>
      <c r="AB184" s="23">
        <f>EXP(-LN(2)/2)*AB183+(1-EXP(-LN(2)/2))/(LN(2)/2)*V184*Y184*VLOOKUP('Données projet'!$B$9,Paramètres!$A$1:$I$89,3,0)*0.475*44/12</f>
        <v>2.3488730617886167E-22</v>
      </c>
      <c r="AC184" s="24">
        <f t="shared" si="163"/>
        <v>4.1017971159315998E-2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1.7053025658242404E-13</v>
      </c>
      <c r="AJ184" s="14">
        <f>AI184*VLOOKUP('Données projet'!$B$10,Paramètres!$A$1:$I$89,3,0)*VLOOKUP('Données projet'!$B$10,Paramètres!$A$1:$I$89,5,0)</f>
        <v>1.4365468814503402E-13</v>
      </c>
      <c r="AK184" s="14">
        <f t="shared" si="164"/>
        <v>2.0689969164106979E-12</v>
      </c>
      <c r="AL184" s="22">
        <f t="shared" si="165"/>
        <v>3.853701544601233E-12</v>
      </c>
      <c r="AM184" s="62">
        <f t="shared" si="113"/>
        <v>293.33333333333718</v>
      </c>
      <c r="AN184" s="62">
        <f ca="1">AVERAGE(OFFSET($AM$3,0,0,'Données projet'!$E$10+1,1))-AVERAGE(OFFSET($H$3,0,0,'Données projet'!$E$10+1,1))</f>
        <v>348.84749506659495</v>
      </c>
      <c r="AO184" s="62">
        <f t="shared" si="144"/>
        <v>220.09202639602199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3.8189145562121732E-2</v>
      </c>
      <c r="AW184" s="23">
        <f>EXP(-LN(2)/2)*AW183+(1-EXP(-LN(2)/2))/(LN(2)/2)*AQ184*AT184*VLOOKUP('Données projet'!$B$10,Paramètres!$A$1:$I$89,3,0)*0.475*44/12</f>
        <v>2.1868818161480232E-22</v>
      </c>
      <c r="AX184" s="23">
        <f t="shared" si="166"/>
        <v>3.8189145562121732E-2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5.3205440053716299E-14</v>
      </c>
      <c r="BF184" s="14">
        <f t="shared" si="167"/>
        <v>8.602146238565607E-13</v>
      </c>
      <c r="BG184" s="22">
        <f t="shared" si="168"/>
        <v>1.590873277977066E-12</v>
      </c>
      <c r="BH184" s="62">
        <f t="shared" si="116"/>
        <v>293.33333333333491</v>
      </c>
      <c r="BI184" s="62">
        <f ca="1">AVERAGE(OFFSET($BH$3,0,0,'Données projet'!$E$11+1,1))-AVERAGE(OFFSET($H$3,0,0,'Données projet'!$E$11+1,1))</f>
        <v>259.74478933784656</v>
      </c>
      <c r="BJ184" s="62">
        <f t="shared" si="146"/>
        <v>223.74038909289646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1.7053025658242404E-13</v>
      </c>
      <c r="BZ184" s="14">
        <f>BY184*VLOOKUP('Données projet'!$B$12,Paramètres!$A$1:$I$89,3,0)*VLOOKUP('Données projet'!$B$12,Paramètres!$A$1:$I$89,5,0)</f>
        <v>1.72917680174578E-13</v>
      </c>
      <c r="CA184" s="14">
        <f t="shared" si="170"/>
        <v>2.4372886112056825E-12</v>
      </c>
      <c r="CB184" s="22">
        <f t="shared" si="171"/>
        <v>4.5461092908206203E-12</v>
      </c>
      <c r="CC184" s="62">
        <f t="shared" si="119"/>
        <v>293.33333333333786</v>
      </c>
      <c r="CD184" s="62">
        <f ca="1">AVERAGE(OFFSET($CC$3,0,0,'Données projet'!$E$12+1,1))-AVERAGE(OFFSET($H$3,0,0,'Données projet'!$E$12+1,1))</f>
        <v>411.75894069172358</v>
      </c>
      <c r="CE184" s="62">
        <f t="shared" si="148"/>
        <v>256.4377087753457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4.5968415954405879E-2</v>
      </c>
      <c r="CM184" s="23">
        <f>EXP(-LN(2)/2)*CM183+(1-EXP(-LN(2)/2))/(LN(2)/2)*CG184*CJ184*VLOOKUP('Données projet'!$B$12,Paramètres!$A$1:$I$89,3,0)*0.475*44/12</f>
        <v>2.6323577416596569E-22</v>
      </c>
      <c r="CN184" s="24">
        <f t="shared" si="172"/>
        <v>4.5968415954405879E-2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1.7053025658242404E-13</v>
      </c>
      <c r="O185" s="14">
        <f>N185*VLOOKUP('Données projet'!$B$9,Paramètres!$A$1:$I$89,3,0)*VLOOKUP('Données projet'!$B$9,Paramètres!$A$1:$I$89,5,0)</f>
        <v>1.5429577615577727E-13</v>
      </c>
      <c r="P185" s="14">
        <f t="shared" si="141"/>
        <v>2.2038482767263348E-12</v>
      </c>
      <c r="Q185" s="22">
        <f t="shared" si="162"/>
        <v>4.107100892103012E-12</v>
      </c>
      <c r="R185" s="62">
        <f t="shared" si="109"/>
        <v>293.33333333333741</v>
      </c>
      <c r="S185" s="62">
        <f ca="1">AVERAGE(OFFSET($R$3,0,0,'Données projet'!$E$9+1,1))-AVERAGE(OFFSET($H$3,0,0,'Données projet'!$E$9+1,1))</f>
        <v>371.75294069149942</v>
      </c>
      <c r="T185" s="62">
        <f t="shared" si="142"/>
        <v>233.32640143610547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3.9896332580923149E-2</v>
      </c>
      <c r="AB185" s="23">
        <f>EXP(-LN(2)/2)*AB184+(1-EXP(-LN(2)/2))/(LN(2)/2)*V185*Y185*VLOOKUP('Données projet'!$B$9,Paramètres!$A$1:$I$89,3,0)*0.475*44/12</f>
        <v>1.6609040701371393E-22</v>
      </c>
      <c r="AC185" s="24">
        <f t="shared" si="163"/>
        <v>3.9896332580923149E-2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1.7053025658242404E-13</v>
      </c>
      <c r="AJ185" s="14">
        <f>AI185*VLOOKUP('Données projet'!$B$10,Paramètres!$A$1:$I$89,3,0)*VLOOKUP('Données projet'!$B$10,Paramètres!$A$1:$I$89,5,0)</f>
        <v>1.4365468814503402E-13</v>
      </c>
      <c r="AK185" s="14">
        <f t="shared" si="164"/>
        <v>2.0689969164106979E-12</v>
      </c>
      <c r="AL185" s="22">
        <f t="shared" si="165"/>
        <v>3.853701544601233E-12</v>
      </c>
      <c r="AM185" s="62">
        <f t="shared" si="113"/>
        <v>293.33333333333718</v>
      </c>
      <c r="AN185" s="62">
        <f ca="1">AVERAGE(OFFSET($AM$3,0,0,'Données projet'!$E$10+1,1))-AVERAGE(OFFSET($H$3,0,0,'Données projet'!$E$10+1,1))</f>
        <v>348.84749506659495</v>
      </c>
      <c r="AO185" s="62">
        <f t="shared" si="144"/>
        <v>220.09202639602199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3.7144861368445629E-2</v>
      </c>
      <c r="AW185" s="23">
        <f>EXP(-LN(2)/2)*AW184+(1-EXP(-LN(2)/2))/(LN(2)/2)*AQ185*AT185*VLOOKUP('Données projet'!$B$10,Paramètres!$A$1:$I$89,3,0)*0.475*44/12</f>
        <v>1.5463589618518199E-22</v>
      </c>
      <c r="AX185" s="23">
        <f t="shared" si="166"/>
        <v>3.7144861368445629E-2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5.3205440053716299E-14</v>
      </c>
      <c r="BF185" s="14">
        <f t="shared" si="167"/>
        <v>8.602146238565607E-13</v>
      </c>
      <c r="BG185" s="22">
        <f t="shared" si="168"/>
        <v>1.590873277977066E-12</v>
      </c>
      <c r="BH185" s="62">
        <f t="shared" si="116"/>
        <v>293.33333333333491</v>
      </c>
      <c r="BI185" s="62">
        <f ca="1">AVERAGE(OFFSET($BH$3,0,0,'Données projet'!$E$11+1,1))-AVERAGE(OFFSET($H$3,0,0,'Données projet'!$E$11+1,1))</f>
        <v>259.74478933784656</v>
      </c>
      <c r="BJ185" s="62">
        <f t="shared" si="146"/>
        <v>223.74038909289646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1.7053025658242404E-13</v>
      </c>
      <c r="BZ185" s="14">
        <f>BY185*VLOOKUP('Données projet'!$B$12,Paramètres!$A$1:$I$89,3,0)*VLOOKUP('Données projet'!$B$12,Paramètres!$A$1:$I$89,5,0)</f>
        <v>1.72917680174578E-13</v>
      </c>
      <c r="CA185" s="14">
        <f t="shared" si="170"/>
        <v>2.4372886112056825E-12</v>
      </c>
      <c r="CB185" s="22">
        <f t="shared" si="171"/>
        <v>4.5461092908206203E-12</v>
      </c>
      <c r="CC185" s="62">
        <f t="shared" si="119"/>
        <v>293.33333333333786</v>
      </c>
      <c r="CD185" s="62">
        <f ca="1">AVERAGE(OFFSET($CC$3,0,0,'Données projet'!$E$12+1,1))-AVERAGE(OFFSET($H$3,0,0,'Données projet'!$E$12+1,1))</f>
        <v>411.75894069172358</v>
      </c>
      <c r="CE185" s="62">
        <f t="shared" si="148"/>
        <v>256.4377087753457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4.4711407202758721E-2</v>
      </c>
      <c r="CM185" s="23">
        <f>EXP(-LN(2)/2)*CM184+(1-EXP(-LN(2)/2))/(LN(2)/2)*CG185*CJ185*VLOOKUP('Données projet'!$B$12,Paramètres!$A$1:$I$89,3,0)*0.475*44/12</f>
        <v>1.8613580096364494E-22</v>
      </c>
      <c r="CN185" s="24">
        <f t="shared" si="172"/>
        <v>4.4711407202758721E-2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1.7053025658242404E-13</v>
      </c>
      <c r="O186" s="14">
        <f>N186*VLOOKUP('Données projet'!$B$9,Paramètres!$A$1:$I$89,3,0)*VLOOKUP('Données projet'!$B$9,Paramètres!$A$1:$I$89,5,0)</f>
        <v>1.5429577615577727E-13</v>
      </c>
      <c r="P186" s="14">
        <f t="shared" si="141"/>
        <v>2.2038482767263348E-12</v>
      </c>
      <c r="Q186" s="22">
        <f t="shared" si="162"/>
        <v>4.107100892103012E-12</v>
      </c>
      <c r="R186" s="62">
        <f t="shared" si="109"/>
        <v>293.33333333333741</v>
      </c>
      <c r="S186" s="62">
        <f ca="1">AVERAGE(OFFSET($R$3,0,0,'Données projet'!$E$9+1,1))-AVERAGE(OFFSET($H$3,0,0,'Données projet'!$E$9+1,1))</f>
        <v>371.75294069149942</v>
      </c>
      <c r="T186" s="62">
        <f t="shared" si="142"/>
        <v>233.32640143610547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3.8805365268440861E-2</v>
      </c>
      <c r="AB186" s="23">
        <f>EXP(-LN(2)/2)*AB185+(1-EXP(-LN(2)/2))/(LN(2)/2)*V186*Y186*VLOOKUP('Données projet'!$B$9,Paramètres!$A$1:$I$89,3,0)*0.475*44/12</f>
        <v>1.1744365308943084E-22</v>
      </c>
      <c r="AC186" s="24">
        <f t="shared" si="163"/>
        <v>3.8805365268440861E-2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1.7053025658242404E-13</v>
      </c>
      <c r="AJ186" s="14">
        <f>AI186*VLOOKUP('Données projet'!$B$10,Paramètres!$A$1:$I$89,3,0)*VLOOKUP('Données projet'!$B$10,Paramètres!$A$1:$I$89,5,0)</f>
        <v>1.4365468814503402E-13</v>
      </c>
      <c r="AK186" s="14">
        <f t="shared" si="164"/>
        <v>2.0689969164106979E-12</v>
      </c>
      <c r="AL186" s="22">
        <f t="shared" si="165"/>
        <v>3.853701544601233E-12</v>
      </c>
      <c r="AM186" s="62">
        <f t="shared" si="113"/>
        <v>293.33333333333718</v>
      </c>
      <c r="AN186" s="62">
        <f ca="1">AVERAGE(OFFSET($AM$3,0,0,'Données projet'!$E$10+1,1))-AVERAGE(OFFSET($H$3,0,0,'Données projet'!$E$10+1,1))</f>
        <v>348.84749506659495</v>
      </c>
      <c r="AO186" s="62">
        <f t="shared" si="144"/>
        <v>220.09202639602199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3.6129133180962121E-2</v>
      </c>
      <c r="AW186" s="23">
        <f>EXP(-LN(2)/2)*AW185+(1-EXP(-LN(2)/2))/(LN(2)/2)*AQ186*AT186*VLOOKUP('Données projet'!$B$10,Paramètres!$A$1:$I$89,3,0)*0.475*44/12</f>
        <v>1.0934409080740116E-22</v>
      </c>
      <c r="AX186" s="23">
        <f t="shared" si="166"/>
        <v>3.6129133180962121E-2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5.3205440053716299E-14</v>
      </c>
      <c r="BF186" s="14">
        <f t="shared" si="167"/>
        <v>8.602146238565607E-13</v>
      </c>
      <c r="BG186" s="22">
        <f t="shared" si="168"/>
        <v>1.590873277977066E-12</v>
      </c>
      <c r="BH186" s="62">
        <f t="shared" si="116"/>
        <v>293.33333333333491</v>
      </c>
      <c r="BI186" s="62">
        <f ca="1">AVERAGE(OFFSET($BH$3,0,0,'Données projet'!$E$11+1,1))-AVERAGE(OFFSET($H$3,0,0,'Données projet'!$E$11+1,1))</f>
        <v>259.74478933784656</v>
      </c>
      <c r="BJ186" s="62">
        <f t="shared" si="146"/>
        <v>223.74038909289646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1.7053025658242404E-13</v>
      </c>
      <c r="BZ186" s="14">
        <f>BY186*VLOOKUP('Données projet'!$B$12,Paramètres!$A$1:$I$89,3,0)*VLOOKUP('Données projet'!$B$12,Paramètres!$A$1:$I$89,5,0)</f>
        <v>1.72917680174578E-13</v>
      </c>
      <c r="CA186" s="14">
        <f t="shared" si="170"/>
        <v>2.4372886112056825E-12</v>
      </c>
      <c r="CB186" s="22">
        <f t="shared" si="171"/>
        <v>4.5461092908206203E-12</v>
      </c>
      <c r="CC186" s="62">
        <f t="shared" si="119"/>
        <v>293.33333333333786</v>
      </c>
      <c r="CD186" s="62">
        <f ca="1">AVERAGE(OFFSET($CC$3,0,0,'Données projet'!$E$12+1,1))-AVERAGE(OFFSET($H$3,0,0,'Données projet'!$E$12+1,1))</f>
        <v>411.75894069172358</v>
      </c>
      <c r="CE186" s="62">
        <f t="shared" si="148"/>
        <v>256.4377087753457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4.3488771421528571E-2</v>
      </c>
      <c r="CM186" s="23">
        <f>EXP(-LN(2)/2)*CM185+(1-EXP(-LN(2)/2))/(LN(2)/2)*CG186*CJ186*VLOOKUP('Données projet'!$B$12,Paramètres!$A$1:$I$89,3,0)*0.475*44/12</f>
        <v>1.3161788708298285E-22</v>
      </c>
      <c r="CN186" s="24">
        <f t="shared" si="172"/>
        <v>4.3488771421528571E-2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1.7053025658242404E-13</v>
      </c>
      <c r="O187" s="14">
        <f>N187*VLOOKUP('Données projet'!$B$9,Paramètres!$A$1:$I$89,3,0)*VLOOKUP('Données projet'!$B$9,Paramètres!$A$1:$I$89,5,0)</f>
        <v>1.5429577615577727E-13</v>
      </c>
      <c r="P187" s="14">
        <f t="shared" si="141"/>
        <v>2.2038482767263348E-12</v>
      </c>
      <c r="Q187" s="22">
        <f t="shared" si="162"/>
        <v>4.107100892103012E-12</v>
      </c>
      <c r="R187" s="62">
        <f t="shared" si="109"/>
        <v>293.33333333333741</v>
      </c>
      <c r="S187" s="62">
        <f ca="1">AVERAGE(OFFSET($R$3,0,0,'Données projet'!$E$9+1,1))-AVERAGE(OFFSET($H$3,0,0,'Données projet'!$E$9+1,1))</f>
        <v>371.75294069149942</v>
      </c>
      <c r="T187" s="62">
        <f t="shared" si="142"/>
        <v>233.32640143610547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3.7744230514489878E-2</v>
      </c>
      <c r="AB187" s="23">
        <f>EXP(-LN(2)/2)*AB186+(1-EXP(-LN(2)/2))/(LN(2)/2)*V187*Y187*VLOOKUP('Données projet'!$B$9,Paramètres!$A$1:$I$89,3,0)*0.475*44/12</f>
        <v>8.3045203506856967E-23</v>
      </c>
      <c r="AC187" s="24">
        <f t="shared" si="163"/>
        <v>3.7744230514489878E-2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1.7053025658242404E-13</v>
      </c>
      <c r="AJ187" s="14">
        <f>AI187*VLOOKUP('Données projet'!$B$10,Paramètres!$A$1:$I$89,3,0)*VLOOKUP('Données projet'!$B$10,Paramètres!$A$1:$I$89,5,0)</f>
        <v>1.4365468814503402E-13</v>
      </c>
      <c r="AK187" s="14">
        <f t="shared" si="164"/>
        <v>2.0689969164106979E-12</v>
      </c>
      <c r="AL187" s="22">
        <f t="shared" si="165"/>
        <v>3.853701544601233E-12</v>
      </c>
      <c r="AM187" s="62">
        <f t="shared" si="113"/>
        <v>293.33333333333718</v>
      </c>
      <c r="AN187" s="62">
        <f ca="1">AVERAGE(OFFSET($AM$3,0,0,'Données projet'!$E$10+1,1))-AVERAGE(OFFSET($H$3,0,0,'Données projet'!$E$10+1,1))</f>
        <v>348.84749506659495</v>
      </c>
      <c r="AO187" s="62">
        <f t="shared" si="144"/>
        <v>220.09202639602199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3.5141180134180175E-2</v>
      </c>
      <c r="AW187" s="23">
        <f>EXP(-LN(2)/2)*AW186+(1-EXP(-LN(2)/2))/(LN(2)/2)*AQ187*AT187*VLOOKUP('Données projet'!$B$10,Paramètres!$A$1:$I$89,3,0)*0.475*44/12</f>
        <v>7.7317948092590997E-23</v>
      </c>
      <c r="AX187" s="23">
        <f t="shared" si="166"/>
        <v>3.5141180134180175E-2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5.3205440053716299E-14</v>
      </c>
      <c r="BF187" s="14">
        <f t="shared" si="167"/>
        <v>8.602146238565607E-13</v>
      </c>
      <c r="BG187" s="22">
        <f t="shared" si="168"/>
        <v>1.590873277977066E-12</v>
      </c>
      <c r="BH187" s="62">
        <f t="shared" si="116"/>
        <v>293.33333333333491</v>
      </c>
      <c r="BI187" s="62">
        <f ca="1">AVERAGE(OFFSET($BH$3,0,0,'Données projet'!$E$11+1,1))-AVERAGE(OFFSET($H$3,0,0,'Données projet'!$E$11+1,1))</f>
        <v>259.74478933784656</v>
      </c>
      <c r="BJ187" s="62">
        <f t="shared" si="146"/>
        <v>223.74038909289646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1.7053025658242404E-13</v>
      </c>
      <c r="BZ187" s="14">
        <f>BY187*VLOOKUP('Données projet'!$B$12,Paramètres!$A$1:$I$89,3,0)*VLOOKUP('Données projet'!$B$12,Paramètres!$A$1:$I$89,5,0)</f>
        <v>1.72917680174578E-13</v>
      </c>
      <c r="CA187" s="14">
        <f t="shared" si="170"/>
        <v>2.4372886112056825E-12</v>
      </c>
      <c r="CB187" s="22">
        <f t="shared" si="171"/>
        <v>4.5461092908206203E-12</v>
      </c>
      <c r="CC187" s="62">
        <f t="shared" si="119"/>
        <v>293.33333333333786</v>
      </c>
      <c r="CD187" s="62">
        <f ca="1">AVERAGE(OFFSET($CC$3,0,0,'Données projet'!$E$12+1,1))-AVERAGE(OFFSET($H$3,0,0,'Données projet'!$E$12+1,1))</f>
        <v>411.75894069172358</v>
      </c>
      <c r="CE187" s="62">
        <f t="shared" si="148"/>
        <v>256.4377087753457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4.2299568680031777E-2</v>
      </c>
      <c r="CM187" s="23">
        <f>EXP(-LN(2)/2)*CM186+(1-EXP(-LN(2)/2))/(LN(2)/2)*CG187*CJ187*VLOOKUP('Données projet'!$B$12,Paramètres!$A$1:$I$89,3,0)*0.475*44/12</f>
        <v>9.3067900481822472E-23</v>
      </c>
      <c r="CN187" s="24">
        <f t="shared" si="172"/>
        <v>4.2299568680031777E-2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1.7053025658242404E-13</v>
      </c>
      <c r="O188" s="14">
        <f>N188*VLOOKUP('Données projet'!$B$9,Paramètres!$A$1:$I$89,3,0)*VLOOKUP('Données projet'!$B$9,Paramètres!$A$1:$I$89,5,0)</f>
        <v>1.5429577615577727E-13</v>
      </c>
      <c r="P188" s="14">
        <f t="shared" si="141"/>
        <v>2.2038482767263348E-12</v>
      </c>
      <c r="Q188" s="22">
        <f t="shared" si="162"/>
        <v>4.107100892103012E-12</v>
      </c>
      <c r="R188" s="62">
        <f t="shared" si="109"/>
        <v>293.33333333333741</v>
      </c>
      <c r="S188" s="62">
        <f ca="1">AVERAGE(OFFSET($R$3,0,0,'Données projet'!$E$9+1,1))-AVERAGE(OFFSET($H$3,0,0,'Données projet'!$E$9+1,1))</f>
        <v>371.75294069149942</v>
      </c>
      <c r="T188" s="62">
        <f t="shared" si="142"/>
        <v>233.32640143610547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3.6712112546188336E-2</v>
      </c>
      <c r="AB188" s="23">
        <f>EXP(-LN(2)/2)*AB187+(1-EXP(-LN(2)/2))/(LN(2)/2)*V188*Y188*VLOOKUP('Données projet'!$B$9,Paramètres!$A$1:$I$89,3,0)*0.475*44/12</f>
        <v>5.8721826544715418E-23</v>
      </c>
      <c r="AC188" s="24">
        <f t="shared" si="163"/>
        <v>3.6712112546188336E-2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1.7053025658242404E-13</v>
      </c>
      <c r="AJ188" s="14">
        <f>AI188*VLOOKUP('Données projet'!$B$10,Paramètres!$A$1:$I$89,3,0)*VLOOKUP('Données projet'!$B$10,Paramètres!$A$1:$I$89,5,0)</f>
        <v>1.4365468814503402E-13</v>
      </c>
      <c r="AK188" s="14">
        <f t="shared" si="164"/>
        <v>2.0689969164106979E-12</v>
      </c>
      <c r="AL188" s="22">
        <f t="shared" si="165"/>
        <v>3.853701544601233E-12</v>
      </c>
      <c r="AM188" s="62">
        <f t="shared" si="113"/>
        <v>293.33333333333718</v>
      </c>
      <c r="AN188" s="62">
        <f ca="1">AVERAGE(OFFSET($AM$3,0,0,'Données projet'!$E$10+1,1))-AVERAGE(OFFSET($H$3,0,0,'Données projet'!$E$10+1,1))</f>
        <v>348.84749506659495</v>
      </c>
      <c r="AO188" s="62">
        <f t="shared" si="144"/>
        <v>220.09202639602199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3.418024271541667E-2</v>
      </c>
      <c r="AW188" s="23">
        <f>EXP(-LN(2)/2)*AW187+(1-EXP(-LN(2)/2))/(LN(2)/2)*AQ188*AT188*VLOOKUP('Données projet'!$B$10,Paramètres!$A$1:$I$89,3,0)*0.475*44/12</f>
        <v>5.467204540370058E-23</v>
      </c>
      <c r="AX188" s="23">
        <f t="shared" si="166"/>
        <v>3.418024271541667E-2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5.3205440053716299E-14</v>
      </c>
      <c r="BF188" s="14">
        <f t="shared" si="167"/>
        <v>8.602146238565607E-13</v>
      </c>
      <c r="BG188" s="22">
        <f t="shared" si="168"/>
        <v>1.590873277977066E-12</v>
      </c>
      <c r="BH188" s="62">
        <f t="shared" si="116"/>
        <v>293.33333333333491</v>
      </c>
      <c r="BI188" s="62">
        <f ca="1">AVERAGE(OFFSET($BH$3,0,0,'Données projet'!$E$11+1,1))-AVERAGE(OFFSET($H$3,0,0,'Données projet'!$E$11+1,1))</f>
        <v>259.74478933784656</v>
      </c>
      <c r="BJ188" s="62">
        <f t="shared" si="146"/>
        <v>223.74038909289646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1.7053025658242404E-13</v>
      </c>
      <c r="BZ188" s="14">
        <f>BY188*VLOOKUP('Données projet'!$B$12,Paramètres!$A$1:$I$89,3,0)*VLOOKUP('Données projet'!$B$12,Paramètres!$A$1:$I$89,5,0)</f>
        <v>1.72917680174578E-13</v>
      </c>
      <c r="CA188" s="14">
        <f t="shared" si="170"/>
        <v>2.4372886112056825E-12</v>
      </c>
      <c r="CB188" s="22">
        <f t="shared" si="171"/>
        <v>4.5461092908206203E-12</v>
      </c>
      <c r="CC188" s="62">
        <f t="shared" si="119"/>
        <v>293.33333333333786</v>
      </c>
      <c r="CD188" s="62">
        <f ca="1">AVERAGE(OFFSET($CC$3,0,0,'Données projet'!$E$12+1,1))-AVERAGE(OFFSET($H$3,0,0,'Données projet'!$E$12+1,1))</f>
        <v>411.75894069172358</v>
      </c>
      <c r="CE188" s="62">
        <f t="shared" si="148"/>
        <v>256.4377087753457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4.1142884750038668E-2</v>
      </c>
      <c r="CM188" s="23">
        <f>EXP(-LN(2)/2)*CM187+(1-EXP(-LN(2)/2))/(LN(2)/2)*CG188*CJ188*VLOOKUP('Données projet'!$B$12,Paramètres!$A$1:$I$89,3,0)*0.475*44/12</f>
        <v>6.5808943541491423E-23</v>
      </c>
      <c r="CN188" s="24">
        <f t="shared" si="172"/>
        <v>4.1142884750038668E-2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1.7053025658242404E-13</v>
      </c>
      <c r="O189" s="14">
        <f>N189*VLOOKUP('Données projet'!$B$9,Paramètres!$A$1:$I$89,3,0)*VLOOKUP('Données projet'!$B$9,Paramètres!$A$1:$I$89,5,0)</f>
        <v>1.5429577615577727E-13</v>
      </c>
      <c r="P189" s="14">
        <f t="shared" si="141"/>
        <v>2.2038482767263348E-12</v>
      </c>
      <c r="Q189" s="22">
        <f t="shared" si="162"/>
        <v>4.107100892103012E-12</v>
      </c>
      <c r="R189" s="62">
        <f t="shared" si="109"/>
        <v>293.33333333333741</v>
      </c>
      <c r="S189" s="62">
        <f ca="1">AVERAGE(OFFSET($R$3,0,0,'Données projet'!$E$9+1,1))-AVERAGE(OFFSET($H$3,0,0,'Données projet'!$E$9+1,1))</f>
        <v>371.75294069149942</v>
      </c>
      <c r="T189" s="62">
        <f t="shared" si="142"/>
        <v>233.32640143610547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3.5708217898006725E-2</v>
      </c>
      <c r="AB189" s="23">
        <f>EXP(-LN(2)/2)*AB188+(1-EXP(-LN(2)/2))/(LN(2)/2)*V189*Y189*VLOOKUP('Données projet'!$B$9,Paramètres!$A$1:$I$89,3,0)*0.475*44/12</f>
        <v>4.1522601753428483E-23</v>
      </c>
      <c r="AC189" s="24">
        <f t="shared" si="163"/>
        <v>3.5708217898006725E-2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1.7053025658242404E-13</v>
      </c>
      <c r="AJ189" s="14">
        <f>AI189*VLOOKUP('Données projet'!$B$10,Paramètres!$A$1:$I$89,3,0)*VLOOKUP('Données projet'!$B$10,Paramètres!$A$1:$I$89,5,0)</f>
        <v>1.4365468814503402E-13</v>
      </c>
      <c r="AK189" s="14">
        <f t="shared" si="164"/>
        <v>2.0689969164106979E-12</v>
      </c>
      <c r="AL189" s="22">
        <f t="shared" si="165"/>
        <v>3.853701544601233E-12</v>
      </c>
      <c r="AM189" s="62">
        <f t="shared" si="113"/>
        <v>293.33333333333718</v>
      </c>
      <c r="AN189" s="62">
        <f ca="1">AVERAGE(OFFSET($AM$3,0,0,'Données projet'!$E$10+1,1))-AVERAGE(OFFSET($H$3,0,0,'Données projet'!$E$10+1,1))</f>
        <v>348.84749506659495</v>
      </c>
      <c r="AO189" s="62">
        <f t="shared" si="144"/>
        <v>220.09202639602199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3.3245582180902754E-2</v>
      </c>
      <c r="AW189" s="23">
        <f>EXP(-LN(2)/2)*AW188+(1-EXP(-LN(2)/2))/(LN(2)/2)*AQ189*AT189*VLOOKUP('Données projet'!$B$10,Paramètres!$A$1:$I$89,3,0)*0.475*44/12</f>
        <v>3.8658974046295499E-23</v>
      </c>
      <c r="AX189" s="23">
        <f t="shared" si="166"/>
        <v>3.3245582180902754E-2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5.3205440053716299E-14</v>
      </c>
      <c r="BF189" s="14">
        <f t="shared" si="167"/>
        <v>8.602146238565607E-13</v>
      </c>
      <c r="BG189" s="22">
        <f t="shared" si="168"/>
        <v>1.590873277977066E-12</v>
      </c>
      <c r="BH189" s="62">
        <f t="shared" si="116"/>
        <v>293.33333333333491</v>
      </c>
      <c r="BI189" s="62">
        <f ca="1">AVERAGE(OFFSET($BH$3,0,0,'Données projet'!$E$11+1,1))-AVERAGE(OFFSET($H$3,0,0,'Données projet'!$E$11+1,1))</f>
        <v>259.74478933784656</v>
      </c>
      <c r="BJ189" s="62">
        <f t="shared" si="146"/>
        <v>223.74038909289646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1.7053025658242404E-13</v>
      </c>
      <c r="BZ189" s="14">
        <f>BY189*VLOOKUP('Données projet'!$B$12,Paramètres!$A$1:$I$89,3,0)*VLOOKUP('Données projet'!$B$12,Paramètres!$A$1:$I$89,5,0)</f>
        <v>1.72917680174578E-13</v>
      </c>
      <c r="CA189" s="14">
        <f t="shared" si="170"/>
        <v>2.4372886112056825E-12</v>
      </c>
      <c r="CB189" s="22">
        <f t="shared" si="171"/>
        <v>4.5461092908206203E-12</v>
      </c>
      <c r="CC189" s="62">
        <f t="shared" si="119"/>
        <v>293.33333333333786</v>
      </c>
      <c r="CD189" s="62">
        <f ca="1">AVERAGE(OFFSET($CC$3,0,0,'Données projet'!$E$12+1,1))-AVERAGE(OFFSET($H$3,0,0,'Données projet'!$E$12+1,1))</f>
        <v>411.75894069172358</v>
      </c>
      <c r="CE189" s="62">
        <f t="shared" si="148"/>
        <v>256.4377087753457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4.0017830402938583E-2</v>
      </c>
      <c r="CM189" s="23">
        <f>EXP(-LN(2)/2)*CM188+(1-EXP(-LN(2)/2))/(LN(2)/2)*CG189*CJ189*VLOOKUP('Données projet'!$B$12,Paramètres!$A$1:$I$89,3,0)*0.475*44/12</f>
        <v>4.6533950240911236E-23</v>
      </c>
      <c r="CN189" s="24">
        <f t="shared" si="172"/>
        <v>4.0017830402938583E-2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1.7053025658242404E-13</v>
      </c>
      <c r="O190" s="14">
        <f>N190*VLOOKUP('Données projet'!$B$9,Paramètres!$A$1:$I$89,3,0)*VLOOKUP('Données projet'!$B$9,Paramètres!$A$1:$I$89,5,0)</f>
        <v>1.5429577615577727E-13</v>
      </c>
      <c r="P190" s="14">
        <f t="shared" si="141"/>
        <v>2.2038482767263348E-12</v>
      </c>
      <c r="Q190" s="22">
        <f t="shared" si="162"/>
        <v>4.107100892103012E-12</v>
      </c>
      <c r="R190" s="62">
        <f t="shared" si="109"/>
        <v>293.33333333333741</v>
      </c>
      <c r="S190" s="62">
        <f ca="1">AVERAGE(OFFSET($R$3,0,0,'Données projet'!$E$9+1,1))-AVERAGE(OFFSET($H$3,0,0,'Données projet'!$E$9+1,1))</f>
        <v>371.75294069149942</v>
      </c>
      <c r="T190" s="62">
        <f t="shared" si="142"/>
        <v>233.32640143610547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3.4731774801772163E-2</v>
      </c>
      <c r="AB190" s="23">
        <f>EXP(-LN(2)/2)*AB189+(1-EXP(-LN(2)/2))/(LN(2)/2)*V190*Y190*VLOOKUP('Données projet'!$B$9,Paramètres!$A$1:$I$89,3,0)*0.475*44/12</f>
        <v>2.9360913272357709E-23</v>
      </c>
      <c r="AC190" s="24">
        <f t="shared" si="163"/>
        <v>3.4731774801772163E-2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1.7053025658242404E-13</v>
      </c>
      <c r="AJ190" s="14">
        <f>AI190*VLOOKUP('Données projet'!$B$10,Paramètres!$A$1:$I$89,3,0)*VLOOKUP('Données projet'!$B$10,Paramètres!$A$1:$I$89,5,0)</f>
        <v>1.4365468814503402E-13</v>
      </c>
      <c r="AK190" s="14">
        <f t="shared" si="164"/>
        <v>2.0689969164106979E-12</v>
      </c>
      <c r="AL190" s="22">
        <f t="shared" si="165"/>
        <v>3.853701544601233E-12</v>
      </c>
      <c r="AM190" s="62">
        <f t="shared" si="113"/>
        <v>293.33333333333718</v>
      </c>
      <c r="AN190" s="62">
        <f ca="1">AVERAGE(OFFSET($AM$3,0,0,'Données projet'!$E$10+1,1))-AVERAGE(OFFSET($H$3,0,0,'Données projet'!$E$10+1,1))</f>
        <v>348.84749506659495</v>
      </c>
      <c r="AO190" s="62">
        <f t="shared" si="144"/>
        <v>220.09202639602199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3.2336479987856784E-2</v>
      </c>
      <c r="AW190" s="23">
        <f>EXP(-LN(2)/2)*AW189+(1-EXP(-LN(2)/2))/(LN(2)/2)*AQ190*AT190*VLOOKUP('Données projet'!$B$10,Paramètres!$A$1:$I$89,3,0)*0.475*44/12</f>
        <v>2.733602270185029E-23</v>
      </c>
      <c r="AX190" s="23">
        <f t="shared" si="166"/>
        <v>3.2336479987856784E-2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5.3205440053716299E-14</v>
      </c>
      <c r="BF190" s="14">
        <f t="shared" si="167"/>
        <v>8.602146238565607E-13</v>
      </c>
      <c r="BG190" s="22">
        <f t="shared" si="168"/>
        <v>1.590873277977066E-12</v>
      </c>
      <c r="BH190" s="62">
        <f t="shared" si="116"/>
        <v>293.33333333333491</v>
      </c>
      <c r="BI190" s="62">
        <f ca="1">AVERAGE(OFFSET($BH$3,0,0,'Données projet'!$E$11+1,1))-AVERAGE(OFFSET($H$3,0,0,'Données projet'!$E$11+1,1))</f>
        <v>259.74478933784656</v>
      </c>
      <c r="BJ190" s="62">
        <f t="shared" si="146"/>
        <v>223.74038909289646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1.7053025658242404E-13</v>
      </c>
      <c r="BZ190" s="14">
        <f>BY190*VLOOKUP('Données projet'!$B$12,Paramètres!$A$1:$I$89,3,0)*VLOOKUP('Données projet'!$B$12,Paramètres!$A$1:$I$89,5,0)</f>
        <v>1.72917680174578E-13</v>
      </c>
      <c r="CA190" s="14">
        <f t="shared" si="170"/>
        <v>2.4372886112056825E-12</v>
      </c>
      <c r="CB190" s="22">
        <f t="shared" si="171"/>
        <v>4.5461092908206203E-12</v>
      </c>
      <c r="CC190" s="62">
        <f t="shared" si="119"/>
        <v>293.33333333333786</v>
      </c>
      <c r="CD190" s="62">
        <f ca="1">AVERAGE(OFFSET($CC$3,0,0,'Données projet'!$E$12+1,1))-AVERAGE(OFFSET($H$3,0,0,'Données projet'!$E$12+1,1))</f>
        <v>411.75894069172358</v>
      </c>
      <c r="CE190" s="62">
        <f t="shared" si="148"/>
        <v>256.4377087753457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3.8923540726123987E-2</v>
      </c>
      <c r="CM190" s="23">
        <f>EXP(-LN(2)/2)*CM189+(1-EXP(-LN(2)/2))/(LN(2)/2)*CG190*CJ190*VLOOKUP('Données projet'!$B$12,Paramètres!$A$1:$I$89,3,0)*0.475*44/12</f>
        <v>3.2904471770745712E-23</v>
      </c>
      <c r="CN190" s="24">
        <f t="shared" si="172"/>
        <v>3.8923540726123987E-2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1.7053025658242404E-13</v>
      </c>
      <c r="O191" s="14">
        <f>N191*VLOOKUP('Données projet'!$B$9,Paramètres!$A$1:$I$89,3,0)*VLOOKUP('Données projet'!$B$9,Paramètres!$A$1:$I$89,5,0)</f>
        <v>1.5429577615577727E-13</v>
      </c>
      <c r="P191" s="14">
        <f t="shared" si="141"/>
        <v>2.2038482767263348E-12</v>
      </c>
      <c r="Q191" s="22">
        <f t="shared" si="162"/>
        <v>4.107100892103012E-12</v>
      </c>
      <c r="R191" s="62">
        <f t="shared" si="109"/>
        <v>293.33333333333741</v>
      </c>
      <c r="S191" s="62">
        <f ca="1">AVERAGE(OFFSET($R$3,0,0,'Données projet'!$E$9+1,1))-AVERAGE(OFFSET($H$3,0,0,'Données projet'!$E$9+1,1))</f>
        <v>371.75294069149942</v>
      </c>
      <c r="T191" s="62">
        <f t="shared" si="142"/>
        <v>233.32640143610547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3.3782032593353044E-2</v>
      </c>
      <c r="AB191" s="23">
        <f>EXP(-LN(2)/2)*AB190+(1-EXP(-LN(2)/2))/(LN(2)/2)*V191*Y191*VLOOKUP('Données projet'!$B$9,Paramètres!$A$1:$I$89,3,0)*0.475*44/12</f>
        <v>2.0761300876714242E-23</v>
      </c>
      <c r="AC191" s="24">
        <f t="shared" si="163"/>
        <v>3.3782032593353044E-2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1.7053025658242404E-13</v>
      </c>
      <c r="AJ191" s="14">
        <f>AI191*VLOOKUP('Données projet'!$B$10,Paramètres!$A$1:$I$89,3,0)*VLOOKUP('Données projet'!$B$10,Paramètres!$A$1:$I$89,5,0)</f>
        <v>1.4365468814503402E-13</v>
      </c>
      <c r="AK191" s="14">
        <f t="shared" si="164"/>
        <v>2.0689969164106979E-12</v>
      </c>
      <c r="AL191" s="22">
        <f t="shared" si="165"/>
        <v>3.853701544601233E-12</v>
      </c>
      <c r="AM191" s="62">
        <f t="shared" si="113"/>
        <v>293.33333333333718</v>
      </c>
      <c r="AN191" s="62">
        <f ca="1">AVERAGE(OFFSET($AM$3,0,0,'Données projet'!$E$10+1,1))-AVERAGE(OFFSET($H$3,0,0,'Données projet'!$E$10+1,1))</f>
        <v>348.84749506659495</v>
      </c>
      <c r="AO191" s="62">
        <f t="shared" si="144"/>
        <v>220.09202639602199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3.1452237242087261E-2</v>
      </c>
      <c r="AW191" s="23">
        <f>EXP(-LN(2)/2)*AW190+(1-EXP(-LN(2)/2))/(LN(2)/2)*AQ191*AT191*VLOOKUP('Données projet'!$B$10,Paramètres!$A$1:$I$89,3,0)*0.475*44/12</f>
        <v>1.9329487023147749E-23</v>
      </c>
      <c r="AX191" s="23">
        <f t="shared" si="166"/>
        <v>3.1452237242087261E-2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5.3205440053716299E-14</v>
      </c>
      <c r="BF191" s="14">
        <f t="shared" si="167"/>
        <v>8.602146238565607E-13</v>
      </c>
      <c r="BG191" s="22">
        <f t="shared" si="168"/>
        <v>1.590873277977066E-12</v>
      </c>
      <c r="BH191" s="62">
        <f t="shared" si="116"/>
        <v>293.33333333333491</v>
      </c>
      <c r="BI191" s="62">
        <f ca="1">AVERAGE(OFFSET($BH$3,0,0,'Données projet'!$E$11+1,1))-AVERAGE(OFFSET($H$3,0,0,'Données projet'!$E$11+1,1))</f>
        <v>259.74478933784656</v>
      </c>
      <c r="BJ191" s="62">
        <f t="shared" si="146"/>
        <v>223.74038909289646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1.7053025658242404E-13</v>
      </c>
      <c r="BZ191" s="14">
        <f>BY191*VLOOKUP('Données projet'!$B$12,Paramètres!$A$1:$I$89,3,0)*VLOOKUP('Données projet'!$B$12,Paramètres!$A$1:$I$89,5,0)</f>
        <v>1.72917680174578E-13</v>
      </c>
      <c r="CA191" s="14">
        <f t="shared" si="170"/>
        <v>2.4372886112056825E-12</v>
      </c>
      <c r="CB191" s="22">
        <f t="shared" si="171"/>
        <v>4.5461092908206203E-12</v>
      </c>
      <c r="CC191" s="62">
        <f t="shared" si="119"/>
        <v>293.33333333333786</v>
      </c>
      <c r="CD191" s="62">
        <f ca="1">AVERAGE(OFFSET($CC$3,0,0,'Données projet'!$E$12+1,1))-AVERAGE(OFFSET($H$3,0,0,'Données projet'!$E$12+1,1))</f>
        <v>411.75894069172358</v>
      </c>
      <c r="CE191" s="62">
        <f t="shared" si="148"/>
        <v>256.4377087753457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3.7859174458068079E-2</v>
      </c>
      <c r="CM191" s="23">
        <f>EXP(-LN(2)/2)*CM190+(1-EXP(-LN(2)/2))/(LN(2)/2)*CG191*CJ191*VLOOKUP('Données projet'!$B$12,Paramètres!$A$1:$I$89,3,0)*0.475*44/12</f>
        <v>2.3266975120455618E-23</v>
      </c>
      <c r="CN191" s="24">
        <f t="shared" si="172"/>
        <v>3.7859174458068079E-2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1.7053025658242404E-13</v>
      </c>
      <c r="O192" s="14">
        <f>N192*VLOOKUP('Données projet'!$B$9,Paramètres!$A$1:$I$89,3,0)*VLOOKUP('Données projet'!$B$9,Paramètres!$A$1:$I$89,5,0)</f>
        <v>1.5429577615577727E-13</v>
      </c>
      <c r="P192" s="14">
        <f t="shared" si="141"/>
        <v>2.2038482767263348E-12</v>
      </c>
      <c r="Q192" s="22">
        <f t="shared" si="162"/>
        <v>4.107100892103012E-12</v>
      </c>
      <c r="R192" s="62">
        <f t="shared" si="109"/>
        <v>293.33333333333741</v>
      </c>
      <c r="S192" s="62">
        <f ca="1">AVERAGE(OFFSET($R$3,0,0,'Données projet'!$E$9+1,1))-AVERAGE(OFFSET($H$3,0,0,'Données projet'!$E$9+1,1))</f>
        <v>371.75294069149942</v>
      </c>
      <c r="T192" s="62">
        <f t="shared" si="142"/>
        <v>233.32640143610547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3.2858261135567918E-2</v>
      </c>
      <c r="AB192" s="23">
        <f>EXP(-LN(2)/2)*AB191+(1-EXP(-LN(2)/2))/(LN(2)/2)*V192*Y192*VLOOKUP('Données projet'!$B$9,Paramètres!$A$1:$I$89,3,0)*0.475*44/12</f>
        <v>1.4680456636178855E-23</v>
      </c>
      <c r="AC192" s="24">
        <f t="shared" si="163"/>
        <v>3.2858261135567918E-2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1.7053025658242404E-13</v>
      </c>
      <c r="AJ192" s="14">
        <f>AI192*VLOOKUP('Données projet'!$B$10,Paramètres!$A$1:$I$89,3,0)*VLOOKUP('Données projet'!$B$10,Paramètres!$A$1:$I$89,5,0)</f>
        <v>1.4365468814503402E-13</v>
      </c>
      <c r="AK192" s="14">
        <f t="shared" si="164"/>
        <v>2.0689969164106979E-12</v>
      </c>
      <c r="AL192" s="22">
        <f t="shared" si="165"/>
        <v>3.853701544601233E-12</v>
      </c>
      <c r="AM192" s="62">
        <f t="shared" si="113"/>
        <v>293.33333333333718</v>
      </c>
      <c r="AN192" s="62">
        <f ca="1">AVERAGE(OFFSET($AM$3,0,0,'Données projet'!$E$10+1,1))-AVERAGE(OFFSET($H$3,0,0,'Données projet'!$E$10+1,1))</f>
        <v>348.84749506659495</v>
      </c>
      <c r="AO192" s="62">
        <f t="shared" si="144"/>
        <v>220.09202639602199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3.0592174160701112E-2</v>
      </c>
      <c r="AW192" s="23">
        <f>EXP(-LN(2)/2)*AW191+(1-EXP(-LN(2)/2))/(LN(2)/2)*AQ192*AT192*VLOOKUP('Données projet'!$B$10,Paramètres!$A$1:$I$89,3,0)*0.475*44/12</f>
        <v>1.3668011350925145E-23</v>
      </c>
      <c r="AX192" s="23">
        <f t="shared" si="166"/>
        <v>3.0592174160701112E-2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5.3205440053716299E-14</v>
      </c>
      <c r="BF192" s="14">
        <f t="shared" si="167"/>
        <v>8.602146238565607E-13</v>
      </c>
      <c r="BG192" s="22">
        <f t="shared" si="168"/>
        <v>1.590873277977066E-12</v>
      </c>
      <c r="BH192" s="62">
        <f t="shared" si="116"/>
        <v>293.33333333333491</v>
      </c>
      <c r="BI192" s="62">
        <f ca="1">AVERAGE(OFFSET($BH$3,0,0,'Données projet'!$E$11+1,1))-AVERAGE(OFFSET($H$3,0,0,'Données projet'!$E$11+1,1))</f>
        <v>259.74478933784656</v>
      </c>
      <c r="BJ192" s="62">
        <f t="shared" si="146"/>
        <v>223.74038909289646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1.7053025658242404E-13</v>
      </c>
      <c r="BZ192" s="14">
        <f>BY192*VLOOKUP('Données projet'!$B$12,Paramètres!$A$1:$I$89,3,0)*VLOOKUP('Données projet'!$B$12,Paramètres!$A$1:$I$89,5,0)</f>
        <v>1.72917680174578E-13</v>
      </c>
      <c r="CA192" s="14">
        <f t="shared" si="170"/>
        <v>2.4372886112056825E-12</v>
      </c>
      <c r="CB192" s="22">
        <f t="shared" si="171"/>
        <v>4.5461092908206203E-12</v>
      </c>
      <c r="CC192" s="62">
        <f t="shared" si="119"/>
        <v>293.33333333333786</v>
      </c>
      <c r="CD192" s="62">
        <f ca="1">AVERAGE(OFFSET($CC$3,0,0,'Données projet'!$E$12+1,1))-AVERAGE(OFFSET($H$3,0,0,'Données projet'!$E$12+1,1))</f>
        <v>411.75894069172358</v>
      </c>
      <c r="CE192" s="62">
        <f t="shared" si="148"/>
        <v>256.4377087753457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3.6823913341584753E-2</v>
      </c>
      <c r="CM192" s="23">
        <f>EXP(-LN(2)/2)*CM191+(1-EXP(-LN(2)/2))/(LN(2)/2)*CG192*CJ192*VLOOKUP('Données projet'!$B$12,Paramètres!$A$1:$I$89,3,0)*0.475*44/12</f>
        <v>1.6452235885372856E-23</v>
      </c>
      <c r="CN192" s="24">
        <f t="shared" si="172"/>
        <v>3.6823913341584753E-2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1.7053025658242404E-13</v>
      </c>
      <c r="O193" s="14">
        <f>N193*VLOOKUP('Données projet'!$B$9,Paramètres!$A$1:$I$89,3,0)*VLOOKUP('Données projet'!$B$9,Paramètres!$A$1:$I$89,5,0)</f>
        <v>1.5429577615577727E-13</v>
      </c>
      <c r="P193" s="14">
        <f t="shared" si="141"/>
        <v>2.2038482767263348E-12</v>
      </c>
      <c r="Q193" s="22">
        <f t="shared" si="162"/>
        <v>4.107100892103012E-12</v>
      </c>
      <c r="R193" s="62">
        <f t="shared" si="109"/>
        <v>293.33333333333741</v>
      </c>
      <c r="S193" s="62">
        <f ca="1">AVERAGE(OFFSET($R$3,0,0,'Données projet'!$E$9+1,1))-AVERAGE(OFFSET($H$3,0,0,'Données projet'!$E$9+1,1))</f>
        <v>371.75294069149942</v>
      </c>
      <c r="T193" s="62">
        <f t="shared" si="142"/>
        <v>233.32640143610547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3.1959750256874961E-2</v>
      </c>
      <c r="AB193" s="23">
        <f>EXP(-LN(2)/2)*AB192+(1-EXP(-LN(2)/2))/(LN(2)/2)*V193*Y193*VLOOKUP('Données projet'!$B$9,Paramètres!$A$1:$I$89,3,0)*0.475*44/12</f>
        <v>1.0380650438357121E-23</v>
      </c>
      <c r="AC193" s="24">
        <f t="shared" si="163"/>
        <v>3.1959750256874961E-2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1.7053025658242404E-13</v>
      </c>
      <c r="AJ193" s="14">
        <f>AI193*VLOOKUP('Données projet'!$B$10,Paramètres!$A$1:$I$89,3,0)*VLOOKUP('Données projet'!$B$10,Paramètres!$A$1:$I$89,5,0)</f>
        <v>1.4365468814503402E-13</v>
      </c>
      <c r="AK193" s="14">
        <f t="shared" si="164"/>
        <v>2.0689969164106979E-12</v>
      </c>
      <c r="AL193" s="22">
        <f t="shared" si="165"/>
        <v>3.853701544601233E-12</v>
      </c>
      <c r="AM193" s="62">
        <f t="shared" si="113"/>
        <v>293.33333333333718</v>
      </c>
      <c r="AN193" s="62">
        <f ca="1">AVERAGE(OFFSET($AM$3,0,0,'Données projet'!$E$10+1,1))-AVERAGE(OFFSET($H$3,0,0,'Données projet'!$E$10+1,1))</f>
        <v>348.84749506659495</v>
      </c>
      <c r="AO193" s="62">
        <f t="shared" si="144"/>
        <v>220.09202639602199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2.9755629549504219E-2</v>
      </c>
      <c r="AW193" s="23">
        <f>EXP(-LN(2)/2)*AW192+(1-EXP(-LN(2)/2))/(LN(2)/2)*AQ193*AT193*VLOOKUP('Données projet'!$B$10,Paramètres!$A$1:$I$89,3,0)*0.475*44/12</f>
        <v>9.6647435115738747E-24</v>
      </c>
      <c r="AX193" s="23">
        <f t="shared" si="166"/>
        <v>2.9755629549504219E-2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5.3205440053716299E-14</v>
      </c>
      <c r="BF193" s="14">
        <f t="shared" si="167"/>
        <v>8.602146238565607E-13</v>
      </c>
      <c r="BG193" s="22">
        <f t="shared" si="168"/>
        <v>1.590873277977066E-12</v>
      </c>
      <c r="BH193" s="62">
        <f t="shared" si="116"/>
        <v>293.33333333333491</v>
      </c>
      <c r="BI193" s="62">
        <f ca="1">AVERAGE(OFFSET($BH$3,0,0,'Données projet'!$E$11+1,1))-AVERAGE(OFFSET($H$3,0,0,'Données projet'!$E$11+1,1))</f>
        <v>259.74478933784656</v>
      </c>
      <c r="BJ193" s="62">
        <f t="shared" si="146"/>
        <v>223.74038909289646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1.7053025658242404E-13</v>
      </c>
      <c r="BZ193" s="14">
        <f>BY193*VLOOKUP('Données projet'!$B$12,Paramètres!$A$1:$I$89,3,0)*VLOOKUP('Données projet'!$B$12,Paramètres!$A$1:$I$89,5,0)</f>
        <v>1.72917680174578E-13</v>
      </c>
      <c r="CA193" s="14">
        <f t="shared" si="170"/>
        <v>2.4372886112056825E-12</v>
      </c>
      <c r="CB193" s="22">
        <f t="shared" si="171"/>
        <v>4.5461092908206203E-12</v>
      </c>
      <c r="CC193" s="62">
        <f t="shared" si="119"/>
        <v>293.33333333333786</v>
      </c>
      <c r="CD193" s="62">
        <f ca="1">AVERAGE(OFFSET($CC$3,0,0,'Données projet'!$E$12+1,1))-AVERAGE(OFFSET($H$3,0,0,'Données projet'!$E$12+1,1))</f>
        <v>411.75894069172358</v>
      </c>
      <c r="CE193" s="62">
        <f t="shared" si="148"/>
        <v>256.4377087753457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3.5816961494773675E-2</v>
      </c>
      <c r="CM193" s="23">
        <f>EXP(-LN(2)/2)*CM192+(1-EXP(-LN(2)/2))/(LN(2)/2)*CG193*CJ193*VLOOKUP('Données projet'!$B$12,Paramètres!$A$1:$I$89,3,0)*0.475*44/12</f>
        <v>1.1633487560227809E-23</v>
      </c>
      <c r="CN193" s="24">
        <f t="shared" si="172"/>
        <v>3.5816961494773675E-2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1.7053025658242404E-13</v>
      </c>
      <c r="O194" s="14">
        <f>N194*VLOOKUP('Données projet'!$B$9,Paramètres!$A$1:$I$89,3,0)*VLOOKUP('Données projet'!$B$9,Paramètres!$A$1:$I$89,5,0)</f>
        <v>1.5429577615577727E-13</v>
      </c>
      <c r="P194" s="14">
        <f t="shared" si="141"/>
        <v>2.2038482767263348E-12</v>
      </c>
      <c r="Q194" s="22">
        <f t="shared" si="162"/>
        <v>4.107100892103012E-12</v>
      </c>
      <c r="R194" s="62">
        <f t="shared" si="109"/>
        <v>293.33333333333741</v>
      </c>
      <c r="S194" s="62">
        <f ca="1">AVERAGE(OFFSET($R$3,0,0,'Données projet'!$E$9+1,1))-AVERAGE(OFFSET($H$3,0,0,'Données projet'!$E$9+1,1))</f>
        <v>371.75294069149942</v>
      </c>
      <c r="T194" s="62">
        <f t="shared" si="142"/>
        <v>233.32640143610547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3.1085809205410493E-2</v>
      </c>
      <c r="AB194" s="23">
        <f>EXP(-LN(2)/2)*AB193+(1-EXP(-LN(2)/2))/(LN(2)/2)*V194*Y194*VLOOKUP('Données projet'!$B$9,Paramètres!$A$1:$I$89,3,0)*0.475*44/12</f>
        <v>7.3402283180894273E-24</v>
      </c>
      <c r="AC194" s="24">
        <f t="shared" si="163"/>
        <v>3.1085809205410493E-2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1.7053025658242404E-13</v>
      </c>
      <c r="AJ194" s="14">
        <f>AI194*VLOOKUP('Données projet'!$B$10,Paramètres!$A$1:$I$89,3,0)*VLOOKUP('Données projet'!$B$10,Paramètres!$A$1:$I$89,5,0)</f>
        <v>1.4365468814503402E-13</v>
      </c>
      <c r="AK194" s="14">
        <f t="shared" si="164"/>
        <v>2.0689969164106979E-12</v>
      </c>
      <c r="AL194" s="22">
        <f t="shared" si="165"/>
        <v>3.853701544601233E-12</v>
      </c>
      <c r="AM194" s="62">
        <f t="shared" si="113"/>
        <v>293.33333333333718</v>
      </c>
      <c r="AN194" s="62">
        <f ca="1">AVERAGE(OFFSET($AM$3,0,0,'Données projet'!$E$10+1,1))-AVERAGE(OFFSET($H$3,0,0,'Données projet'!$E$10+1,1))</f>
        <v>348.84749506659495</v>
      </c>
      <c r="AO194" s="62">
        <f t="shared" si="144"/>
        <v>220.09202639602199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2.8941960294692474E-2</v>
      </c>
      <c r="AW194" s="23">
        <f>EXP(-LN(2)/2)*AW193+(1-EXP(-LN(2)/2))/(LN(2)/2)*AQ194*AT194*VLOOKUP('Données projet'!$B$10,Paramètres!$A$1:$I$89,3,0)*0.475*44/12</f>
        <v>6.8340056754625725E-24</v>
      </c>
      <c r="AX194" s="23">
        <f t="shared" si="166"/>
        <v>2.8941960294692474E-2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5.3205440053716299E-14</v>
      </c>
      <c r="BF194" s="14">
        <f t="shared" si="167"/>
        <v>8.602146238565607E-13</v>
      </c>
      <c r="BG194" s="22">
        <f t="shared" si="168"/>
        <v>1.590873277977066E-12</v>
      </c>
      <c r="BH194" s="62">
        <f t="shared" si="116"/>
        <v>293.33333333333491</v>
      </c>
      <c r="BI194" s="62">
        <f ca="1">AVERAGE(OFFSET($BH$3,0,0,'Données projet'!$E$11+1,1))-AVERAGE(OFFSET($H$3,0,0,'Données projet'!$E$11+1,1))</f>
        <v>259.74478933784656</v>
      </c>
      <c r="BJ194" s="62">
        <f t="shared" si="146"/>
        <v>223.74038909289646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1.7053025658242404E-13</v>
      </c>
      <c r="BZ194" s="14">
        <f>BY194*VLOOKUP('Données projet'!$B$12,Paramètres!$A$1:$I$89,3,0)*VLOOKUP('Données projet'!$B$12,Paramètres!$A$1:$I$89,5,0)</f>
        <v>1.72917680174578E-13</v>
      </c>
      <c r="CA194" s="14">
        <f t="shared" si="170"/>
        <v>2.4372886112056825E-12</v>
      </c>
      <c r="CB194" s="22">
        <f t="shared" si="171"/>
        <v>4.5461092908206203E-12</v>
      </c>
      <c r="CC194" s="62">
        <f t="shared" si="119"/>
        <v>293.33333333333786</v>
      </c>
      <c r="CD194" s="62">
        <f ca="1">AVERAGE(OFFSET($CC$3,0,0,'Données projet'!$E$12+1,1))-AVERAGE(OFFSET($H$3,0,0,'Données projet'!$E$12+1,1))</f>
        <v>411.75894069172358</v>
      </c>
      <c r="CE194" s="62">
        <f t="shared" si="148"/>
        <v>256.4377087753457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3.4837544799166946E-2</v>
      </c>
      <c r="CM194" s="23">
        <f>EXP(-LN(2)/2)*CM193+(1-EXP(-LN(2)/2))/(LN(2)/2)*CG194*CJ194*VLOOKUP('Données projet'!$B$12,Paramètres!$A$1:$I$89,3,0)*0.475*44/12</f>
        <v>8.2261179426864279E-24</v>
      </c>
      <c r="CN194" s="24">
        <f t="shared" si="172"/>
        <v>3.4837544799166946E-2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1.7053025658242404E-13</v>
      </c>
      <c r="O195" s="14">
        <f>N195*VLOOKUP('Données projet'!$B$9,Paramètres!$A$1:$I$89,3,0)*VLOOKUP('Données projet'!$B$9,Paramètres!$A$1:$I$89,5,0)</f>
        <v>1.5429577615577727E-13</v>
      </c>
      <c r="P195" s="14">
        <f t="shared" si="141"/>
        <v>2.2038482767263348E-12</v>
      </c>
      <c r="Q195" s="22">
        <f t="shared" si="162"/>
        <v>4.107100892103012E-12</v>
      </c>
      <c r="R195" s="62">
        <f t="shared" ref="R195:R203" si="191">Q195+(I195+J195)*44/12</f>
        <v>293.33333333333741</v>
      </c>
      <c r="S195" s="62">
        <f ca="1">AVERAGE(OFFSET($R$3,0,0,'Données projet'!$E$9+1,1))-AVERAGE(OFFSET($H$3,0,0,'Données projet'!$E$9+1,1))</f>
        <v>371.75294069149942</v>
      </c>
      <c r="T195" s="62">
        <f t="shared" si="142"/>
        <v>233.32640143610547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3.0235766117956885E-2</v>
      </c>
      <c r="AB195" s="23">
        <f>EXP(-LN(2)/2)*AB194+(1-EXP(-LN(2)/2))/(LN(2)/2)*V195*Y195*VLOOKUP('Données projet'!$B$9,Paramètres!$A$1:$I$89,3,0)*0.475*44/12</f>
        <v>5.1903252191785604E-24</v>
      </c>
      <c r="AC195" s="24">
        <f t="shared" si="163"/>
        <v>3.0235766117956885E-2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1.7053025658242404E-13</v>
      </c>
      <c r="AJ195" s="14">
        <f>AI195*VLOOKUP('Données projet'!$B$10,Paramètres!$A$1:$I$89,3,0)*VLOOKUP('Données projet'!$B$10,Paramètres!$A$1:$I$89,5,0)</f>
        <v>1.4365468814503402E-13</v>
      </c>
      <c r="AK195" s="14">
        <f t="shared" si="164"/>
        <v>2.0689969164106979E-12</v>
      </c>
      <c r="AL195" s="22">
        <f t="shared" si="165"/>
        <v>3.853701544601233E-12</v>
      </c>
      <c r="AM195" s="62">
        <f t="shared" si="113"/>
        <v>293.33333333333718</v>
      </c>
      <c r="AN195" s="62">
        <f ca="1">AVERAGE(OFFSET($AM$3,0,0,'Données projet'!$E$10+1,1))-AVERAGE(OFFSET($H$3,0,0,'Données projet'!$E$10+1,1))</f>
        <v>348.84749506659495</v>
      </c>
      <c r="AO195" s="62">
        <f t="shared" si="144"/>
        <v>220.09202639602199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2.8150540868442566E-2</v>
      </c>
      <c r="AW195" s="23">
        <f>EXP(-LN(2)/2)*AW194+(1-EXP(-LN(2)/2))/(LN(2)/2)*AQ195*AT195*VLOOKUP('Données projet'!$B$10,Paramètres!$A$1:$I$89,3,0)*0.475*44/12</f>
        <v>4.8323717557869373E-24</v>
      </c>
      <c r="AX195" s="23">
        <f t="shared" si="166"/>
        <v>2.8150540868442566E-2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5.3205440053716299E-14</v>
      </c>
      <c r="BF195" s="14">
        <f t="shared" si="167"/>
        <v>8.602146238565607E-13</v>
      </c>
      <c r="BG195" s="22">
        <f t="shared" si="168"/>
        <v>1.590873277977066E-12</v>
      </c>
      <c r="BH195" s="62">
        <f t="shared" si="116"/>
        <v>293.33333333333491</v>
      </c>
      <c r="BI195" s="62">
        <f ca="1">AVERAGE(OFFSET($BH$3,0,0,'Données projet'!$E$11+1,1))-AVERAGE(OFFSET($H$3,0,0,'Données projet'!$E$11+1,1))</f>
        <v>259.74478933784656</v>
      </c>
      <c r="BJ195" s="62">
        <f t="shared" si="146"/>
        <v>223.74038909289646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1.7053025658242404E-13</v>
      </c>
      <c r="BZ195" s="14">
        <f>BY195*VLOOKUP('Données projet'!$B$12,Paramètres!$A$1:$I$89,3,0)*VLOOKUP('Données projet'!$B$12,Paramètres!$A$1:$I$89,5,0)</f>
        <v>1.72917680174578E-13</v>
      </c>
      <c r="CA195" s="14">
        <f t="shared" si="170"/>
        <v>2.4372886112056825E-12</v>
      </c>
      <c r="CB195" s="22">
        <f t="shared" si="171"/>
        <v>4.5461092908206203E-12</v>
      </c>
      <c r="CC195" s="62">
        <f t="shared" si="119"/>
        <v>293.33333333333786</v>
      </c>
      <c r="CD195" s="62">
        <f ca="1">AVERAGE(OFFSET($CC$3,0,0,'Données projet'!$E$12+1,1))-AVERAGE(OFFSET($H$3,0,0,'Données projet'!$E$12+1,1))</f>
        <v>411.75894069172358</v>
      </c>
      <c r="CE195" s="62">
        <f t="shared" si="148"/>
        <v>256.4377087753457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3.3884910304606865E-2</v>
      </c>
      <c r="CM195" s="23">
        <f>EXP(-LN(2)/2)*CM194+(1-EXP(-LN(2)/2))/(LN(2)/2)*CG195*CJ195*VLOOKUP('Données projet'!$B$12,Paramètres!$A$1:$I$89,3,0)*0.475*44/12</f>
        <v>5.8167437801139045E-24</v>
      </c>
      <c r="CN195" s="24">
        <f t="shared" si="172"/>
        <v>3.3884910304606865E-2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1.7053025658242404E-13</v>
      </c>
      <c r="O196" s="14">
        <f>N196*VLOOKUP('Données projet'!$B$9,Paramètres!$A$1:$I$89,3,0)*VLOOKUP('Données projet'!$B$9,Paramètres!$A$1:$I$89,5,0)</f>
        <v>1.5429577615577727E-13</v>
      </c>
      <c r="P196" s="14">
        <f t="shared" si="141"/>
        <v>2.2038482767263348E-12</v>
      </c>
      <c r="Q196" s="22">
        <f t="shared" si="162"/>
        <v>4.107100892103012E-12</v>
      </c>
      <c r="R196" s="62">
        <f t="shared" si="191"/>
        <v>293.33333333333741</v>
      </c>
      <c r="S196" s="62">
        <f ca="1">AVERAGE(OFFSET($R$3,0,0,'Données projet'!$E$9+1,1))-AVERAGE(OFFSET($H$3,0,0,'Données projet'!$E$9+1,1))</f>
        <v>371.75294069149942</v>
      </c>
      <c r="T196" s="62">
        <f t="shared" si="142"/>
        <v>233.32640143610547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2.940896750343152E-2</v>
      </c>
      <c r="AB196" s="23">
        <f>EXP(-LN(2)/2)*AB195+(1-EXP(-LN(2)/2))/(LN(2)/2)*V196*Y196*VLOOKUP('Données projet'!$B$9,Paramètres!$A$1:$I$89,3,0)*0.475*44/12</f>
        <v>3.6701141590447136E-24</v>
      </c>
      <c r="AC196" s="24">
        <f t="shared" si="163"/>
        <v>2.940896750343152E-2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1.7053025658242404E-13</v>
      </c>
      <c r="AJ196" s="14">
        <f>AI196*VLOOKUP('Données projet'!$B$10,Paramètres!$A$1:$I$89,3,0)*VLOOKUP('Données projet'!$B$10,Paramètres!$A$1:$I$89,5,0)</f>
        <v>1.4365468814503402E-13</v>
      </c>
      <c r="AK196" s="14">
        <f t="shared" si="164"/>
        <v>2.0689969164106979E-12</v>
      </c>
      <c r="AL196" s="22">
        <f t="shared" si="165"/>
        <v>3.853701544601233E-12</v>
      </c>
      <c r="AM196" s="62">
        <f t="shared" ref="AM196:AM203" si="193">AL196+(AD196+AE196)*44/12</f>
        <v>293.33333333333718</v>
      </c>
      <c r="AN196" s="62">
        <f ca="1">AVERAGE(OFFSET($AM$3,0,0,'Données projet'!$E$10+1,1))-AVERAGE(OFFSET($H$3,0,0,'Données projet'!$E$10+1,1))</f>
        <v>348.84749506659495</v>
      </c>
      <c r="AO196" s="62">
        <f t="shared" si="144"/>
        <v>220.09202639602199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2.7380762848022398E-2</v>
      </c>
      <c r="AW196" s="23">
        <f>EXP(-LN(2)/2)*AW195+(1-EXP(-LN(2)/2))/(LN(2)/2)*AQ196*AT196*VLOOKUP('Données projet'!$B$10,Paramètres!$A$1:$I$89,3,0)*0.475*44/12</f>
        <v>3.4170028377312862E-24</v>
      </c>
      <c r="AX196" s="23">
        <f t="shared" si="166"/>
        <v>2.7380762848022398E-2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5.3205440053716299E-14</v>
      </c>
      <c r="BF196" s="14">
        <f t="shared" si="167"/>
        <v>8.602146238565607E-13</v>
      </c>
      <c r="BG196" s="22">
        <f t="shared" si="168"/>
        <v>1.590873277977066E-12</v>
      </c>
      <c r="BH196" s="62">
        <f t="shared" ref="BH196:BH203" si="194">BG196+(AY196+AZ196)*44/12</f>
        <v>293.33333333333491</v>
      </c>
      <c r="BI196" s="62">
        <f ca="1">AVERAGE(OFFSET($BH$3,0,0,'Données projet'!$E$11+1,1))-AVERAGE(OFFSET($H$3,0,0,'Données projet'!$E$11+1,1))</f>
        <v>259.74478933784656</v>
      </c>
      <c r="BJ196" s="62">
        <f t="shared" si="146"/>
        <v>223.74038909289646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1.7053025658242404E-13</v>
      </c>
      <c r="BZ196" s="14">
        <f>BY196*VLOOKUP('Données projet'!$B$12,Paramètres!$A$1:$I$89,3,0)*VLOOKUP('Données projet'!$B$12,Paramètres!$A$1:$I$89,5,0)</f>
        <v>1.72917680174578E-13</v>
      </c>
      <c r="CA196" s="14">
        <f t="shared" si="170"/>
        <v>2.4372886112056825E-12</v>
      </c>
      <c r="CB196" s="22">
        <f t="shared" si="171"/>
        <v>4.5461092908206203E-12</v>
      </c>
      <c r="CC196" s="62">
        <f t="shared" ref="CC196:CC203" si="195">CB196+(BT196+BU196)*44/12</f>
        <v>293.33333333333786</v>
      </c>
      <c r="CD196" s="62">
        <f ca="1">AVERAGE(OFFSET($CC$3,0,0,'Données projet'!$E$12+1,1))-AVERAGE(OFFSET($H$3,0,0,'Données projet'!$E$12+1,1))</f>
        <v>411.75894069172358</v>
      </c>
      <c r="CE196" s="62">
        <f t="shared" si="148"/>
        <v>256.4377087753457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3.2958325650397399E-2</v>
      </c>
      <c r="CM196" s="23">
        <f>EXP(-LN(2)/2)*CM195+(1-EXP(-LN(2)/2))/(LN(2)/2)*CG196*CJ196*VLOOKUP('Données projet'!$B$12,Paramètres!$A$1:$I$89,3,0)*0.475*44/12</f>
        <v>4.1130589713432139E-24</v>
      </c>
      <c r="CN196" s="24">
        <f t="shared" si="172"/>
        <v>3.2958325650397399E-2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1.7053025658242404E-13</v>
      </c>
      <c r="O197" s="14">
        <f>N197*VLOOKUP('Données projet'!$B$9,Paramètres!$A$1:$I$89,3,0)*VLOOKUP('Données projet'!$B$9,Paramètres!$A$1:$I$89,5,0)</f>
        <v>1.5429577615577727E-13</v>
      </c>
      <c r="P197" s="14">
        <f t="shared" ref="P197:P203" si="203">EXP(-1.0587+0.8836*LN(O197)+0.284)</f>
        <v>2.2038482767263348E-12</v>
      </c>
      <c r="Q197" s="22">
        <f t="shared" si="162"/>
        <v>4.107100892103012E-12</v>
      </c>
      <c r="R197" s="62">
        <f t="shared" si="191"/>
        <v>293.33333333333741</v>
      </c>
      <c r="S197" s="62">
        <f ca="1">AVERAGE(OFFSET($R$3,0,0,'Données projet'!$E$9+1,1))-AVERAGE(OFFSET($H$3,0,0,'Données projet'!$E$9+1,1))</f>
        <v>371.75294069149942</v>
      </c>
      <c r="T197" s="62">
        <f t="shared" ref="T197:T203" si="204">$T$3</f>
        <v>233.32640143610547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2.8604777740499798E-2</v>
      </c>
      <c r="AB197" s="23">
        <f>EXP(-LN(2)/2)*AB196+(1-EXP(-LN(2)/2))/(LN(2)/2)*V197*Y197*VLOOKUP('Données projet'!$B$9,Paramètres!$A$1:$I$89,3,0)*0.475*44/12</f>
        <v>2.5951626095892802E-24</v>
      </c>
      <c r="AC197" s="24">
        <f t="shared" si="163"/>
        <v>2.8604777740499798E-2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1.7053025658242404E-13</v>
      </c>
      <c r="AJ197" s="14">
        <f>AI197*VLOOKUP('Données projet'!$B$10,Paramètres!$A$1:$I$89,3,0)*VLOOKUP('Données projet'!$B$10,Paramètres!$A$1:$I$89,5,0)</f>
        <v>1.4365468814503402E-13</v>
      </c>
      <c r="AK197" s="14">
        <f t="shared" si="164"/>
        <v>2.0689969164106979E-12</v>
      </c>
      <c r="AL197" s="22">
        <f t="shared" si="165"/>
        <v>3.853701544601233E-12</v>
      </c>
      <c r="AM197" s="62">
        <f t="shared" si="193"/>
        <v>293.33333333333718</v>
      </c>
      <c r="AN197" s="62">
        <f ca="1">AVERAGE(OFFSET($AM$3,0,0,'Données projet'!$E$10+1,1))-AVERAGE(OFFSET($H$3,0,0,'Données projet'!$E$10+1,1))</f>
        <v>348.84749506659495</v>
      </c>
      <c r="AO197" s="62">
        <f t="shared" ref="AO197:AO203" si="205">$AO$3</f>
        <v>220.09202639602199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2.6632034448051487E-2</v>
      </c>
      <c r="AW197" s="23">
        <f>EXP(-LN(2)/2)*AW196+(1-EXP(-LN(2)/2))/(LN(2)/2)*AQ197*AT197*VLOOKUP('Données projet'!$B$10,Paramètres!$A$1:$I$89,3,0)*0.475*44/12</f>
        <v>2.4161858778934687E-24</v>
      </c>
      <c r="AX197" s="23">
        <f t="shared" si="166"/>
        <v>2.6632034448051487E-2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5.3205440053716299E-14</v>
      </c>
      <c r="BF197" s="14">
        <f t="shared" si="167"/>
        <v>8.602146238565607E-13</v>
      </c>
      <c r="BG197" s="22">
        <f t="shared" si="168"/>
        <v>1.590873277977066E-12</v>
      </c>
      <c r="BH197" s="62">
        <f t="shared" si="194"/>
        <v>293.33333333333491</v>
      </c>
      <c r="BI197" s="62">
        <f ca="1">AVERAGE(OFFSET($BH$3,0,0,'Données projet'!$E$11+1,1))-AVERAGE(OFFSET($H$3,0,0,'Données projet'!$E$11+1,1))</f>
        <v>259.74478933784656</v>
      </c>
      <c r="BJ197" s="62">
        <f t="shared" ref="BJ197:BJ203" si="206">$BJ$3</f>
        <v>223.74038909289646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1.7053025658242404E-13</v>
      </c>
      <c r="BZ197" s="14">
        <f>BY197*VLOOKUP('Données projet'!$B$12,Paramètres!$A$1:$I$89,3,0)*VLOOKUP('Données projet'!$B$12,Paramètres!$A$1:$I$89,5,0)</f>
        <v>1.72917680174578E-13</v>
      </c>
      <c r="CA197" s="14">
        <f t="shared" si="170"/>
        <v>2.4372886112056825E-12</v>
      </c>
      <c r="CB197" s="22">
        <f t="shared" si="171"/>
        <v>4.5461092908206203E-12</v>
      </c>
      <c r="CC197" s="62">
        <f t="shared" si="195"/>
        <v>293.33333333333786</v>
      </c>
      <c r="CD197" s="62">
        <f ca="1">AVERAGE(OFFSET($CC$3,0,0,'Données projet'!$E$12+1,1))-AVERAGE(OFFSET($H$3,0,0,'Données projet'!$E$12+1,1))</f>
        <v>411.75894069172358</v>
      </c>
      <c r="CE197" s="62">
        <f t="shared" ref="CE197:CE203" si="207">$CE$3</f>
        <v>256.4377087753457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3.2057078502284266E-2</v>
      </c>
      <c r="CM197" s="23">
        <f>EXP(-LN(2)/2)*CM196+(1-EXP(-LN(2)/2))/(LN(2)/2)*CG197*CJ197*VLOOKUP('Données projet'!$B$12,Paramètres!$A$1:$I$89,3,0)*0.475*44/12</f>
        <v>2.9083718900569522E-24</v>
      </c>
      <c r="CN197" s="24">
        <f t="shared" si="172"/>
        <v>3.2057078502284266E-2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1.7053025658242404E-13</v>
      </c>
      <c r="O198" s="14">
        <f>N198*VLOOKUP('Données projet'!$B$9,Paramètres!$A$1:$I$89,3,0)*VLOOKUP('Données projet'!$B$9,Paramètres!$A$1:$I$89,5,0)</f>
        <v>1.5429577615577727E-13</v>
      </c>
      <c r="P198" s="14">
        <f t="shared" si="203"/>
        <v>2.2038482767263348E-12</v>
      </c>
      <c r="Q198" s="22">
        <f t="shared" si="162"/>
        <v>4.107100892103012E-12</v>
      </c>
      <c r="R198" s="62">
        <f t="shared" si="191"/>
        <v>293.33333333333741</v>
      </c>
      <c r="S198" s="62">
        <f ca="1">AVERAGE(OFFSET($R$3,0,0,'Données projet'!$E$9+1,1))-AVERAGE(OFFSET($H$3,0,0,'Données projet'!$E$9+1,1))</f>
        <v>371.75294069149942</v>
      </c>
      <c r="T198" s="62">
        <f t="shared" si="204"/>
        <v>233.32640143610547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2.7822578588925947E-2</v>
      </c>
      <c r="AB198" s="23">
        <f>EXP(-LN(2)/2)*AB197+(1-EXP(-LN(2)/2))/(LN(2)/2)*V198*Y198*VLOOKUP('Données projet'!$B$9,Paramètres!$A$1:$I$89,3,0)*0.475*44/12</f>
        <v>1.8350570795223568E-24</v>
      </c>
      <c r="AC198" s="24">
        <f t="shared" si="163"/>
        <v>2.7822578588925947E-2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1.7053025658242404E-13</v>
      </c>
      <c r="AJ198" s="14">
        <f>AI198*VLOOKUP('Données projet'!$B$10,Paramètres!$A$1:$I$89,3,0)*VLOOKUP('Données projet'!$B$10,Paramètres!$A$1:$I$89,5,0)</f>
        <v>1.4365468814503402E-13</v>
      </c>
      <c r="AK198" s="14">
        <f t="shared" si="164"/>
        <v>2.0689969164106979E-12</v>
      </c>
      <c r="AL198" s="22">
        <f t="shared" si="165"/>
        <v>3.853701544601233E-12</v>
      </c>
      <c r="AM198" s="62">
        <f t="shared" si="193"/>
        <v>293.33333333333718</v>
      </c>
      <c r="AN198" s="62">
        <f ca="1">AVERAGE(OFFSET($AM$3,0,0,'Données projet'!$E$10+1,1))-AVERAGE(OFFSET($H$3,0,0,'Données projet'!$E$10+1,1))</f>
        <v>348.84749506659495</v>
      </c>
      <c r="AO198" s="62">
        <f t="shared" si="205"/>
        <v>220.09202639602199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2.5903780065551697E-2</v>
      </c>
      <c r="AW198" s="23">
        <f>EXP(-LN(2)/2)*AW197+(1-EXP(-LN(2)/2))/(LN(2)/2)*AQ198*AT198*VLOOKUP('Données projet'!$B$10,Paramètres!$A$1:$I$89,3,0)*0.475*44/12</f>
        <v>1.7085014188656431E-24</v>
      </c>
      <c r="AX198" s="23">
        <f t="shared" si="166"/>
        <v>2.5903780065551697E-2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5.3205440053716299E-14</v>
      </c>
      <c r="BF198" s="14">
        <f t="shared" si="167"/>
        <v>8.602146238565607E-13</v>
      </c>
      <c r="BG198" s="22">
        <f t="shared" si="168"/>
        <v>1.590873277977066E-12</v>
      </c>
      <c r="BH198" s="62">
        <f t="shared" si="194"/>
        <v>293.33333333333491</v>
      </c>
      <c r="BI198" s="62">
        <f ca="1">AVERAGE(OFFSET($BH$3,0,0,'Données projet'!$E$11+1,1))-AVERAGE(OFFSET($H$3,0,0,'Données projet'!$E$11+1,1))</f>
        <v>259.74478933784656</v>
      </c>
      <c r="BJ198" s="62">
        <f t="shared" si="206"/>
        <v>223.74038909289646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1.7053025658242404E-13</v>
      </c>
      <c r="BZ198" s="14">
        <f>BY198*VLOOKUP('Données projet'!$B$12,Paramètres!$A$1:$I$89,3,0)*VLOOKUP('Données projet'!$B$12,Paramètres!$A$1:$I$89,5,0)</f>
        <v>1.72917680174578E-13</v>
      </c>
      <c r="CA198" s="14">
        <f t="shared" si="170"/>
        <v>2.4372886112056825E-12</v>
      </c>
      <c r="CB198" s="22">
        <f t="shared" si="171"/>
        <v>4.5461092908206203E-12</v>
      </c>
      <c r="CC198" s="62">
        <f t="shared" si="195"/>
        <v>293.33333333333786</v>
      </c>
      <c r="CD198" s="62">
        <f ca="1">AVERAGE(OFFSET($CC$3,0,0,'Données projet'!$E$12+1,1))-AVERAGE(OFFSET($H$3,0,0,'Données projet'!$E$12+1,1))</f>
        <v>411.75894069172358</v>
      </c>
      <c r="CE198" s="62">
        <f t="shared" si="207"/>
        <v>256.4377087753457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3.1180476004830811E-2</v>
      </c>
      <c r="CM198" s="23">
        <f>EXP(-LN(2)/2)*CM197+(1-EXP(-LN(2)/2))/(LN(2)/2)*CG198*CJ198*VLOOKUP('Données projet'!$B$12,Paramètres!$A$1:$I$89,3,0)*0.475*44/12</f>
        <v>2.056529485671607E-24</v>
      </c>
      <c r="CN198" s="24">
        <f t="shared" si="172"/>
        <v>3.1180476004830811E-2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1.7053025658242404E-13</v>
      </c>
      <c r="O199" s="14">
        <f>N199*VLOOKUP('Données projet'!$B$9,Paramètres!$A$1:$I$89,3,0)*VLOOKUP('Données projet'!$B$9,Paramètres!$A$1:$I$89,5,0)</f>
        <v>1.5429577615577727E-13</v>
      </c>
      <c r="P199" s="14">
        <f t="shared" si="203"/>
        <v>2.2038482767263348E-12</v>
      </c>
      <c r="Q199" s="22">
        <f t="shared" si="162"/>
        <v>4.107100892103012E-12</v>
      </c>
      <c r="R199" s="62">
        <f t="shared" si="191"/>
        <v>293.33333333333741</v>
      </c>
      <c r="S199" s="62">
        <f ca="1">AVERAGE(OFFSET($R$3,0,0,'Données projet'!$E$9+1,1))-AVERAGE(OFFSET($H$3,0,0,'Données projet'!$E$9+1,1))</f>
        <v>371.75294069149942</v>
      </c>
      <c r="T199" s="62">
        <f t="shared" si="204"/>
        <v>233.32640143610547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2.706176871428595E-2</v>
      </c>
      <c r="AB199" s="23">
        <f>EXP(-LN(2)/2)*AB198+(1-EXP(-LN(2)/2))/(LN(2)/2)*V199*Y199*VLOOKUP('Données projet'!$B$9,Paramètres!$A$1:$I$89,3,0)*0.475*44/12</f>
        <v>1.2975813047946401E-24</v>
      </c>
      <c r="AC199" s="24">
        <f t="shared" si="163"/>
        <v>2.706176871428595E-2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1.7053025658242404E-13</v>
      </c>
      <c r="AJ199" s="14">
        <f>AI199*VLOOKUP('Données projet'!$B$10,Paramètres!$A$1:$I$89,3,0)*VLOOKUP('Données projet'!$B$10,Paramètres!$A$1:$I$89,5,0)</f>
        <v>1.4365468814503402E-13</v>
      </c>
      <c r="AK199" s="14">
        <f t="shared" si="164"/>
        <v>2.0689969164106979E-12</v>
      </c>
      <c r="AL199" s="22">
        <f t="shared" si="165"/>
        <v>3.853701544601233E-12</v>
      </c>
      <c r="AM199" s="62">
        <f t="shared" si="193"/>
        <v>293.33333333333718</v>
      </c>
      <c r="AN199" s="62">
        <f ca="1">AVERAGE(OFFSET($AM$3,0,0,'Données projet'!$E$10+1,1))-AVERAGE(OFFSET($H$3,0,0,'Données projet'!$E$10+1,1))</f>
        <v>348.84749506659495</v>
      </c>
      <c r="AO199" s="62">
        <f t="shared" si="205"/>
        <v>220.09202639602199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2.5195439837438598E-2</v>
      </c>
      <c r="AW199" s="23">
        <f>EXP(-LN(2)/2)*AW198+(1-EXP(-LN(2)/2))/(LN(2)/2)*AQ199*AT199*VLOOKUP('Données projet'!$B$10,Paramètres!$A$1:$I$89,3,0)*0.475*44/12</f>
        <v>1.2080929389467343E-24</v>
      </c>
      <c r="AX199" s="23">
        <f t="shared" si="166"/>
        <v>2.5195439837438598E-2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5.3205440053716299E-14</v>
      </c>
      <c r="BF199" s="14">
        <f t="shared" si="167"/>
        <v>8.602146238565607E-13</v>
      </c>
      <c r="BG199" s="22">
        <f t="shared" si="168"/>
        <v>1.590873277977066E-12</v>
      </c>
      <c r="BH199" s="62">
        <f t="shared" si="194"/>
        <v>293.33333333333491</v>
      </c>
      <c r="BI199" s="62">
        <f ca="1">AVERAGE(OFFSET($BH$3,0,0,'Données projet'!$E$11+1,1))-AVERAGE(OFFSET($H$3,0,0,'Données projet'!$E$11+1,1))</f>
        <v>259.74478933784656</v>
      </c>
      <c r="BJ199" s="62">
        <f t="shared" si="206"/>
        <v>223.74038909289646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1.7053025658242404E-13</v>
      </c>
      <c r="BZ199" s="14">
        <f>BY199*VLOOKUP('Données projet'!$B$12,Paramètres!$A$1:$I$89,3,0)*VLOOKUP('Données projet'!$B$12,Paramètres!$A$1:$I$89,5,0)</f>
        <v>1.72917680174578E-13</v>
      </c>
      <c r="CA199" s="14">
        <f t="shared" si="170"/>
        <v>2.4372886112056825E-12</v>
      </c>
      <c r="CB199" s="22">
        <f t="shared" si="171"/>
        <v>4.5461092908206203E-12</v>
      </c>
      <c r="CC199" s="62">
        <f t="shared" si="195"/>
        <v>293.33333333333786</v>
      </c>
      <c r="CD199" s="62">
        <f ca="1">AVERAGE(OFFSET($CC$3,0,0,'Données projet'!$E$12+1,1))-AVERAGE(OFFSET($H$3,0,0,'Données projet'!$E$12+1,1))</f>
        <v>411.75894069172358</v>
      </c>
      <c r="CE199" s="62">
        <f t="shared" si="207"/>
        <v>256.4377087753457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3.0327844248768745E-2</v>
      </c>
      <c r="CM199" s="23">
        <f>EXP(-LN(2)/2)*CM198+(1-EXP(-LN(2)/2))/(LN(2)/2)*CG199*CJ199*VLOOKUP('Données projet'!$B$12,Paramètres!$A$1:$I$89,3,0)*0.475*44/12</f>
        <v>1.4541859450284761E-24</v>
      </c>
      <c r="CN199" s="24">
        <f t="shared" si="172"/>
        <v>3.0327844248768745E-2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1.7053025658242404E-13</v>
      </c>
      <c r="O200" s="14">
        <f>N200*VLOOKUP('Données projet'!$B$9,Paramètres!$A$1:$I$89,3,0)*VLOOKUP('Données projet'!$B$9,Paramètres!$A$1:$I$89,5,0)</f>
        <v>1.5429577615577727E-13</v>
      </c>
      <c r="P200" s="14">
        <f t="shared" si="203"/>
        <v>2.2038482767263348E-12</v>
      </c>
      <c r="Q200" s="22">
        <f t="shared" si="162"/>
        <v>4.107100892103012E-12</v>
      </c>
      <c r="R200" s="62">
        <f t="shared" si="191"/>
        <v>293.33333333333741</v>
      </c>
      <c r="S200" s="62">
        <f ca="1">AVERAGE(OFFSET($R$3,0,0,'Données projet'!$E$9+1,1))-AVERAGE(OFFSET($H$3,0,0,'Données projet'!$E$9+1,1))</f>
        <v>371.75294069149942</v>
      </c>
      <c r="T200" s="62">
        <f t="shared" si="204"/>
        <v>233.32640143610547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2.6321763225677235E-2</v>
      </c>
      <c r="AB200" s="23">
        <f>EXP(-LN(2)/2)*AB199+(1-EXP(-LN(2)/2))/(LN(2)/2)*V200*Y200*VLOOKUP('Données projet'!$B$9,Paramètres!$A$1:$I$89,3,0)*0.475*44/12</f>
        <v>9.1752853976117841E-25</v>
      </c>
      <c r="AC200" s="24">
        <f t="shared" si="163"/>
        <v>2.6321763225677235E-2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1.7053025658242404E-13</v>
      </c>
      <c r="AJ200" s="14">
        <f>AI200*VLOOKUP('Données projet'!$B$10,Paramètres!$A$1:$I$89,3,0)*VLOOKUP('Données projet'!$B$10,Paramètres!$A$1:$I$89,5,0)</f>
        <v>1.4365468814503402E-13</v>
      </c>
      <c r="AK200" s="14">
        <f t="shared" si="164"/>
        <v>2.0689969164106979E-12</v>
      </c>
      <c r="AL200" s="22">
        <f t="shared" si="165"/>
        <v>3.853701544601233E-12</v>
      </c>
      <c r="AM200" s="62">
        <f t="shared" si="193"/>
        <v>293.33333333333718</v>
      </c>
      <c r="AN200" s="62">
        <f ca="1">AVERAGE(OFFSET($AM$3,0,0,'Données projet'!$E$10+1,1))-AVERAGE(OFFSET($H$3,0,0,'Données projet'!$E$10+1,1))</f>
        <v>348.84749506659495</v>
      </c>
      <c r="AO200" s="62">
        <f t="shared" si="205"/>
        <v>220.09202639602199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2.4506469210113242E-2</v>
      </c>
      <c r="AW200" s="23">
        <f>EXP(-LN(2)/2)*AW199+(1-EXP(-LN(2)/2))/(LN(2)/2)*AQ200*AT200*VLOOKUP('Données projet'!$B$10,Paramètres!$A$1:$I$89,3,0)*0.475*44/12</f>
        <v>8.5425070943282156E-25</v>
      </c>
      <c r="AX200" s="23">
        <f t="shared" si="166"/>
        <v>2.4506469210113242E-2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5.3205440053716299E-14</v>
      </c>
      <c r="BF200" s="14">
        <f t="shared" si="167"/>
        <v>8.602146238565607E-13</v>
      </c>
      <c r="BG200" s="22">
        <f t="shared" si="168"/>
        <v>1.590873277977066E-12</v>
      </c>
      <c r="BH200" s="62">
        <f t="shared" si="194"/>
        <v>293.33333333333491</v>
      </c>
      <c r="BI200" s="62">
        <f ca="1">AVERAGE(OFFSET($BH$3,0,0,'Données projet'!$E$11+1,1))-AVERAGE(OFFSET($H$3,0,0,'Données projet'!$E$11+1,1))</f>
        <v>259.74478933784656</v>
      </c>
      <c r="BJ200" s="62">
        <f t="shared" si="206"/>
        <v>223.74038909289646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1.7053025658242404E-13</v>
      </c>
      <c r="BZ200" s="14">
        <f>BY200*VLOOKUP('Données projet'!$B$12,Paramètres!$A$1:$I$89,3,0)*VLOOKUP('Données projet'!$B$12,Paramètres!$A$1:$I$89,5,0)</f>
        <v>1.72917680174578E-13</v>
      </c>
      <c r="CA200" s="14">
        <f t="shared" si="170"/>
        <v>2.4372886112056825E-12</v>
      </c>
      <c r="CB200" s="22">
        <f t="shared" si="171"/>
        <v>4.5461092908206203E-12</v>
      </c>
      <c r="CC200" s="62">
        <f t="shared" si="195"/>
        <v>293.33333333333786</v>
      </c>
      <c r="CD200" s="62">
        <f ca="1">AVERAGE(OFFSET($CC$3,0,0,'Données projet'!$E$12+1,1))-AVERAGE(OFFSET($H$3,0,0,'Données projet'!$E$12+1,1))</f>
        <v>411.75894069172358</v>
      </c>
      <c r="CE200" s="62">
        <f t="shared" si="207"/>
        <v>256.4377087753457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2.9498527752914151E-2</v>
      </c>
      <c r="CM200" s="23">
        <f>EXP(-LN(2)/2)*CM199+(1-EXP(-LN(2)/2))/(LN(2)/2)*CG200*CJ200*VLOOKUP('Données projet'!$B$12,Paramètres!$A$1:$I$89,3,0)*0.475*44/12</f>
        <v>1.0282647428358035E-24</v>
      </c>
      <c r="CN200" s="24">
        <f t="shared" si="172"/>
        <v>2.9498527752914151E-2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1.7053025658242404E-13</v>
      </c>
      <c r="O201" s="14">
        <f>N201*VLOOKUP('Données projet'!$B$9,Paramètres!$A$1:$I$89,3,0)*VLOOKUP('Données projet'!$B$9,Paramètres!$A$1:$I$89,5,0)</f>
        <v>1.5429577615577727E-13</v>
      </c>
      <c r="P201" s="14">
        <f t="shared" si="203"/>
        <v>2.2038482767263348E-12</v>
      </c>
      <c r="Q201" s="22">
        <f t="shared" si="162"/>
        <v>4.107100892103012E-12</v>
      </c>
      <c r="R201" s="62">
        <f t="shared" si="191"/>
        <v>293.33333333333741</v>
      </c>
      <c r="S201" s="62">
        <f ca="1">AVERAGE(OFFSET($R$3,0,0,'Données projet'!$E$9+1,1))-AVERAGE(OFFSET($H$3,0,0,'Données projet'!$E$9+1,1))</f>
        <v>371.75294069149942</v>
      </c>
      <c r="T201" s="62">
        <f t="shared" si="204"/>
        <v>233.32640143610547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2.5601993226069722E-2</v>
      </c>
      <c r="AB201" s="23">
        <f>EXP(-LN(2)/2)*AB200+(1-EXP(-LN(2)/2))/(LN(2)/2)*V201*Y201*VLOOKUP('Données projet'!$B$9,Paramètres!$A$1:$I$89,3,0)*0.475*44/12</f>
        <v>6.4879065239732005E-25</v>
      </c>
      <c r="AC201" s="24">
        <f t="shared" si="163"/>
        <v>2.5601993226069722E-2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1.7053025658242404E-13</v>
      </c>
      <c r="AJ201" s="14">
        <f>AI201*VLOOKUP('Données projet'!$B$10,Paramètres!$A$1:$I$89,3,0)*VLOOKUP('Données projet'!$B$10,Paramètres!$A$1:$I$89,5,0)</f>
        <v>1.4365468814503402E-13</v>
      </c>
      <c r="AK201" s="14">
        <f t="shared" si="164"/>
        <v>2.0689969164106979E-12</v>
      </c>
      <c r="AL201" s="22">
        <f t="shared" si="165"/>
        <v>3.853701544601233E-12</v>
      </c>
      <c r="AM201" s="62">
        <f t="shared" si="193"/>
        <v>293.33333333333718</v>
      </c>
      <c r="AN201" s="62">
        <f ca="1">AVERAGE(OFFSET($AM$3,0,0,'Données projet'!$E$10+1,1))-AVERAGE(OFFSET($H$3,0,0,'Données projet'!$E$10+1,1))</f>
        <v>348.84749506659495</v>
      </c>
      <c r="AO201" s="62">
        <f t="shared" si="205"/>
        <v>220.09202639602199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2.3836338520823491E-2</v>
      </c>
      <c r="AW201" s="23">
        <f>EXP(-LN(2)/2)*AW200+(1-EXP(-LN(2)/2))/(LN(2)/2)*AQ201*AT201*VLOOKUP('Données projet'!$B$10,Paramètres!$A$1:$I$89,3,0)*0.475*44/12</f>
        <v>6.0404646947336717E-25</v>
      </c>
      <c r="AX201" s="23">
        <f t="shared" si="166"/>
        <v>2.3836338520823491E-2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5.3205440053716299E-14</v>
      </c>
      <c r="BF201" s="14">
        <f t="shared" si="167"/>
        <v>8.602146238565607E-13</v>
      </c>
      <c r="BG201" s="22">
        <f t="shared" si="168"/>
        <v>1.590873277977066E-12</v>
      </c>
      <c r="BH201" s="62">
        <f t="shared" si="194"/>
        <v>293.33333333333491</v>
      </c>
      <c r="BI201" s="62">
        <f ca="1">AVERAGE(OFFSET($BH$3,0,0,'Données projet'!$E$11+1,1))-AVERAGE(OFFSET($H$3,0,0,'Données projet'!$E$11+1,1))</f>
        <v>259.74478933784656</v>
      </c>
      <c r="BJ201" s="62">
        <f t="shared" si="206"/>
        <v>223.74038909289646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1.7053025658242404E-13</v>
      </c>
      <c r="BZ201" s="14">
        <f>BY201*VLOOKUP('Données projet'!$B$12,Paramètres!$A$1:$I$89,3,0)*VLOOKUP('Données projet'!$B$12,Paramètres!$A$1:$I$89,5,0)</f>
        <v>1.72917680174578E-13</v>
      </c>
      <c r="CA201" s="14">
        <f t="shared" si="170"/>
        <v>2.4372886112056825E-12</v>
      </c>
      <c r="CB201" s="22">
        <f t="shared" si="171"/>
        <v>4.5461092908206203E-12</v>
      </c>
      <c r="CC201" s="62">
        <f t="shared" si="195"/>
        <v>293.33333333333786</v>
      </c>
      <c r="CD201" s="62">
        <f ca="1">AVERAGE(OFFSET($CC$3,0,0,'Données projet'!$E$12+1,1))-AVERAGE(OFFSET($H$3,0,0,'Données projet'!$E$12+1,1))</f>
        <v>411.75894069172358</v>
      </c>
      <c r="CE201" s="62">
        <f t="shared" si="207"/>
        <v>256.4377087753457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2.8691888960250558E-2</v>
      </c>
      <c r="CM201" s="23">
        <f>EXP(-LN(2)/2)*CM200+(1-EXP(-LN(2)/2))/(LN(2)/2)*CG201*CJ201*VLOOKUP('Données projet'!$B$12,Paramètres!$A$1:$I$89,3,0)*0.475*44/12</f>
        <v>7.2709297251423806E-25</v>
      </c>
      <c r="CN201" s="24">
        <f t="shared" si="172"/>
        <v>2.8691888960250558E-2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1.7053025658242404E-13</v>
      </c>
      <c r="O202" s="14">
        <f>N202*VLOOKUP('Données projet'!$B$9,Paramètres!$A$1:$I$89,3,0)*VLOOKUP('Données projet'!$B$9,Paramètres!$A$1:$I$89,5,0)</f>
        <v>1.5429577615577727E-13</v>
      </c>
      <c r="P202" s="14">
        <f t="shared" si="203"/>
        <v>2.2038482767263348E-12</v>
      </c>
      <c r="Q202" s="22">
        <f t="shared" si="162"/>
        <v>4.107100892103012E-12</v>
      </c>
      <c r="R202" s="62">
        <f t="shared" si="191"/>
        <v>293.33333333333741</v>
      </c>
      <c r="S202" s="62">
        <f ca="1">AVERAGE(OFFSET($R$3,0,0,'Données projet'!$E$9+1,1))-AVERAGE(OFFSET($H$3,0,0,'Données projet'!$E$9+1,1))</f>
        <v>371.75294069149942</v>
      </c>
      <c r="T202" s="62">
        <f t="shared" si="204"/>
        <v>233.32640143610547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2.4901905374952536E-2</v>
      </c>
      <c r="AB202" s="23">
        <f>EXP(-LN(2)/2)*AB201+(1-EXP(-LN(2)/2))/(LN(2)/2)*V202*Y202*VLOOKUP('Données projet'!$B$9,Paramètres!$A$1:$I$89,3,0)*0.475*44/12</f>
        <v>4.587642698805892E-25</v>
      </c>
      <c r="AC202" s="24">
        <f t="shared" si="163"/>
        <v>2.4901905374952536E-2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1.7053025658242404E-13</v>
      </c>
      <c r="AJ202" s="14">
        <f>AI202*VLOOKUP('Données projet'!$B$10,Paramètres!$A$1:$I$89,3,0)*VLOOKUP('Données projet'!$B$10,Paramètres!$A$1:$I$89,5,0)</f>
        <v>1.4365468814503402E-13</v>
      </c>
      <c r="AK202" s="14">
        <f t="shared" si="164"/>
        <v>2.0689969164106979E-12</v>
      </c>
      <c r="AL202" s="22">
        <f t="shared" si="165"/>
        <v>3.853701544601233E-12</v>
      </c>
      <c r="AM202" s="62">
        <f t="shared" si="193"/>
        <v>293.33333333333718</v>
      </c>
      <c r="AN202" s="62">
        <f ca="1">AVERAGE(OFFSET($AM$3,0,0,'Données projet'!$E$10+1,1))-AVERAGE(OFFSET($H$3,0,0,'Données projet'!$E$10+1,1))</f>
        <v>348.84749506659495</v>
      </c>
      <c r="AO202" s="62">
        <f t="shared" si="205"/>
        <v>220.09202639602199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2.3184532590473008E-2</v>
      </c>
      <c r="AW202" s="23">
        <f>EXP(-LN(2)/2)*AW201+(1-EXP(-LN(2)/2))/(LN(2)/2)*AQ202*AT202*VLOOKUP('Données projet'!$B$10,Paramètres!$A$1:$I$89,3,0)*0.475*44/12</f>
        <v>4.2712535471641078E-25</v>
      </c>
      <c r="AX202" s="23">
        <f t="shared" si="166"/>
        <v>2.3184532590473008E-2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5.3205440053716299E-14</v>
      </c>
      <c r="BF202" s="14">
        <f t="shared" si="167"/>
        <v>8.602146238565607E-13</v>
      </c>
      <c r="BG202" s="22">
        <f t="shared" si="168"/>
        <v>1.590873277977066E-12</v>
      </c>
      <c r="BH202" s="62">
        <f t="shared" si="194"/>
        <v>293.33333333333491</v>
      </c>
      <c r="BI202" s="62">
        <f ca="1">AVERAGE(OFFSET($BH$3,0,0,'Données projet'!$E$11+1,1))-AVERAGE(OFFSET($H$3,0,0,'Données projet'!$E$11+1,1))</f>
        <v>259.74478933784656</v>
      </c>
      <c r="BJ202" s="62">
        <f t="shared" si="206"/>
        <v>223.74038909289646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1.7053025658242404E-13</v>
      </c>
      <c r="BZ202" s="14">
        <f>BY202*VLOOKUP('Données projet'!$B$12,Paramètres!$A$1:$I$89,3,0)*VLOOKUP('Données projet'!$B$12,Paramètres!$A$1:$I$89,5,0)</f>
        <v>1.72917680174578E-13</v>
      </c>
      <c r="CA202" s="14">
        <f t="shared" si="170"/>
        <v>2.4372886112056825E-12</v>
      </c>
      <c r="CB202" s="22">
        <f t="shared" si="171"/>
        <v>4.5461092908206203E-12</v>
      </c>
      <c r="CC202" s="62">
        <f t="shared" si="195"/>
        <v>293.33333333333786</v>
      </c>
      <c r="CD202" s="62">
        <f ca="1">AVERAGE(OFFSET($CC$3,0,0,'Données projet'!$E$12+1,1))-AVERAGE(OFFSET($H$3,0,0,'Données projet'!$E$12+1,1))</f>
        <v>411.75894069172358</v>
      </c>
      <c r="CE202" s="62">
        <f t="shared" si="207"/>
        <v>256.4377087753457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2.7907307747791644E-2</v>
      </c>
      <c r="CM202" s="23">
        <f>EXP(-LN(2)/2)*CM201+(1-EXP(-LN(2)/2))/(LN(2)/2)*CG202*CJ202*VLOOKUP('Données projet'!$B$12,Paramètres!$A$1:$I$89,3,0)*0.475*44/12</f>
        <v>5.1413237141790174E-25</v>
      </c>
      <c r="CN202" s="24">
        <f t="shared" si="172"/>
        <v>2.7907307747791644E-2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1.7053025658242404E-13</v>
      </c>
      <c r="O203" s="14">
        <f>N203*VLOOKUP('Données projet'!$B$9,Paramètres!$A$1:$I$89,3,0)*VLOOKUP('Données projet'!$B$9,Paramètres!$A$1:$I$89,5,0)</f>
        <v>1.5429577615577727E-13</v>
      </c>
      <c r="P203" s="14">
        <f t="shared" si="203"/>
        <v>2.2038482767263348E-12</v>
      </c>
      <c r="Q203" s="22">
        <f t="shared" si="162"/>
        <v>4.107100892103012E-12</v>
      </c>
      <c r="R203" s="62">
        <f t="shared" si="191"/>
        <v>293.33333333333741</v>
      </c>
      <c r="S203" s="62">
        <f ca="1">AVERAGE(OFFSET($R$3,0,0,'Données projet'!$E$9+1,1))-AVERAGE(OFFSET($H$3,0,0,'Données projet'!$E$9+1,1))</f>
        <v>371.75294069149942</v>
      </c>
      <c r="T203" s="62">
        <f t="shared" si="204"/>
        <v>233.32640143610547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2.4220961462940168E-2</v>
      </c>
      <c r="AB203" s="23">
        <f>EXP(-LN(2)/2)*AB202+(1-EXP(-LN(2)/2))/(LN(2)/2)*V203*Y203*VLOOKUP('Données projet'!$B$9,Paramètres!$A$1:$I$89,3,0)*0.475*44/12</f>
        <v>3.2439532619866003E-25</v>
      </c>
      <c r="AC203" s="24">
        <f t="shared" si="163"/>
        <v>2.4220961462940168E-2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1.7053025658242404E-13</v>
      </c>
      <c r="AJ203" s="14">
        <f>AI203*VLOOKUP('Données projet'!$B$10,Paramètres!$A$1:$I$89,3,0)*VLOOKUP('Données projet'!$B$10,Paramètres!$A$1:$I$89,5,0)</f>
        <v>1.4365468814503402E-13</v>
      </c>
      <c r="AK203" s="14">
        <f t="shared" si="164"/>
        <v>2.0689969164106979E-12</v>
      </c>
      <c r="AL203" s="22">
        <f t="shared" si="165"/>
        <v>3.853701544601233E-12</v>
      </c>
      <c r="AM203" s="62">
        <f t="shared" si="193"/>
        <v>293.33333333333718</v>
      </c>
      <c r="AN203" s="62">
        <f ca="1">AVERAGE(OFFSET($AM$3,0,0,'Données projet'!$E$10+1,1))-AVERAGE(OFFSET($H$3,0,0,'Données projet'!$E$10+1,1))</f>
        <v>348.84749506659495</v>
      </c>
      <c r="AO203" s="62">
        <f t="shared" si="205"/>
        <v>220.09202639602199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2.2550550327564943E-2</v>
      </c>
      <c r="AW203" s="23">
        <f>EXP(-LN(2)/2)*AW202+(1-EXP(-LN(2)/2))/(LN(2)/2)*AQ203*AT203*VLOOKUP('Données projet'!$B$10,Paramètres!$A$1:$I$89,3,0)*0.475*44/12</f>
        <v>3.0202323473668358E-25</v>
      </c>
      <c r="AX203" s="23">
        <f t="shared" si="166"/>
        <v>2.2550550327564943E-2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5.3205440053716299E-14</v>
      </c>
      <c r="BF203" s="14">
        <f t="shared" si="167"/>
        <v>8.602146238565607E-13</v>
      </c>
      <c r="BG203" s="22">
        <f t="shared" si="168"/>
        <v>1.590873277977066E-12</v>
      </c>
      <c r="BH203" s="62">
        <f t="shared" si="194"/>
        <v>293.33333333333491</v>
      </c>
      <c r="BI203" s="62">
        <f ca="1">AVERAGE(OFFSET($BH$3,0,0,'Données projet'!$E$11+1,1))-AVERAGE(OFFSET($H$3,0,0,'Données projet'!$E$11+1,1))</f>
        <v>259.74478933784656</v>
      </c>
      <c r="BJ203" s="62">
        <f t="shared" si="206"/>
        <v>223.74038909289646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1.7053025658242404E-13</v>
      </c>
      <c r="BZ203" s="14">
        <f>BY203*VLOOKUP('Données projet'!$B$12,Paramètres!$A$1:$I$89,3,0)*VLOOKUP('Données projet'!$B$12,Paramètres!$A$1:$I$89,5,0)</f>
        <v>1.72917680174578E-13</v>
      </c>
      <c r="CA203" s="14">
        <f t="shared" si="170"/>
        <v>2.4372886112056825E-12</v>
      </c>
      <c r="CB203" s="22">
        <f t="shared" si="171"/>
        <v>4.5461092908206203E-12</v>
      </c>
      <c r="CC203" s="62">
        <f t="shared" si="195"/>
        <v>293.33333333333786</v>
      </c>
      <c r="CD203" s="62">
        <f ca="1">AVERAGE(OFFSET($CC$3,0,0,'Données projet'!$E$12+1,1))-AVERAGE(OFFSET($H$3,0,0,'Données projet'!$E$12+1,1))</f>
        <v>411.75894069172358</v>
      </c>
      <c r="CE203" s="62">
        <f t="shared" si="207"/>
        <v>256.4377087753457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2.714418094984675E-2</v>
      </c>
      <c r="CM203" s="23">
        <f>EXP(-LN(2)/2)*CM202+(1-EXP(-LN(2)/2))/(LN(2)/2)*CG203*CJ203*VLOOKUP('Données projet'!$B$12,Paramètres!$A$1:$I$89,3,0)*0.475*44/12</f>
        <v>3.6354648625711903E-25</v>
      </c>
      <c r="CN203" s="24">
        <f t="shared" si="172"/>
        <v>2.714418094984675E-2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1.185906184594963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1.185906184594963</v>
      </c>
      <c r="BA205" s="88">
        <f>EXP(LN('Données projet'!B88)/'Données projet'!A88)</f>
        <v>1.2677537154322802</v>
      </c>
      <c r="BV205" s="88">
        <f>EXP(LN('Données projet'!B114)/'Données projet'!A114)</f>
        <v>1.185906184594963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J22" sqref="J2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6.6708000000000007</v>
      </c>
      <c r="C6" s="156">
        <f ca="1">IF(OR('Données projet'!B9="",'Données projet'!C9="",'Données projet'!C9=0%),0,Calculateur!S3)</f>
        <v>371.75294069149942</v>
      </c>
      <c r="D6" s="156">
        <f>IF(OR('Données projet'!B9="",'Données projet'!C9="",'Données projet'!C9=0%),0,Calculateur!T3)</f>
        <v>233.32640143610547</v>
      </c>
      <c r="E6" s="156">
        <f ca="1">MIN(C6,D6)</f>
        <v>233.32640143610547</v>
      </c>
      <c r="F6" s="156">
        <f ca="1">E6*B6</f>
        <v>1556.4737586999724</v>
      </c>
      <c r="G6" s="156">
        <f ca="1">F6*(100%-'Données projet'!$C$24)*(100%-'Données projet'!$C$25)*(100%-'Données projet'!$C$26)*(100%-'Données projet'!$C$27)</f>
        <v>1330.7850636884764</v>
      </c>
      <c r="H6" s="157">
        <f>IF(OR('Données projet'!B9="",'Données projet'!C9="",'Données projet'!C9=0%),0,AVERAGE(Calculateur!$AC$3:$AC$33)*B6)</f>
        <v>3.2812566691177243</v>
      </c>
      <c r="I6" s="158">
        <f>H6*(100%-'Données projet'!$C$24)*(100%-'Données projet'!$C$25)*(100%-'Données projet'!$C$26)*(100%-'Données projet'!$C$27)</f>
        <v>2.805474452095654</v>
      </c>
      <c r="J6" s="159">
        <f>IF(OR('Données projet'!B9="",'Données projet'!C9="",'Données projet'!C9=0%),0,SUM(Calculateur!$V$3:$V$33)*VLOOKUP('Données projet'!$B$9,Paramètres!$A$1:$I$89,9,0)*B6)</f>
        <v>48.363300000000002</v>
      </c>
      <c r="K6" s="160">
        <f>J6*(100%-'Données projet'!$C$24)*(100%-'Données projet'!$C$25)*(100%-'Données projet'!$C$26)*(100%-'Données projet'!$C$27)</f>
        <v>41.350621500000003</v>
      </c>
      <c r="L6" s="161">
        <f ca="1">G6+I6+K6</f>
        <v>1374.9411596405721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pédonculé</v>
      </c>
      <c r="B7" s="163">
        <f>'Données projet'!D10</f>
        <v>0.56916</v>
      </c>
      <c r="C7" s="156">
        <f ca="1">IF(OR('Données projet'!B10="",'Données projet'!C10="",'Données projet'!C10=0%),0,Calculateur!AN3)</f>
        <v>348.84749506659495</v>
      </c>
      <c r="D7" s="156">
        <f>IF(OR('Données projet'!B10="",'Données projet'!C10="",'Données projet'!C10=0%),0,Calculateur!AO3)</f>
        <v>220.09202639602199</v>
      </c>
      <c r="E7" s="156">
        <f t="shared" ref="E7:E15" ca="1" si="0">MIN(C7,D7)</f>
        <v>220.09202639602199</v>
      </c>
      <c r="F7" s="156">
        <f t="shared" ref="F7:F15" ca="1" si="1">E7*B7</f>
        <v>125.26757774355988</v>
      </c>
      <c r="G7" s="156">
        <f ca="1">F7*(100%-'Données projet'!$C$24)*(100%-'Données projet'!$C$25)*(100%-'Données projet'!$C$26)*(100%-'Données projet'!$C$27)</f>
        <v>107.1037789707437</v>
      </c>
      <c r="H7" s="164">
        <f>IF(OR('Données projet'!B10="",'Données projet'!C10="",'Données projet'!C10=0%),0,AVERAGE(Calculateur!$AX$3:$AX$33)*B7)</f>
        <v>0.26065281544304353</v>
      </c>
      <c r="I7" s="158">
        <f>H7*(100%-'Données projet'!$C$24)*(100%-'Données projet'!$C$25)*(100%-'Données projet'!$C$26)*(100%-'Données projet'!$C$27)</f>
        <v>0.2228581572038022</v>
      </c>
      <c r="J7" s="159">
        <f>IF(OR('Données projet'!B10="",'Données projet'!C10="",'Données projet'!C10=0%),0,SUM(Calculateur!$AQ$3:$AQ$33)*VLOOKUP('Données projet'!$B$10,Paramètres!$A$1:$I$89,9,0)*B7)</f>
        <v>4.1264099999999999</v>
      </c>
      <c r="K7" s="160">
        <f>J7*(100%-'Données projet'!$C$24)*(100%-'Données projet'!$C$25)*(100%-'Données projet'!$C$26)*(100%-'Données projet'!$C$27)</f>
        <v>3.5280805499999999</v>
      </c>
      <c r="L7" s="161">
        <f t="shared" ref="L7:L15" ca="1" si="2">G7+I7+K7</f>
        <v>110.85471767794751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Cèdre de l'Atlas</v>
      </c>
      <c r="B8" s="163">
        <f>'Données projet'!D11</f>
        <v>3.7491120000000002</v>
      </c>
      <c r="C8" s="156">
        <f ca="1">IF(OR('Données projet'!B11="",'Données projet'!C11="",'Données projet'!C11=0%),0,Calculateur!BI3)</f>
        <v>259.74478933784656</v>
      </c>
      <c r="D8" s="156">
        <f>IF(OR('Données projet'!B11="",'Données projet'!C11="",'Données projet'!C11=0%),0,Calculateur!BJ3)</f>
        <v>223.74038909289646</v>
      </c>
      <c r="E8" s="156">
        <f t="shared" ca="1" si="0"/>
        <v>223.74038909289646</v>
      </c>
      <c r="F8" s="156">
        <f t="shared" ca="1" si="1"/>
        <v>838.8277776328473</v>
      </c>
      <c r="G8" s="156">
        <f ca="1">F8*(100%-'Données projet'!$C$24)*(100%-'Données projet'!$C$25)*(100%-'Données projet'!$C$26)*(100%-'Données projet'!$C$27)</f>
        <v>717.19774987608446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717.19774987608446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Chêne pubescent</v>
      </c>
      <c r="B9" s="163">
        <f>'Données projet'!D12</f>
        <v>1.2497039999999999</v>
      </c>
      <c r="C9" s="156">
        <f ca="1">IF(OR('Données projet'!B12="",'Données projet'!C12="",'Données projet'!C12=0%),0,Calculateur!CD3)</f>
        <v>411.75894069172358</v>
      </c>
      <c r="D9" s="156">
        <f>IF(OR('Données projet'!B12="",'Données projet'!C12="",'Données projet'!C12=0%),0,Calculateur!CE3)</f>
        <v>256.4377087753457</v>
      </c>
      <c r="E9" s="156">
        <f t="shared" ca="1" si="0"/>
        <v>256.4377087753457</v>
      </c>
      <c r="F9" s="156">
        <f t="shared" ca="1" si="1"/>
        <v>320.47123040738461</v>
      </c>
      <c r="G9" s="156">
        <f ca="1">F9*(100%-'Données projet'!$C$24)*(100%-'Données projet'!$C$25)*(100%-'Données projet'!$C$26)*(100%-'Données projet'!$C$27)</f>
        <v>274.00290199831386</v>
      </c>
      <c r="H9" s="164">
        <f>IF(OR('Données projet'!B12="",'Données projet'!C12="",'Données projet'!C12=0%),0,AVERAGE(Calculateur!$CN$3:$CN$33)*B9)</f>
        <v>0.68889781349572221</v>
      </c>
      <c r="I9" s="158">
        <f>H9*(100%-'Données projet'!$C$24)*(100%-'Données projet'!$C$25)*(100%-'Données projet'!$C$26)*(100%-'Données projet'!$C$27)</f>
        <v>0.58900763053884242</v>
      </c>
      <c r="J9" s="159">
        <f>IF(OR('Données projet'!B12="",'Données projet'!C12="",'Données projet'!C12=0%),0,SUM(Calculateur!$CG$3:$CG$33)*VLOOKUP('Données projet'!$B$12,Paramètres!$A$1:$I$89,9,0)*B9)</f>
        <v>9.0603540000000002</v>
      </c>
      <c r="K9" s="160">
        <f>J9*(100%-'Données projet'!$C$24)*(100%-'Données projet'!$C$25)*(100%-'Données projet'!$C$26)*(100%-'Données projet'!$C$27)</f>
        <v>7.7466026699999997</v>
      </c>
      <c r="L9" s="161">
        <f t="shared" ca="1" si="2"/>
        <v>282.33851229885272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2841.0403444837643</v>
      </c>
      <c r="G16" s="175">
        <f t="shared" ca="1" si="3"/>
        <v>2429.0894945336186</v>
      </c>
      <c r="H16" s="176">
        <f t="shared" si="3"/>
        <v>4.2308072980564901</v>
      </c>
      <c r="I16" s="176">
        <f t="shared" si="3"/>
        <v>3.6173402398382986</v>
      </c>
      <c r="J16" s="177">
        <f t="shared" si="3"/>
        <v>61.550064000000006</v>
      </c>
      <c r="K16" s="177">
        <f t="shared" si="3"/>
        <v>52.625304720000003</v>
      </c>
      <c r="L16" s="178">
        <f t="shared" ca="1" si="3"/>
        <v>2485.3321394934565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pédonculé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Cèdre de l'Atlas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Chêne pubescent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E52" sqref="E5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574.0130621148071</v>
      </c>
      <c r="U10" s="190">
        <f>'Données projet'!D9</f>
        <v>6.6708000000000007</v>
      </c>
      <c r="V10" s="189">
        <f>U10*T10</f>
        <v>3829.1263347554554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pédonculé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529.15705950963059</v>
      </c>
      <c r="U11" s="190">
        <f>'Données projet'!D10</f>
        <v>0.56916</v>
      </c>
      <c r="V11" s="189">
        <f t="shared" ref="V11" si="0">U11*T11</f>
        <v>301.17503199050134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Cèdre de l'Atlas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635.76066620224924</v>
      </c>
      <c r="U12" s="190">
        <f>'Données projet'!D11</f>
        <v>3.7491120000000002</v>
      </c>
      <c r="V12" s="189">
        <f t="shared" ref="V12:V19" si="1">U12*T12</f>
        <v>2383.537942786847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pubescent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574.0130621148071</v>
      </c>
      <c r="U13" s="190">
        <f>'Données projet'!D12</f>
        <v>1.2497039999999999</v>
      </c>
      <c r="V13" s="189">
        <f t="shared" si="1"/>
        <v>717.34641977712283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f>4452+1000</f>
        <v>5452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1050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1079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92">
        <v>4</v>
      </c>
      <c r="D23" s="194">
        <f>B23*C23</f>
        <v>32</v>
      </c>
      <c r="E23" s="206"/>
      <c r="F23" s="261"/>
      <c r="H23" s="203">
        <v>3</v>
      </c>
      <c r="I23" s="204">
        <v>1119</v>
      </c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-114464.60924575264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92">
        <v>8</v>
      </c>
      <c r="D24" s="194">
        <f t="shared" ref="D24:D42" si="2">B24*C24</f>
        <v>168</v>
      </c>
      <c r="E24" s="206"/>
      <c r="F24" s="264"/>
      <c r="H24" s="203">
        <v>4</v>
      </c>
      <c r="I24" s="204">
        <v>700</v>
      </c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21</v>
      </c>
      <c r="C25" s="292">
        <v>10</v>
      </c>
      <c r="D25" s="194">
        <f t="shared" si="2"/>
        <v>210</v>
      </c>
      <c r="E25" s="206"/>
      <c r="F25" s="264"/>
      <c r="G25" s="1"/>
      <c r="H25" s="203">
        <v>5</v>
      </c>
      <c r="I25" s="204">
        <v>1159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7">
        <f ca="1">T23-T24</f>
        <v>-114464.60924575264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21</v>
      </c>
      <c r="C26" s="292">
        <v>10</v>
      </c>
      <c r="D26" s="194">
        <f t="shared" si="2"/>
        <v>210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21</v>
      </c>
      <c r="C27" s="292">
        <v>10</v>
      </c>
      <c r="D27" s="194">
        <f t="shared" si="2"/>
        <v>210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21</v>
      </c>
      <c r="C28" s="292">
        <v>10</v>
      </c>
      <c r="D28" s="194">
        <f t="shared" si="2"/>
        <v>210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21</v>
      </c>
      <c r="C29" s="292">
        <v>15</v>
      </c>
      <c r="D29" s="194">
        <f t="shared" si="2"/>
        <v>315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21</v>
      </c>
      <c r="C30" s="292">
        <v>15</v>
      </c>
      <c r="D30" s="194">
        <f t="shared" si="2"/>
        <v>315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21</v>
      </c>
      <c r="C31" s="292">
        <v>15</v>
      </c>
      <c r="D31" s="194">
        <f t="shared" si="2"/>
        <v>315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21</v>
      </c>
      <c r="C32" s="292">
        <v>15</v>
      </c>
      <c r="D32" s="194">
        <f t="shared" si="2"/>
        <v>315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21</v>
      </c>
      <c r="C33" s="292">
        <v>20</v>
      </c>
      <c r="D33" s="194">
        <f t="shared" si="2"/>
        <v>420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21</v>
      </c>
      <c r="C34" s="292">
        <v>20</v>
      </c>
      <c r="D34" s="194">
        <f t="shared" si="2"/>
        <v>420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21</v>
      </c>
      <c r="C35" s="292">
        <v>20</v>
      </c>
      <c r="D35" s="194">
        <f t="shared" si="2"/>
        <v>420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21</v>
      </c>
      <c r="C36" s="292">
        <v>20</v>
      </c>
      <c r="D36" s="194">
        <f t="shared" si="2"/>
        <v>420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21</v>
      </c>
      <c r="C37" s="292">
        <v>30</v>
      </c>
      <c r="D37" s="194">
        <f t="shared" si="2"/>
        <v>630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21</v>
      </c>
      <c r="C38" s="292">
        <v>30</v>
      </c>
      <c r="D38" s="194">
        <f t="shared" si="2"/>
        <v>630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20</v>
      </c>
      <c r="C39" s="292">
        <v>40</v>
      </c>
      <c r="D39" s="194">
        <f t="shared" si="2"/>
        <v>800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19</v>
      </c>
      <c r="C40" s="292">
        <v>50</v>
      </c>
      <c r="D40" s="194">
        <f t="shared" si="2"/>
        <v>950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18</v>
      </c>
      <c r="C41" s="292">
        <v>70</v>
      </c>
      <c r="D41" s="194">
        <f t="shared" si="2"/>
        <v>1260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283</v>
      </c>
      <c r="C42" s="292">
        <v>150</v>
      </c>
      <c r="D42" s="194">
        <f t="shared" si="2"/>
        <v>42450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pédonculé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92">
        <v>4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92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92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92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92">
        <v>10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92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92">
        <v>15</v>
      </c>
      <c r="D60" s="191">
        <f t="shared" si="4"/>
        <v>315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92">
        <v>15</v>
      </c>
      <c r="D61" s="191">
        <f t="shared" si="4"/>
        <v>315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92">
        <v>15</v>
      </c>
      <c r="D62" s="191">
        <f t="shared" si="4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92">
        <v>15</v>
      </c>
      <c r="D63" s="191">
        <f t="shared" si="4"/>
        <v>315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292">
        <v>20</v>
      </c>
      <c r="D64" s="191">
        <f t="shared" si="4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92">
        <v>20</v>
      </c>
      <c r="D65" s="191">
        <f t="shared" si="4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92">
        <v>20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92">
        <v>20</v>
      </c>
      <c r="D67" s="191">
        <f t="shared" si="4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92">
        <v>30</v>
      </c>
      <c r="D68" s="191">
        <f t="shared" si="4"/>
        <v>630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92">
        <v>30</v>
      </c>
      <c r="D69" s="191">
        <f t="shared" si="4"/>
        <v>630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92">
        <v>40</v>
      </c>
      <c r="D70" s="191">
        <f t="shared" si="4"/>
        <v>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92">
        <v>50</v>
      </c>
      <c r="D71" s="191">
        <f t="shared" si="4"/>
        <v>950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92">
        <v>70</v>
      </c>
      <c r="D72" s="191">
        <f t="shared" si="4"/>
        <v>1260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283</v>
      </c>
      <c r="C73" s="292">
        <v>150</v>
      </c>
      <c r="D73" s="191">
        <f t="shared" si="4"/>
        <v>42450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Cèdre de l'Atlas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40</v>
      </c>
      <c r="B87" s="193">
        <f>'Données projet'!D90</f>
        <v>63</v>
      </c>
      <c r="C87" s="292">
        <v>15</v>
      </c>
      <c r="D87" s="191">
        <f t="shared" si="6"/>
        <v>945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50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60</v>
      </c>
      <c r="B89" s="193">
        <f>'Données projet'!D92</f>
        <v>67</v>
      </c>
      <c r="C89" s="292">
        <v>18</v>
      </c>
      <c r="D89" s="191">
        <f t="shared" si="6"/>
        <v>1206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70</v>
      </c>
      <c r="B90" s="193">
        <f>'Données projet'!D93</f>
        <v>69</v>
      </c>
      <c r="C90" s="292">
        <v>20</v>
      </c>
      <c r="D90" s="191">
        <f t="shared" si="6"/>
        <v>1380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80</v>
      </c>
      <c r="B91" s="193">
        <f>'Données projet'!D94</f>
        <v>71</v>
      </c>
      <c r="C91" s="292">
        <v>25</v>
      </c>
      <c r="D91" s="191">
        <f t="shared" si="6"/>
        <v>1775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90</v>
      </c>
      <c r="B92" s="193">
        <f>'Données projet'!D95</f>
        <v>73</v>
      </c>
      <c r="C92" s="292">
        <v>30</v>
      </c>
      <c r="D92" s="191">
        <f t="shared" si="6"/>
        <v>2190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100</v>
      </c>
      <c r="B93" s="193">
        <f>'Données projet'!D96</f>
        <v>375</v>
      </c>
      <c r="C93" s="292">
        <v>50</v>
      </c>
      <c r="D93" s="191">
        <f t="shared" si="6"/>
        <v>18750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Chêne pubescent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25</v>
      </c>
      <c r="B116" s="193">
        <f>'Données projet'!D114</f>
        <v>8</v>
      </c>
      <c r="C116" s="292">
        <v>4</v>
      </c>
      <c r="D116" s="191">
        <f>B116*C116</f>
        <v>32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30</v>
      </c>
      <c r="B117" s="193">
        <f>'Données projet'!D115</f>
        <v>21</v>
      </c>
      <c r="C117" s="292">
        <v>8</v>
      </c>
      <c r="D117" s="191">
        <f t="shared" ref="D117:D135" si="8">B117*C117</f>
        <v>168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35</v>
      </c>
      <c r="B118" s="193">
        <f>'Données projet'!D116</f>
        <v>21</v>
      </c>
      <c r="C118" s="292">
        <v>10</v>
      </c>
      <c r="D118" s="191">
        <f t="shared" si="8"/>
        <v>210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40</v>
      </c>
      <c r="B119" s="193">
        <f>'Données projet'!D117</f>
        <v>21</v>
      </c>
      <c r="C119" s="292">
        <v>10</v>
      </c>
      <c r="D119" s="191">
        <f t="shared" si="8"/>
        <v>210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45</v>
      </c>
      <c r="B120" s="193">
        <f>'Données projet'!D118</f>
        <v>21</v>
      </c>
      <c r="C120" s="292">
        <v>10</v>
      </c>
      <c r="D120" s="191">
        <f t="shared" si="8"/>
        <v>210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50</v>
      </c>
      <c r="B121" s="193">
        <f>'Données projet'!D119</f>
        <v>21</v>
      </c>
      <c r="C121" s="292">
        <v>10</v>
      </c>
      <c r="D121" s="191">
        <f t="shared" si="8"/>
        <v>210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55</v>
      </c>
      <c r="B122" s="193">
        <f>'Données projet'!D120</f>
        <v>21</v>
      </c>
      <c r="C122" s="292">
        <v>15</v>
      </c>
      <c r="D122" s="191">
        <f t="shared" si="8"/>
        <v>315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60</v>
      </c>
      <c r="B123" s="193">
        <f>'Données projet'!D121</f>
        <v>21</v>
      </c>
      <c r="C123" s="292">
        <v>15</v>
      </c>
      <c r="D123" s="191">
        <f t="shared" si="8"/>
        <v>315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65</v>
      </c>
      <c r="B124" s="193">
        <f>'Données projet'!D122</f>
        <v>21</v>
      </c>
      <c r="C124" s="292">
        <v>15</v>
      </c>
      <c r="D124" s="191">
        <f t="shared" si="8"/>
        <v>315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70</v>
      </c>
      <c r="B125" s="193">
        <f>'Données projet'!D123</f>
        <v>21</v>
      </c>
      <c r="C125" s="292">
        <v>15</v>
      </c>
      <c r="D125" s="191">
        <f t="shared" si="8"/>
        <v>315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75</v>
      </c>
      <c r="B126" s="193">
        <f>'Données projet'!D124</f>
        <v>21</v>
      </c>
      <c r="C126" s="292">
        <v>20</v>
      </c>
      <c r="D126" s="191">
        <f t="shared" si="8"/>
        <v>420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80</v>
      </c>
      <c r="B127" s="193">
        <f>'Données projet'!D125</f>
        <v>21</v>
      </c>
      <c r="C127" s="292">
        <v>20</v>
      </c>
      <c r="D127" s="191">
        <f t="shared" si="8"/>
        <v>420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85</v>
      </c>
      <c r="B128" s="193">
        <f>'Données projet'!D126</f>
        <v>21</v>
      </c>
      <c r="C128" s="292">
        <v>20</v>
      </c>
      <c r="D128" s="191">
        <f t="shared" si="8"/>
        <v>420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90</v>
      </c>
      <c r="B129" s="193">
        <f>'Données projet'!D127</f>
        <v>21</v>
      </c>
      <c r="C129" s="292">
        <v>20</v>
      </c>
      <c r="D129" s="191">
        <f t="shared" si="8"/>
        <v>420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95</v>
      </c>
      <c r="B130" s="193">
        <f>'Données projet'!D128</f>
        <v>21</v>
      </c>
      <c r="C130" s="292">
        <v>30</v>
      </c>
      <c r="D130" s="191">
        <f t="shared" si="8"/>
        <v>630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100</v>
      </c>
      <c r="B131" s="193">
        <f>'Données projet'!D129</f>
        <v>21</v>
      </c>
      <c r="C131" s="292">
        <v>30</v>
      </c>
      <c r="D131" s="191">
        <f t="shared" si="8"/>
        <v>630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105</v>
      </c>
      <c r="B132" s="193">
        <f>'Données projet'!D130</f>
        <v>20</v>
      </c>
      <c r="C132" s="292">
        <v>40</v>
      </c>
      <c r="D132" s="191">
        <f t="shared" si="8"/>
        <v>800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110</v>
      </c>
      <c r="B133" s="193">
        <f>'Données projet'!D131</f>
        <v>19</v>
      </c>
      <c r="C133" s="292">
        <v>50</v>
      </c>
      <c r="D133" s="191">
        <f t="shared" si="8"/>
        <v>950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115</v>
      </c>
      <c r="B134" s="193">
        <f>'Données projet'!D132</f>
        <v>18</v>
      </c>
      <c r="C134" s="292">
        <v>70</v>
      </c>
      <c r="D134" s="191">
        <f t="shared" si="8"/>
        <v>1260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120</v>
      </c>
      <c r="B135" s="193">
        <f>'Données projet'!D133</f>
        <v>283</v>
      </c>
      <c r="C135" s="292">
        <v>150</v>
      </c>
      <c r="D135" s="191">
        <f t="shared" si="8"/>
        <v>42450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2024-03-26T15:11:22Z</dcterms:modified>
</cp:coreProperties>
</file>